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harts/chart1.xml" ContentType="application/vnd.openxmlformats-officedocument.drawingml.chart+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_rels/drawing1.xml.rels" ContentType="application/vnd.openxmlformats-package.relationships+xml"/>
  <Override PartName="/xl/drawings/vmlDrawing5.vml" ContentType="application/vnd.openxmlformats-officedocument.vmlDrawing"/>
  <Override PartName="/xl/comments2.xml" ContentType="application/vnd.openxmlformats-officedocument.spreadsheetml.comments+xml"/>
  <Override PartName="/xl/sharedStrings.xml" ContentType="application/vnd.openxmlformats-officedocument.spreadsheetml.sharedStrings+xml"/>
  <Override PartName="/xl/tables/table7.xml" ContentType="application/vnd.openxmlformats-officedocument.spreadsheetml.table+xml"/>
  <Override PartName="/xl/tables/table6.xml" ContentType="application/vnd.openxmlformats-officedocument.spreadsheetml.table+xml"/>
  <Override PartName="/xl/tables/table2.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5.xml" ContentType="application/vnd.openxmlformats-officedocument.spreadsheetml.table+xml"/>
  <Override PartName="/xl/tables/table24.xml" ContentType="application/vnd.openxmlformats-officedocument.spreadsheetml.table+xml"/>
  <Override PartName="/xl/tables/table4.xml" ContentType="application/vnd.openxmlformats-officedocument.spreadsheetml.table+xml"/>
  <Override PartName="/xl/tables/table23.xml" ContentType="application/vnd.openxmlformats-officedocument.spreadsheetml.table+xml"/>
  <Override PartName="/xl/tables/table17.xml" ContentType="application/vnd.openxmlformats-officedocument.spreadsheetml.table+xml"/>
  <Override PartName="/xl/tables/table1.xml" ContentType="application/vnd.openxmlformats-officedocument.spreadsheetml.table+xml"/>
  <Override PartName="/xl/tables/table25.xml" ContentType="application/vnd.openxmlformats-officedocument.spreadsheetml.table+xml"/>
  <Override PartName="/xl/tables/table13.xml" ContentType="application/vnd.openxmlformats-officedocument.spreadsheetml.table+xml"/>
  <Override PartName="/xl/tables/table15.xml" ContentType="application/vnd.openxmlformats-officedocument.spreadsheetml.table+xml"/>
  <Override PartName="/xl/tables/table14.xml" ContentType="application/vnd.openxmlformats-officedocument.spreadsheetml.table+xml"/>
  <Override PartName="/xl/tables/table12.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16.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3.xml" ContentType="application/vnd.openxmlformats-officedocument.spreadsheetml.table+xml"/>
  <Override PartName="/xl/tables/table22.xml" ContentType="application/vnd.openxmlformats-officedocument.spreadsheetml.table+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4"/>
  </bookViews>
  <sheets>
    <sheet name="Start" sheetId="1" state="visible" r:id="rId3"/>
    <sheet name="Status" sheetId="2" state="visible" r:id="rId4"/>
    <sheet name="Roadmap" sheetId="3" state="visible" r:id="rId5"/>
    <sheet name="Settings" sheetId="4" state="visible" r:id="rId6"/>
    <sheet name="Tasks" sheetId="5" state="visible" r:id="rId7"/>
    <sheet name="Gantt" sheetId="6" state="visible" r:id="rId8"/>
    <sheet name="Resources" sheetId="7" state="visible" r:id="rId9"/>
  </sheets>
  <definedNames>
    <definedName function="false" hidden="false" localSheetId="1" name="_xlnm.Print_Area" vbProcedure="false">Status!$B$1:$H$50</definedName>
    <definedName function="false" hidden="false" name="CriticalSlackDays" vbProcedure="false">Settings!$C$24</definedName>
    <definedName function="false" hidden="false" name="DefaultUnits" vbProcedure="false">Settings!$C$9</definedName>
    <definedName function="false" hidden="false" name="FinishVarianceDays" vbProcedure="false">Settings!$C$27</definedName>
    <definedName function="false" hidden="false" name="GanttPeriod" vbProcedure="false">Settings!$C$20</definedName>
    <definedName function="false" hidden="false" name="GanttStart" vbProcedure="false">Settings!$C$19</definedName>
    <definedName function="false" hidden="false" name="gantt_Origin" vbProcedure="false">Gantt!$W$5</definedName>
    <definedName function="false" hidden="false" name="Holidays" vbProcedure="false">HolidayTable[Date]</definedName>
    <definedName function="false" hidden="false" name="HoursPerDay" vbProcedure="false">Start!$C$8</definedName>
    <definedName function="false" hidden="false" name="leave_Days" vbProcedure="false">{1,2,3,4,5,6,7,8,9,10,11,12,13,14,15,16,17,18,19,20,21,22,23,24,25,26,27,28,29,30,31}</definedName>
    <definedName function="false" hidden="false" name="leave_Grid" vbProcedure="false">ResourceTable[[#Data],[Jan-26]:[Dec-28]]</definedName>
    <definedName function="false" hidden="false" name="leave_Months" vbProcedure="false">ResourceTable[[#Headers],[Jan-26]:[Dec-28]]</definedName>
    <definedName function="false" hidden="false" name="LookaheadDays" vbProcedure="false">Settings!$C$28</definedName>
    <definedName function="false" hidden="false" name="LookaheadEnd" vbProcedure="false">Settings!$C$29</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LogType" vbProcedure="false">ListLogType[Log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esType" vbProcedure="false">ListResType[Resource Type]</definedName>
    <definedName function="false" hidden="false" name="L_Stage" vbProcedure="false">StageTable[Stage]</definedName>
    <definedName function="false" hidden="false" name="L_WorkingWeek" vbProcedure="false">ListWorkingWeek[Working Week]</definedName>
    <definedName function="false" hidden="false" name="L_YesNo" vbProcedure="false">ListYesNo[Yes / No]</definedName>
    <definedName function="false" hidden="false" name="MaxPeople" vbProcedure="false">Settings!$C$23</definedName>
    <definedName function="false" hidden="false" name="NextFreeUID" vbProcedure="false">Settings!$C$34</definedName>
    <definedName function="false" hidden="false" name="OutlineShowLevel" vbProcedure="false">Settings!$C$21</definedName>
    <definedName function="false" hidden="false" name="PlannedFinish" vbProcedure="false">Settings!$C$26</definedName>
    <definedName function="false" hidden="false" name="PlannerVersion" vbProcedure="false">"1.7"</definedName>
    <definedName function="false" hidden="false" name="ProjectFinish" vbProcedure="false">Settings!$C$25</definedName>
    <definedName function="false" hidden="false" name="ProjectManager" vbProcedure="false">Start!$C$5</definedName>
    <definedName function="false" hidden="false" name="ProjectName" vbProcedure="false">Start!$C$4</definedName>
    <definedName function="false" hidden="false" name="ProjectRAG" vbProcedure="false">OverallStatus[RAG]</definedName>
    <definedName function="false" hidden="false" name="ProjectStart" vbProcedure="false">Settings!$C$5</definedName>
    <definedName function="false" hidden="false" name="ProjectStartDate" vbProcedure="false">Start!$C$6</definedName>
    <definedName function="false" hidden="false" name="RAGAmberIndex" vbProcedure="false">Settings!$C$32</definedName>
    <definedName function="false" hidden="false" name="RAGAmberSlipDays" vbProcedure="false">Settings!$C$30</definedName>
    <definedName function="false" hidden="false" name="RAGRedIndex" vbProcedure="false">Settings!$C$33</definedName>
    <definedName function="false" hidden="false" name="RAGRedSlipDays" vbProcedure="false">Settings!$C$31</definedName>
    <definedName function="false" hidden="false" name="RescheduleAfterStatus" vbProcedure="false">Settings!$C$8</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m_Origin" vbProcedure="false">Roadmap!$K$5</definedName>
    <definedName function="false" hidden="false" name="RoadmapStart" vbProcedure="false">Settings!$C$22</definedName>
    <definedName function="false" hidden="false" name="StatusDate" vbProcedure="false">Settings!$C$6</definedName>
    <definedName function="false" hidden="false" name="StatusDateInput" vbProcedure="false">Status!$C$5</definedName>
    <definedName function="false" hidden="false" name="StatusWorkday" vbProcedure="false">Settings!$C$7</definedName>
    <definedName function="false" hidden="false" name="stg_Name" vbProcedure="false">StageTable[Stage]</definedName>
    <definedName function="false" hidden="false" name="stg_Pct" vbProcedure="false">StageTable[% Complete]</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Tasks[Finish]</definedName>
    <definedName function="false" hidden="false" name="tsk_FcStart" vbProcedure="false">Tasks[Start]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es" vbProcedure="false">Tasks[Issues]</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Cost" vbProcedure="false">Tasks[_LeafCost]</definedName>
    <definedName function="false" hidden="false" name="tsk_LeafEV" vbProcedure="false">Tasks[_LeafEV]</definedName>
    <definedName function="false" hidden="false" name="tsk_LeafFcstFinish" vbProcedure="false">Tasks[_LeafFcstFinish]</definedName>
    <definedName function="false" hidden="false" name="tsk_LeafProgress" vbProcedure="false">Tasks[_LeafProgress]</definedName>
    <definedName function="false" hidden="false" name="tsk_LeafPV" vbProcedure="false">Tasks[_LeafPV]</definedName>
    <definedName function="false" hidden="false" name="tsk_LeafTotalCost" vbProcedure="false">Tasks[_LeafTotalCost]</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PctInput" vbProcedure="false">Tasks[% Complete]</definedName>
    <definedName function="false" hidden="false" name="tsk_People" vbProcedure="false">Tasks[_People]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Start" vbProcedure="false">Tasks[Planned Start]</definedName>
    <definedName function="false" hidden="false" name="tsk_Predecessors" vbProcedure="false">Tasks[Predecessors by ID]</definedName>
    <definedName function="false" hidden="false" name="tsk_PredecessorsInput" vbProcedure="false">Tasks[Predecessors]</definedName>
    <definedName function="false" hidden="false" name="tsk_Progress" vbProcedure="false">Tasks[Progress]</definedName>
    <definedName function="false" hidden="false" name="tsk_PV" vbProcedure="false">Tasks[PV]</definedName>
    <definedName function="false" hidden="false" name="tsk_Res2" vbProcedure="false">Tasks[_Res2]</definedName>
    <definedName function="false" hidden="false" name="tsk_Res2AC" vbProcedure="false">Tasks[_Res2AC]</definedName>
    <definedName function="false" hidden="false" name="tsk_Res2Cost" vbProcedure="false">Tasks[_Res2Cost]</definedName>
    <definedName function="false" hidden="false" name="tsk_Res2Done" vbProcedure="false">Tasks[_Res2WorkDone]</definedName>
    <definedName function="false" hidden="false" name="tsk_Res2WBefore" vbProcedure="false">Tasks[_Res2WorkBefore]</definedName>
    <definedName function="false" hidden="false" name="tsk_Res2Work" vbProcedure="false">Tasks[_Res2Work]</definedName>
    <definedName function="false" hidden="false" name="tsk_Res2WPD" vbProcedure="false">Tasks[_Res2WorkPerWD]</definedName>
    <definedName function="false" hidden="false" name="tsk_Res3" vbProcedure="false">Tasks[_Res3]</definedName>
    <definedName function="false" hidden="false" name="tsk_Res3AC" vbProcedure="false">Tasks[_Res3AC]</definedName>
    <definedName function="false" hidden="false" name="tsk_Res3Cost" vbProcedure="false">Tasks[_Res3Cost]</definedName>
    <definedName function="false" hidden="false" name="tsk_Res3Done" vbProcedure="false">Tasks[_Res3WorkDone]</definedName>
    <definedName function="false" hidden="false" name="tsk_Res3WBefore" vbProcedure="false">Tasks[_Res3WorkBefore]</definedName>
    <definedName function="false" hidden="false" name="tsk_Res3Work" vbProcedure="false">Tasks[_Res3Work]</definedName>
    <definedName function="false" hidden="false" name="tsk_Res3WPD" vbProcedure="false">Tasks[_Res3WorkPerWD]</definedName>
    <definedName function="false" hidden="false" name="tsk_Res4" vbProcedure="false">Tasks[_Res4]</definedName>
    <definedName function="false" hidden="false" name="tsk_Res4AC" vbProcedure="false">Tasks[_Res4AC]</definedName>
    <definedName function="false" hidden="false" name="tsk_Res4Cost" vbProcedure="false">Tasks[_Res4Cost]</definedName>
    <definedName function="false" hidden="false" name="tsk_Res4Done" vbProcedure="false">Tasks[_Res4WorkDone]</definedName>
    <definedName function="false" hidden="false" name="tsk_Res4WBefore" vbProcedure="false">Tasks[_Res4WorkBefore]</definedName>
    <definedName function="false" hidden="false" name="tsk_Res4Work" vbProcedure="false">Tasks[_Res4Work]</definedName>
    <definedName function="false" hidden="false" name="tsk_Res4WPD" vbProcedure="false">Tasks[_Res4WorkPerWD]</definedName>
    <definedName function="false" hidden="false" name="tsk_Resource" vbProcedure="false">Tasks[_Resource1]</definedName>
    <definedName function="false" hidden="false" name="tsk_ResourceAC" vbProcedure="false">Tasks[_ResourceAC]</definedName>
    <definedName function="false" hidden="false" name="tsk_ResourceNames" vbProcedure="false">Tasks[Resource Names]</definedName>
    <definedName function="false" hidden="false" name="tsk_ResourcesInput" vbProcedure="false">Tasks[Resources]</definedName>
    <definedName function="false" hidden="false" name="tsk_Show" vbProcedure="false">Tasks[Show]</definedName>
    <definedName function="false" hidden="false" name="tsk_SourceDuration" vbProcedure="false">Tasks[BL Source Duration]</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Tasks[_Units1]</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ViewFrom" vbProcedure="false">Settings!$C$18</definedName>
    <definedName function="false" hidden="false" name="WorkFri" vbProcedure="false">Settings!$C$14</definedName>
    <definedName function="false" hidden="false" name="WorkingWeek" vbProcedure="false">Start!$C$7</definedName>
    <definedName function="false" hidden="false" name="WorkMon" vbProcedure="false">Settings!$C$10</definedName>
    <definedName function="false" hidden="false" name="WorkSat" vbProcedure="false">Settings!$C$15</definedName>
    <definedName function="false" hidden="false" name="WorkSun" vbProcedure="false">Settings!$C$16</definedName>
    <definedName function="false" hidden="false" name="WorkThu" vbProcedure="false">Settings!$C$13</definedName>
    <definedName function="false" hidden="false" name="WorkTue" vbProcedure="false">Settings!$C$11</definedName>
    <definedName function="false" hidden="false" name="WorkWed" vbProcedure="false">Settings!$C$12</definedName>
    <definedName function="false" hidden="false" name="WorkWeek" vbProcedure="false">Settings!$C$17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11"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-66</xdr:colOff>
                <xdr:row>4</xdr:row>
                <xdr:rowOff>19</xdr:rowOff>
              </xdr:to>
            </anchor>
          </commentPr>
        </mc:Choice>
        <mc:Fallback/>
      </mc:AlternateContent>
    </comment>
    <comment ref="E1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-66</xdr:colOff>
                <xdr:row>4</xdr:row>
                <xdr:rowOff>19</xdr:rowOff>
              </xdr:to>
            </anchor>
          </commentPr>
        </mc:Choice>
        <mc:Fallback/>
      </mc:AlternateContent>
    </comment>
    <comment ref="F11"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-66</xdr:colOff>
                <xdr:row>4</xdr:row>
                <xdr:rowOff>1</xdr:rowOff>
              </xdr:to>
            </anchor>
          </commentPr>
        </mc:Choice>
        <mc:Fallback/>
      </mc:AlternateContent>
    </comment>
    <comment ref="F1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-66</xdr:colOff>
                <xdr:row>4</xdr:row>
                <xdr:rowOff>1</xdr:rowOff>
              </xdr:to>
            </anchor>
          </commentPr>
        </mc:Choice>
        <mc:Fallback/>
      </mc:AlternateContent>
    </comment>
    <comment ref="G11"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-66</xdr:colOff>
                <xdr:row>4</xdr:row>
                <xdr:rowOff>1</xdr:rowOff>
              </xdr:to>
            </anchor>
          </commentPr>
        </mc:Choice>
        <mc:Fallback/>
      </mc:AlternateContent>
    </comment>
    <comment ref="G1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-66</xdr:colOff>
                <xdr:row>4</xdr:row>
                <xdr:rowOff>1</xdr:rowOff>
              </xdr:to>
            </anchor>
          </commentPr>
        </mc:Choice>
        <mc:Fallback/>
      </mc:AlternateContent>
    </comment>
    <comment ref="H11"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-66</xdr:colOff>
                <xdr:row>4</xdr:row>
                <xdr:rowOff>1</xdr:rowOff>
              </xdr:to>
            </anchor>
          </commentPr>
        </mc:Choice>
        <mc:Fallback/>
      </mc:AlternateContent>
    </comment>
    <comment ref="H1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-66</xdr:colOff>
                <xdr:row>4</xdr:row>
                <xdr:rowOff>1</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20</xdr:rowOff>
              </xdr:from>
              <xdr:to>
                <xdr:col>4</xdr:col>
                <xdr:colOff>-73</xdr:colOff>
                <xdr:row>4</xdr:row>
                <xdr:rowOff>13</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F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G5" authorId="0">
      <text>
        <r>
          <rPr>
            <sz val="10"/>
            <rFont val="Arial"/>
            <family val="2"/>
          </rPr>
          <t xml:space="preserve">Tasks that must come first, by UID, comma-separated: 12 = after 12 finishes; 12SS+2d = 2 days after 12 starts; FS, SS, FF, SF; lag in working days (- = lead). Up to 4; each must be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6</xdr:row>
                <xdr:rowOff>3</xdr:rowOff>
              </xdr:to>
            </anchor>
          </commentPr>
        </mc:Choice>
        <mc:Fallback/>
      </mc:AlternateContent>
    </comment>
    <comment ref="H5" authorId="0">
      <text>
        <r>
          <rPr>
            <sz val="10"/>
            <rFont val="Arial"/>
            <family val="2"/>
          </rPr>
          <t xml:space="preserve">Who does it: names or initials from Resources, comma-separated, with an optional share of their time, e.g. Alex Chen, JL[50%] (blank = DefaultUnits). Up to 4 people.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5</xdr:row>
                <xdr:rowOff>8</xdr:rowOff>
              </xdr:to>
            </anchor>
          </commentPr>
        </mc:Choice>
        <mc:Fallback/>
      </mc:AlternateContent>
    </comment>
    <comment ref="I5" authorId="0">
      <text>
        <r>
          <rPr>
            <sz val="10"/>
            <rFont val="Arial"/>
            <family val="2"/>
          </rPr>
          <t xml:space="preserve">Where the task is: Not Started, Design, In Development, Test Ready, In Testing, Complete. Each stage's % Complete is on Settings &gt; Stages.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34</xdr:rowOff>
              </xdr:to>
            </anchor>
          </commentPr>
        </mc:Choice>
        <mc:Fallback/>
      </mc:AlternateContent>
    </comment>
    <comment ref="M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Q5" authorId="0">
      <text>
        <r>
          <rPr>
            <sz val="10"/>
            <rFont val="Arial"/>
            <family val="2"/>
          </rPr>
          <t xml:space="preserve">Everything wrong on this row, in words: links, UID, outline level, resource, over-allocation, missed deadline. Blank = fine.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R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S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34</xdr:rowOff>
              </xdr:to>
            </anchor>
          </commentPr>
        </mc:Choice>
        <mc:Fallback/>
      </mc:AlternateContent>
    </comment>
    <comment ref="U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V5" authorId="0">
      <text>
        <r>
          <rPr>
            <sz val="10"/>
            <rFont val="Arial"/>
            <family val="2"/>
          </rPr>
          <t xml:space="preserve">Date for the Constraint. Manual tasks are pinned to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W5" authorId="0">
      <text>
        <r>
          <rPr>
            <sz val="10"/>
            <rFont val="Arial"/>
            <family val="2"/>
          </rPr>
          <t xml:space="preserve">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X5" authorId="0">
      <text>
        <r>
          <rPr>
            <sz val="10"/>
            <rFont val="Arial"/>
            <family val="2"/>
          </rPr>
          <t xml:space="preserve">Baseline Start if a baseline is set, otherwise calculated from durations and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Y5" authorId="0">
      <text>
        <r>
          <rPr>
            <sz val="10"/>
            <rFont val="Arial"/>
            <family val="2"/>
          </rPr>
          <t xml:space="preserve">Baseline Finish if a baseline is set, otherwise calculated.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Z5" authorId="0">
      <text>
        <r>
          <rPr>
            <sz val="10"/>
            <rFont val="Arial"/>
            <family val="2"/>
          </rPr>
          <t xml:space="preserve">Start minus Planned Start, in working days.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A5" authorId="0">
      <text>
        <r>
          <rPr>
            <sz val="10"/>
            <rFont val="Arial"/>
            <family val="2"/>
          </rPr>
          <t xml:space="preserve">Latest start that doesn't delay the project finish or a deadline (critical path backward pass).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B5" authorId="0">
      <text>
        <r>
          <rPr>
            <sz val="10"/>
            <rFont val="Arial"/>
            <family val="2"/>
          </rPr>
          <t xml:space="preserve">Latest finish that doesn't delay the project finish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C5" authorId="0">
      <text>
        <r>
          <rPr>
            <sz val="10"/>
            <rFont val="Arial"/>
            <family val="2"/>
          </rPr>
          <t xml:space="preserve">Total slack: working days this task can slip before it delays the project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D5" authorId="0">
      <text>
        <r>
          <rPr>
            <sz val="10"/>
            <rFont val="Arial"/>
            <family val="2"/>
          </rPr>
          <t xml:space="preserve">Free slack: working days it can slip before it delays any successor.</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F5" authorId="0">
      <text>
        <r>
          <rPr>
            <sz val="10"/>
            <rFont val="Arial"/>
            <family val="2"/>
          </rPr>
          <t xml:space="preserve">Explains predecessor links and constraints that are ignored.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G5" authorId="0">
      <text>
        <r>
          <rPr>
            <sz val="10"/>
            <rFont val="Arial"/>
            <family val="2"/>
          </rPr>
          <t xml:space="preserve">Optional: overrides the Stage's % (0-100%). Blank = the Stage's %. An Actual Finish counts as 100%.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H5" authorId="0">
      <text>
        <r>
          <rPr>
            <sz val="10"/>
            <rFont val="Arial"/>
            <family val="2"/>
          </rPr>
          <t xml:space="preserve">The Stage's % (or the % Complete override), rolled up to summaries (duration-weighted).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Predecessors in MS Project notation, by ID.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J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K5" authorId="0">
      <text>
        <r>
          <rPr>
            <sz val="10"/>
            <rFont val="Arial"/>
            <family val="2"/>
          </rPr>
          <t xml:space="preserve">Everyone on the task, by full name with units: the Resources cell, checked (MS Project's Resource Names).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M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N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O5" authorId="0">
      <text>
        <r>
          <rPr>
            <sz val="10"/>
            <rFont val="Arial"/>
            <family val="2"/>
          </rPr>
          <t xml:space="preserve">Work minus Baseline Work (hours).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Cost minus Baseline Cost.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Q5" authorId="0">
      <text>
        <r>
          <rPr>
            <sz val="10"/>
            <rFont val="Arial"/>
            <family val="2"/>
          </rPr>
          <t xml:space="preserve">Copy the 5 BL Source columns, then Paste Special &gt; Values onto the 5 Baseline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V5" authorId="0">
      <text>
        <r>
          <rPr>
            <sz val="10"/>
            <rFont val="Arial"/>
            <family val="2"/>
          </rPr>
          <t xml:space="preserve">Frozen plan. Filled by pasting values from the BL Source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A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B5" authorId="0">
      <text>
        <r>
          <rPr>
            <sz val="10"/>
            <rFont val="Arial"/>
            <family val="2"/>
          </rPr>
          <t xml:space="preserve">Budget at completion: Baseline Cost once a baseline is set, otherwise Cost.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C5" authorId="0">
      <text>
        <r>
          <rPr>
            <sz val="10"/>
            <rFont val="Arial"/>
            <family val="2"/>
          </rPr>
          <t xml:space="preserve">Planned value: the budget of the work planned before the status date.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D5" authorId="0">
      <text>
        <r>
          <rPr>
            <sz val="10"/>
            <rFont val="Arial"/>
            <family val="2"/>
          </rPr>
          <t xml:space="preserve">Actual cost to date: Actual Cost, or Cost x Progress when it is blank.</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L5" authorId="0">
      <text>
        <r>
          <rPr>
            <sz val="10"/>
            <rFont val="Arial"/>
            <family val="2"/>
          </rPr>
          <t xml:space="preserve">Yes down to Settings &gt; OutlineShowLevel: filter on Yes to collapse the outline.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-66</xdr:colOff>
                <xdr:row>4</xdr:row>
                <xdr:rowOff>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this resource is on (Tasks &gt; Resources).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(shared by cost between the task's people),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19</xdr:rowOff>
              </xdr:to>
            </anchor>
          </commentPr>
        </mc:Choice>
        <mc:Fallback/>
      </mc:AlternateContent>
    </comment>
    <comment ref="N5"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P5"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Q5"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R5"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S5"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T5"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U5"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V5"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W5"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X5"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Y5"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Z5"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A5"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B5"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C5"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D5"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E5"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F5"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G5"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H5"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5"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J5"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K5"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L5"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M5"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N5"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O5"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P5"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Q5"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R5"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S5"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T5"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U5"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V5"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W5"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sharedStrings.xml><?xml version="1.0" encoding="utf-8"?>
<sst xmlns="http://schemas.openxmlformats.org/spreadsheetml/2006/main" count="808" uniqueCount="664">
  <si>
    <t xml:space="preserve">Project Planner - start here</t>
  </si>
  <si>
    <t xml:space="preserve">Blue = type here. Grey = calculated. Every sheet works in Excel alone: desktop, web and iPhone.</t>
  </si>
  <si>
    <t xml:space="preserve">YOUR PROJECT</t>
  </si>
  <si>
    <t xml:space="preserve">Project name</t>
  </si>
  <si>
    <t xml:space="preserve">Customer Portal Implementation</t>
  </si>
  <si>
    <t xml:space="preserve">Project manager</t>
  </si>
  <si>
    <t xml:space="preserve">Priya Sharma</t>
  </si>
  <si>
    <t xml:space="preserve">Project start date</t>
  </si>
  <si>
    <t xml:space="preserve">Working week</t>
  </si>
  <si>
    <t xml:space="preserve">Mon-Fri</t>
  </si>
  <si>
    <t xml:space="preserve">Working hours per day</t>
  </si>
  <si>
    <t xml:space="preserve">QUICK START</t>
  </si>
  <si>
    <t xml:space="preserve">1. Your project</t>
  </si>
  <si>
    <t xml:space="preserve">Fill in the blue cells above: name, manager, start date, working week and hours per day. Everything else has a sensible default on Settings.</t>
  </si>
  <si>
    <t xml:space="preserve">2. People</t>
  </si>
  <si>
    <t xml:space="preserve">List the people (or roles) with their availability, hourly rate and any leave (by month, on the same row).  Go to Resources.</t>
  </si>
  <si>
    <t xml:space="preserve">3. Tasks</t>
  </si>
  <si>
    <t xml:space="preserve">One row per task: Level (1 = phase, 2 = task ...), Task Name, Duration in working days, the UID of the tasks that must come first (Predecessors, e.g. 12 or 12, 14SS+2d) and who does it (Resources). That's a plan: dates, the critical path, the Gantt and the reports follow. Optional columns are grouped: click + above a section to show them.  Go to Tasks.</t>
  </si>
  <si>
    <t xml:space="preserve">4. Check</t>
  </si>
  <si>
    <t xml:space="preserve">Fix anything in the Issues column (red), then look at the Gantt and the Roadmap.  Go to Gantt.</t>
  </si>
  <si>
    <t xml:space="preserve">5. Baseline</t>
  </si>
  <si>
    <t xml:space="preserve">When the plan is agreed, freeze it: on Tasks open the BASELINE section (+), copy the 5 'BL Source' columns and Paste Special &gt; Values onto the 5 Baseline columns.  Go to Tasks.</t>
  </si>
  <si>
    <t xml:space="preserve">EVERY WEEK</t>
  </si>
  <si>
    <t xml:space="preserve">Status sheet</t>
  </si>
  <si>
    <t xml:space="preserve">The weekly update starts on the Status sheet: type the status date at its top, then follow the steps under it (progress on Tasks, the Log, the RAG, the commentary, the History snapshot).  Go to Status.</t>
  </si>
  <si>
    <t xml:space="preserve">REFERENCE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</si>
  <si>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</si>
  <si>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</si>
  <si>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</si>
  <si>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</si>
  <si>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</si>
  <si>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</si>
  <si>
    <t xml:space="preserve">2. Resources</t>
  </si>
  <si>
    <t xml:space="preserve">List people/roles with Max Units and hourly rate. Type their names (or initials) in the Resources column on Tasks: several people are comma-separated, with an optional share of their time, e.g. 'Alex Chen, JL[50%]'.</t>
  </si>
  <si>
    <t xml:space="preserve">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</si>
  <si>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</si>
  <si>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</si>
  <si>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</si>
  <si>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</si>
  <si>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</si>
  <si>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</si>
  <si>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</si>
  <si>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The panel shows ID, Task, Start, Finish, % and Resources; click + above it for WBS, duration, planned dates and status. Timeline: dark outline = planned dates, green = done, blue = remaining on track, red = remaining on the critical path, orange = remaining but late vs plan, dark grey = summary, purple = milestone, red cell = deadline, red border = status date. Change GanttStart / GanttPeriod (1 = days, 7 = weeks, 30 = months, 91 = quarters) on Settings to scroll or zoom. Collapse the outline with the 1 2 3 buttons at the top left (rows are grouped by Level), or set Settings &gt; OutlineShowLevel and filter Show = Yes (also on Tasks).</t>
  </si>
  <si>
    <t xml:space="preserve">6b. Roadmap</t>
  </si>
  <si>
    <t xml:space="preserve">One landscape page for sponsors: phases and milestones with their dates, drawn by month (blue = forecast, green = done, amber = late vs plan, outline = planned, purple = milestone, red = deadline missed). Settings &gt; RoadmapStart scrolls the 18 months shown.</t>
  </si>
  <si>
    <t xml:space="preserve">8. Status</t>
  </si>
  <si>
    <t xml:space="preserve">The weekly page, printable on one page: the status date and this week's steps, overall RAG and RAG by area (schedule, SPI, CPI, deadlines, critical path, RAID, plan quality) calculated from the thresholds on Settings (RAG...); pick a PM RAG to override one and say why in Comment. Then key figures, tasks by status, next milestones, earned value (BAC, PV, EV, AC, SPI, CPI, EAC, VAC, TCPI), the top open RAID items, change control, the commentary for the period and the snapshot row for History.</t>
  </si>
  <si>
    <t xml:space="preserve">Leave</t>
  </si>
  <si>
    <t xml:space="preserve">On Resources, to the right of each person's details: one column per month (Jan-26 ... Dec-28; add a month by inserting a column among the months and typing e.g. Jan-29). Type the days off: '16, 17(0.5)' under Nov-26 = all of 16 November and half of the 17th. Weekends and holidays are ignored. Leave lowers capacity on the Resource Report and the Agile sheet and can make a task Over-allocated; it does not move task dates.</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</si>
  <si>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</si>
  <si>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</si>
  <si>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</si>
  <si>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</si>
  <si>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</si>
  <si>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</si>
  <si>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</si>
  <si>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</si>
  <si>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</si>
  <si>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</si>
  <si>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</si>
  <si>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</si>
  <si>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</si>
  <si>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</si>
  <si>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</si>
  <si>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</si>
  <si>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</si>
  <si>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</si>
  <si>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</si>
  <si>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</si>
  <si>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</si>
  <si>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</si>
  <si>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</si>
  <si>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SprintTable 26, Log 150, Holidays 100. The Gantt shows the first 200 tasks (the Gantt says so when there are more); the Gantt timeline has 150 columns; the per-resource grids on the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</si>
  <si>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</si>
  <si>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</si>
  <si>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</si>
  <si>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</si>
  <si>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</si>
  <si>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</si>
  <si>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</si>
  <si>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</si>
  <si>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</si>
  <si>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</si>
  <si>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</si>
  <si>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SprintTable, HolidayTable, GanttView, KPIs, StatusSummary, NextMilestones, OverallStatus, StatusRAG, EarnedValue, StatusNotes, PhaseSummary, MilestoneReport, LateTasks, StartingSoon, DueSoon, CriticalTasks, ResourceSummary, AgileKPIs, SprintBacklog, SprintBurndown, 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</si>
  <si>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</si>
  <si>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</si>
  <si>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</si>
  <si>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</si>
  <si>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 / Log</t>
  </si>
  <si>
    <t xml:space="preserve">res_Name, res_MaxUnits, res_Rate, ...  spr_Name, spr_Start, spr_End, spr_WorkDays, spr_Capacity, spr_Work ...  log_Type, log_Status, log_Rating, log_Open ...</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</si>
  <si>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</si>
  <si>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</si>
  <si>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THIS WEEK</t>
  </si>
  <si>
    <t xml:space="preserve">Every reporting date, top to bottom</t>
  </si>
  <si>
    <t xml:space="preserve">1. Status date</t>
  </si>
  <si>
    <t xml:space="preserve">Type the reporting date (Ctrl+; = today)</t>
  </si>
  <si>
    <t xml:space="preserve">2. Progress</t>
  </si>
  <si>
    <t xml:space="preserve">On Tasks: the Stage, Actual Start and Actual Finish for the tasks that moved.  Go to Tasks.</t>
  </si>
  <si>
    <t xml:space="preserve">3. RAG</t>
  </si>
  <si>
    <t xml:space="preserve">Review the RAG below; where you disagree, pick a PM RAG and say why in Comment.</t>
  </si>
  <si>
    <t xml:space="preserve">4. Commentary</t>
  </si>
  <si>
    <t xml:space="preserve">Write this period's notes in the COMMENTARY table below.</t>
  </si>
  <si>
    <t xml:space="preserve">Area</t>
  </si>
  <si>
    <t xml:space="preserve">Measure</t>
  </si>
  <si>
    <t xml:space="preserve">Value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</si>
  <si>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</si>
  <si>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</si>
  <si>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</si>
  <si>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</si>
  <si>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</si>
  <si>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</si>
  <si>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</si>
  <si>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</si>
  <si>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Deadlines</t>
  </si>
  <si>
    <t xml:space="preserve">Tasks forecast to miss their deadline</t>
  </si>
  <si>
    <t xml:space="preserve">Critical tasks forecast to finish late</t>
  </si>
  <si>
    <t xml:space="preserve">Plan quality</t>
  </si>
  <si>
    <t xml:space="preserve">Ignored links and outline errors (see Tasks)</t>
  </si>
  <si>
    <t xml:space="preserve">KEY FIGURES</t>
  </si>
  <si>
    <t xml:space="preserve">Source</t>
  </si>
  <si>
    <t xml:space="preserve">Status</t>
  </si>
  <si>
    <t xml:space="preserve">Count</t>
  </si>
  <si>
    <t xml:space="preserve">Planned start</t>
  </si>
  <si>
    <t xml:space="preserve">Tasks</t>
  </si>
  <si>
    <t xml:space="preserve">Complete</t>
  </si>
  <si>
    <t xml:space="preserve">Planned finish</t>
  </si>
  <si>
    <t xml:space="preserve">Tasks (the baseline once it is set)</t>
  </si>
  <si>
    <t xml:space="preserve">In Progress</t>
  </si>
  <si>
    <t xml:space="preserve">Forecast finish</t>
  </si>
  <si>
    <t xml:space="preserve">Behind</t>
  </si>
  <si>
    <t xml:space="preserve">Overall progress (duration-weighted)</t>
  </si>
  <si>
    <t xml:space="preserve">Late Start</t>
  </si>
  <si>
    <t xml:space="preserve">Planned progress by status date</t>
  </si>
  <si>
    <t xml:space="preserve">Not Started</t>
  </si>
  <si>
    <t xml:space="preserve">Detail tasks</t>
  </si>
  <si>
    <t xml:space="preserve">Milestones</t>
  </si>
  <si>
    <t xml:space="preserve">Total work (hrs)</t>
  </si>
  <si>
    <t xml:space="preserve">Total cost</t>
  </si>
  <si>
    <t xml:space="preserve">Baseline</t>
  </si>
  <si>
    <t xml:space="preserve">Tasks &gt; BASELINE</t>
  </si>
  <si>
    <t xml:space="preserve">Open critical tasks</t>
  </si>
  <si>
    <t xml:space="preserve">Tasks with issues (see Tasks &gt; Issues)</t>
  </si>
  <si>
    <t xml:space="preserve">Tasks &gt; Issues</t>
  </si>
  <si>
    <t xml:space="preserve">Next milestones (forecast)</t>
  </si>
  <si>
    <t xml:space="preserve">Forecast date</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</si>
  <si>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</si>
  <si>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</si>
  <si>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</si>
  <si>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</si>
  <si>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</si>
  <si>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</si>
  <si>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</si>
  <si>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</si>
  <si>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</si>
  <si>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_Task</t>
  </si>
  <si>
    <t xml:space="preserve">WBS</t>
  </si>
  <si>
    <t xml:space="preserve">Phase</t>
  </si>
  <si>
    <t xml:space="preserve">Planned Start</t>
  </si>
  <si>
    <t xml:space="preserve">Planned Finish</t>
  </si>
  <si>
    <t xml:space="preserve">Start</t>
  </si>
  <si>
    <t xml:space="preserve">Finish</t>
  </si>
  <si>
    <t xml:space="preserve">Progress</t>
  </si>
  <si>
    <t xml:space="preserve">Finish Var</t>
  </si>
  <si>
    <t xml:space="preserve">Milestone</t>
  </si>
  <si>
    <t xml:space="preserve">Planned</t>
  </si>
  <si>
    <t xml:space="preserve">Deadline</t>
  </si>
  <si>
    <t xml:space="preserve">Forecast</t>
  </si>
  <si>
    <t xml:space="preserve">Deadline Check</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</si>
  <si>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</si>
  <si>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</si>
  <si>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</si>
  <si>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</si>
  <si>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</si>
  <si>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</si>
  <si>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Project Settings</t>
  </si>
  <si>
    <t xml:space="preserve">Blue = edit me. Grey = calculated. Column D shows the defined name every formula uses for that setting. The settings every plan needs are on the Start sheet.</t>
  </si>
  <si>
    <t xml:space="preserve">Setting</t>
  </si>
  <si>
    <t xml:space="preserve">Named range</t>
  </si>
  <si>
    <t xml:space="preserve">Dropdown lists (+)</t>
  </si>
  <si>
    <t xml:space="preserve">Link Type</t>
  </si>
  <si>
    <t xml:space="preserve">Task Mode</t>
  </si>
  <si>
    <t xml:space="preserve">Working Week</t>
  </si>
  <si>
    <t xml:space="preserve">Constraint</t>
  </si>
  <si>
    <t xml:space="preserve">Yes / No</t>
  </si>
  <si>
    <t xml:space="preserve">Resource Type</t>
  </si>
  <si>
    <t xml:space="preserve">Gantt Days per Column</t>
  </si>
  <si>
    <t xml:space="preserve">Log Type</t>
  </si>
  <si>
    <t xml:space="preserve">RAID Status</t>
  </si>
  <si>
    <t xml:space="preserve">Decision Status</t>
  </si>
  <si>
    <t xml:space="preserve">Change Status</t>
  </si>
  <si>
    <t xml:space="preserve">Project start (in use)</t>
  </si>
  <si>
    <t xml:space="preserve">ProjectStart</t>
  </si>
  <si>
    <t xml:space="preserve">Copy of the date above (dates show as 1900 until it is entered).</t>
  </si>
  <si>
    <t xml:space="preserve">FS</t>
  </si>
  <si>
    <t xml:space="preserve">Auto</t>
  </si>
  <si>
    <t xml:space="preserve">As Soon As Possible</t>
  </si>
  <si>
    <t xml:space="preserve">Yes</t>
  </si>
  <si>
    <t xml:space="preserve">Work</t>
  </si>
  <si>
    <t xml:space="preserve">Green</t>
  </si>
  <si>
    <t xml:space="preserve">Risk</t>
  </si>
  <si>
    <t xml:space="preserve">Open</t>
  </si>
  <si>
    <t xml:space="preserve">Proposed</t>
  </si>
  <si>
    <t xml:space="preserve">Submitted</t>
  </si>
  <si>
    <t xml:space="preserve">Status date (in use)</t>
  </si>
  <si>
    <t xml:space="preserve">StatusDate</t>
  </si>
  <si>
    <t xml:space="preserve">The project start until a status date is entered. Drives Status, the red status-date line on the Gantt and rescheduling of late work.</t>
  </si>
  <si>
    <t xml:space="preserve">SS</t>
  </si>
  <si>
    <t xml:space="preserve">Manual</t>
  </si>
  <si>
    <t xml:space="preserve">Sun-Thu</t>
  </si>
  <si>
    <t xml:space="preserve">As Late As Possible</t>
  </si>
  <si>
    <t xml:space="preserve">No</t>
  </si>
  <si>
    <t xml:space="preserve">Material</t>
  </si>
  <si>
    <t xml:space="preserve">Amber</t>
  </si>
  <si>
    <t xml:space="preserve">Assumption</t>
  </si>
  <si>
    <t xml:space="preserve">Approved</t>
  </si>
  <si>
    <t xml:space="preserve">Under Review</t>
  </si>
  <si>
    <t xml:space="preserve">First working day on/after status date</t>
  </si>
  <si>
    <t xml:space="preserve">StatusWorkday</t>
  </si>
  <si>
    <t xml:space="preserve">FF</t>
  </si>
  <si>
    <t xml:space="preserve">Mon-Sat</t>
  </si>
  <si>
    <t xml:space="preserve">Must Start On</t>
  </si>
  <si>
    <t xml:space="preserve">Cost</t>
  </si>
  <si>
    <t xml:space="preserve">Red</t>
  </si>
  <si>
    <t xml:space="preserve">Issue</t>
  </si>
  <si>
    <t xml:space="preserve">Closed</t>
  </si>
  <si>
    <t xml:space="preserve">Rejected</t>
  </si>
  <si>
    <t xml:space="preserve">Reschedule incomplete work after status date?</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</si>
  <si>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</si>
  <si>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</si>
  <si>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SF</t>
  </si>
  <si>
    <t xml:space="preserve">Custom</t>
  </si>
  <si>
    <t xml:space="preserve">Must Finish On</t>
  </si>
  <si>
    <t xml:space="preserve">Dependency</t>
  </si>
  <si>
    <t xml:space="preserve">Superseded</t>
  </si>
  <si>
    <t xml:space="preserve">Default assignment units</t>
  </si>
  <si>
    <t xml:space="preserve">DefaultUnits</t>
  </si>
  <si>
    <t xml:space="preserve">Used when a task has a resource but Units is blank. 100% = full time.</t>
  </si>
  <si>
    <t xml:space="preserve">Start No Earlier Than</t>
  </si>
  <si>
    <t xml:space="preserve">Decision</t>
  </si>
  <si>
    <t xml:space="preserve">Implemented</t>
  </si>
  <si>
    <t xml:space="preserve">Monday is a working day</t>
  </si>
  <si>
    <t xml:space="preserve">WorkMon</t>
  </si>
  <si>
    <t xml:space="preserve">Used when Working week (Start sheet) is Custom: Yes / No for each day.</t>
  </si>
  <si>
    <t xml:space="preserve">Start No Later Than</t>
  </si>
  <si>
    <t xml:space="preserve">Change</t>
  </si>
  <si>
    <t xml:space="preserve">Tuesday is a working day</t>
  </si>
  <si>
    <t xml:space="preserve">WorkTue</t>
  </si>
  <si>
    <t xml:space="preserve">Finish No Earlier Than</t>
  </si>
  <si>
    <t xml:space="preserve">Wednesday is a working day</t>
  </si>
  <si>
    <t xml:space="preserve">WorkWed</t>
  </si>
  <si>
    <t xml:space="preserve">Finish No Later Than</t>
  </si>
  <si>
    <t xml:space="preserve">Thursday is a working day</t>
  </si>
  <si>
    <t xml:space="preserve">WorkThu</t>
  </si>
  <si>
    <t xml:space="preserve">Friday is a working day</t>
  </si>
  <si>
    <t xml:space="preserve">WorkFri</t>
  </si>
  <si>
    <t xml:space="preserve">Dropdown sources. Add a value by typing it in the row under a list: the table and its named range grow.</t>
  </si>
  <si>
    <t xml:space="preserve">Saturday is a working day</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</si>
  <si>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</si>
  <si>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</si>
  <si>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</si>
  <si>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</si>
  <si>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</si>
  <si>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</si>
  <si>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Show the Gantt and Resource Report from</t>
  </si>
  <si>
    <t xml:space="preserve">ViewFrom</t>
  </si>
  <si>
    <t xml:space="preserve">Defaults to two weeks before the status date (the project start until then). Overwrite with any date to scroll both views at once; GanttStart and ResourceWeekStart below follow it unless you overwrite them.</t>
  </si>
  <si>
    <t xml:space="preserve">Gantt timeline start</t>
  </si>
  <si>
    <t xml:space="preserve">GanttStart</t>
  </si>
  <si>
    <t xml:space="preserve">Defaults to the Monday of the View from week. Overwrite with any date to scroll the timeline alone.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</si>
  <si>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</si>
  <si>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</si>
  <si>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</si>
  <si>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</si>
  <si>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</si>
  <si>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and Gantt &gt; Show is Yes for rows at this level or above: filter Show = Yes to see only phases (1), phases and tasks (2) ... Reapply the filter (Data &gt; Reapply) after changing it.</t>
  </si>
  <si>
    <t xml:space="preserve">Roadmap first month</t>
  </si>
  <si>
    <t xml:space="preserve">RoadmapStart</t>
  </si>
  <si>
    <t xml:space="preserve">The Roadmap sheet's first month. Overwrite with the first of any month to scroll it.</t>
  </si>
  <si>
    <t xml:space="preserve">Most people on one task (calculated)</t>
  </si>
  <si>
    <t xml:space="preserve">MaxPeople</t>
  </si>
  <si>
    <t xml:space="preserve">Per-resource totals skip the person slots no task uses, so a plan with one person per task stays fast.</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</si>
  <si>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</si>
  <si>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</si>
  <si>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</si>
  <si>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</si>
  <si>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</si>
  <si>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</si>
  <si>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</si>
  <si>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</si>
  <si>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</si>
  <si>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</si>
  <si>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</si>
  <si>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</si>
  <si>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</si>
  <si>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</si>
  <si>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</si>
  <si>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</si>
  <si>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</si>
  <si>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</si>
  <si>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</si>
  <si>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sheet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</si>
  <si>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</si>
  <si>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</si>
  <si>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</si>
  <si>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</si>
  <si>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</si>
  <si>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</si>
  <si>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</si>
  <si>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Next free task UID (calculated)</t>
  </si>
  <si>
    <t xml:space="preserve">NextFreeUID</t>
  </si>
  <si>
    <t xml:space="preserve">Give a newly inserted task row this UID (see Start &gt; Inserting tasks).</t>
  </si>
  <si>
    <t xml:space="preserve">STAGES: pick one per task on Tasks &gt; Stage; its % Complete counts as the task's progress (a typed % Complete overrides it).</t>
  </si>
  <si>
    <t xml:space="preserve">Stage</t>
  </si>
  <si>
    <t xml:space="preserve">% Complete</t>
  </si>
  <si>
    <t xml:space="preserve">Design</t>
  </si>
  <si>
    <t xml:space="preserve">In Development</t>
  </si>
  <si>
    <t xml:space="preserve">Test Ready</t>
  </si>
  <si>
    <t xml:space="preserve">In Testing</t>
  </si>
  <si>
    <t xml:space="preserve">HOLIDAYS: every date here is skipped by all scheduling formulas (named range: Holidays). Add rows to the table as needed.</t>
  </si>
  <si>
    <t xml:space="preserve">Date</t>
  </si>
  <si>
    <t xml:space="preserve">Description</t>
  </si>
  <si>
    <t xml:space="preserve">Christmas Eve (example - replace with your calendar)</t>
  </si>
  <si>
    <t xml:space="preserve">Christmas Day (example)</t>
  </si>
  <si>
    <t xml:space="preserve">New Year's Eve (example)</t>
  </si>
  <si>
    <t xml:space="preserve">New Year's Day (example)</t>
  </si>
  <si>
    <t xml:space="preserve">Type in BLUE columns only. Level = outline level (1 = phase, 2 = task, 3 = sub-task). Predecessors refer to the UID column. Fix anything in Issues (red). More columns (scheduling, schedule detail, cost, agile, baseline, earned value): click + above a section. Insert rows inside the table: formulas fill in automatically.</t>
  </si>
  <si>
    <t xml:space="preserve">PLAN: type in the blue columns</t>
  </si>
  <si>
    <t xml:space="preserve">SCHEDULING</t>
  </si>
  <si>
    <t xml:space="preserve">DETAIL</t>
  </si>
  <si>
    <t xml:space="preserve">COST</t>
  </si>
  <si>
    <t xml:space="preserve">BASELINE</t>
  </si>
  <si>
    <t xml:space="preserve">EARNED VALUE</t>
  </si>
  <si>
    <t xml:space="preserve">HELPER COLUMNS (hidden)</t>
  </si>
  <si>
    <t xml:space="preserve">ID</t>
  </si>
  <si>
    <t xml:space="preserve">UID</t>
  </si>
  <si>
    <t xml:space="preserve">Level</t>
  </si>
  <si>
    <t xml:space="preserve">Task Name</t>
  </si>
  <si>
    <t xml:space="preserve">Duration</t>
  </si>
  <si>
    <t xml:space="preserve">Resources</t>
  </si>
  <si>
    <t xml:space="preserve">Actual Start</t>
  </si>
  <si>
    <t xml:space="preserve">Actual Finish</t>
  </si>
  <si>
    <t xml:space="preserve">Critical</t>
  </si>
  <si>
    <t xml:space="preserve">Issues</t>
  </si>
  <si>
    <t xml:space="preserve">Show</t>
  </si>
  <si>
    <t xml:space="preserve">Constraint Date</t>
  </si>
  <si>
    <t xml:space="preserve">Start Var</t>
  </si>
  <si>
    <t xml:space="preserve">Late Finish</t>
  </si>
  <si>
    <t xml:space="preserve">Total Slack</t>
  </si>
  <si>
    <t xml:space="preserve">Free Slack</t>
  </si>
  <si>
    <t xml:space="preserve">Link Check</t>
  </si>
  <si>
    <t xml:space="preserve">Predecessors by ID</t>
  </si>
  <si>
    <t xml:space="preserve">Resource Names</t>
  </si>
  <si>
    <t xml:space="preserve">Actual Cost</t>
  </si>
  <si>
    <t xml:space="preserve">Duration Var</t>
  </si>
  <si>
    <t xml:space="preserve">Work Var</t>
  </si>
  <si>
    <t xml:space="preserve">Cost Var</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</si>
  <si>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</si>
  <si>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</si>
  <si>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</si>
  <si>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</si>
  <si>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</si>
  <si>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</si>
  <si>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</si>
  <si>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</si>
  <si>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</si>
  <si>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</si>
  <si>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EV</t>
  </si>
  <si>
    <t xml:space="preserve">Budget</t>
  </si>
  <si>
    <t xml:space="preserve">PV</t>
  </si>
  <si>
    <t xml:space="preserve">AC</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</si>
  <si>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</si>
  <si>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</si>
  <si>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</si>
  <si>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</si>
  <si>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</si>
  <si>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</si>
  <si>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</si>
  <si>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</si>
  <si>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</si>
  <si>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</si>
  <si>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</si>
  <si>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</si>
  <si>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</si>
  <si>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</si>
  <si>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</si>
  <si>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</si>
  <si>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</si>
  <si>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</si>
  <si>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</si>
  <si>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_Pred1Text</t>
  </si>
  <si>
    <t xml:space="preserve">_Pred1UID</t>
  </si>
  <si>
    <t xml:space="preserve">_Pred1Type</t>
  </si>
  <si>
    <t xml:space="preserve">_Pred1Lag</t>
  </si>
  <si>
    <t xml:space="preserve">_Pred2Text</t>
  </si>
  <si>
    <t xml:space="preserve">_Pred2UID</t>
  </si>
  <si>
    <t xml:space="preserve">_Pred2Type</t>
  </si>
  <si>
    <t xml:space="preserve">_Pred2Lag</t>
  </si>
  <si>
    <t xml:space="preserve">_Pred3Text</t>
  </si>
  <si>
    <t xml:space="preserve">_Pred3UID</t>
  </si>
  <si>
    <t xml:space="preserve">_Pred3Type</t>
  </si>
  <si>
    <t xml:space="preserve">_Pred3Lag</t>
  </si>
  <si>
    <t xml:space="preserve">_Pred4Text</t>
  </si>
  <si>
    <t xml:space="preserve">_Pred4UID</t>
  </si>
  <si>
    <t xml:space="preserve">_Pred4Type</t>
  </si>
  <si>
    <t xml:space="preserve">_Pred4Lag</t>
  </si>
  <si>
    <t xml:space="preserve">_Res1Text</t>
  </si>
  <si>
    <t xml:space="preserve">_Res2Text</t>
  </si>
  <si>
    <t xml:space="preserve">_Res3Text</t>
  </si>
  <si>
    <t xml:space="preserve">_Res4Text</t>
  </si>
  <si>
    <t xml:space="preserve">_Resource1</t>
  </si>
  <si>
    <t xml:space="preserve">_Units1</t>
  </si>
  <si>
    <t xml:space="preserve">_People</t>
  </si>
  <si>
    <t xml:space="preserve">_Res2</t>
  </si>
  <si>
    <t xml:space="preserve">_Res2Units</t>
  </si>
  <si>
    <t xml:space="preserve">_Res2Work</t>
  </si>
  <si>
    <t xml:space="preserve">_Res2Cost</t>
  </si>
  <si>
    <t xml:space="preserve">_Res2WorkPerWD</t>
  </si>
  <si>
    <t xml:space="preserve">_Res2WorkBefore</t>
  </si>
  <si>
    <t xml:space="preserve">_Res2WorkDone</t>
  </si>
  <si>
    <t xml:space="preserve">_Res2AC</t>
  </si>
  <si>
    <t xml:space="preserve">_Res3</t>
  </si>
  <si>
    <t xml:space="preserve">_Res3Units</t>
  </si>
  <si>
    <t xml:space="preserve">_Res3Work</t>
  </si>
  <si>
    <t xml:space="preserve">_Res3Cost</t>
  </si>
  <si>
    <t xml:space="preserve">_Res3WorkPerWD</t>
  </si>
  <si>
    <t xml:space="preserve">_Res3WorkBefore</t>
  </si>
  <si>
    <t xml:space="preserve">_Res3WorkDone</t>
  </si>
  <si>
    <t xml:space="preserve">_Res3AC</t>
  </si>
  <si>
    <t xml:space="preserve">_Res4</t>
  </si>
  <si>
    <t xml:space="preserve">_Res4Units</t>
  </si>
  <si>
    <t xml:space="preserve">_Res4Work</t>
  </si>
  <si>
    <t xml:space="preserve">_Res4Cost</t>
  </si>
  <si>
    <t xml:space="preserve">_Res4WorkPerWD</t>
  </si>
  <si>
    <t xml:space="preserve">_Res4WorkBefore</t>
  </si>
  <si>
    <t xml:space="preserve">_Res4WorkDone</t>
  </si>
  <si>
    <t xml:space="preserve">_Res4AC</t>
  </si>
  <si>
    <t xml:space="preserve">_Pct</t>
  </si>
  <si>
    <t xml:space="preserve">_LeafProgress</t>
  </si>
  <si>
    <t xml:space="preserve">_LeafWork</t>
  </si>
  <si>
    <t xml:space="preserve">_LeafCost</t>
  </si>
  <si>
    <t xml:space="preserve">_LeafTotalWork</t>
  </si>
  <si>
    <t xml:space="preserve">_LeafTotalCost</t>
  </si>
  <si>
    <t xml:space="preserve">_ResourceAC</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</si>
  <si>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</si>
  <si>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</si>
  <si>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</si>
  <si>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</si>
  <si>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</si>
  <si>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</si>
  <si>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</si>
  <si>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</si>
  <si>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</si>
  <si>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</si>
  <si>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</si>
  <si>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</si>
  <si>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</si>
  <si>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</si>
  <si>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</si>
  <si>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</si>
  <si>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</si>
  <si>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</si>
  <si>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</si>
  <si>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</si>
  <si>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</si>
  <si>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</si>
  <si>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</si>
  <si>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</si>
  <si>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</si>
  <si>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</si>
  <si>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</si>
  <si>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</si>
  <si>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</si>
  <si>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</si>
  <si>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</si>
  <si>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</si>
  <si>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</si>
  <si>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</si>
  <si>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</si>
  <si>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</si>
  <si>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</si>
  <si>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</si>
  <si>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</si>
  <si>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</si>
  <si>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</si>
  <si>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</si>
  <si>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</si>
  <si>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</si>
  <si>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</si>
  <si>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</si>
  <si>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</si>
  <si>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</si>
  <si>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</si>
  <si>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</si>
  <si>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</si>
  <si>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</si>
  <si>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</si>
  <si>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</si>
  <si>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</si>
  <si>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Initiation</t>
  </si>
  <si>
    <t xml:space="preserve">Phase 1 - summary rows roll up dates, work, cost and progress automatically.</t>
  </si>
  <si>
    <t xml:space="preserve">Project charter &amp; scope statement</t>
  </si>
  <si>
    <t xml:space="preserve">Took 1 extra day for sponsor sign-off.</t>
  </si>
  <si>
    <t xml:space="preserve">Stakeholder kickoff workshop</t>
  </si>
  <si>
    <t xml:space="preserve">2</t>
  </si>
  <si>
    <t xml:space="preserve">Morgan Patel</t>
  </si>
  <si>
    <t xml:space="preserve">Kickoff complete</t>
  </si>
  <si>
    <t xml:space="preserve">3</t>
  </si>
  <si>
    <t xml:space="preserve">Milestone (Duration 0).</t>
  </si>
  <si>
    <t xml:space="preserve">Requirements &amp; Design</t>
  </si>
  <si>
    <t xml:space="preserve">Requirements gathering</t>
  </si>
  <si>
    <t xml:space="preserve">4</t>
  </si>
  <si>
    <t xml:space="preserve">Solution architecture</t>
  </si>
  <si>
    <t xml:space="preserve">6SS+3d</t>
  </si>
  <si>
    <t xml:space="preserve">Alex Chen, Jordan Lee[50%]</t>
  </si>
  <si>
    <t xml:space="preserve">Start-to-Start + 3 day lag example.</t>
  </si>
  <si>
    <t xml:space="preserve">UX wireframes &amp; prototype</t>
  </si>
  <si>
    <t xml:space="preserve">6</t>
  </si>
  <si>
    <t xml:space="preserve">Casey Kim</t>
  </si>
  <si>
    <t xml:space="preserve">Design sign-off</t>
  </si>
  <si>
    <t xml:space="preserve">7, 8</t>
  </si>
  <si>
    <t xml:space="preserve">Two predecessors - waits for the later one.</t>
  </si>
  <si>
    <t xml:space="preserve">Build</t>
  </si>
  <si>
    <t xml:space="preserve">Backend</t>
  </si>
  <si>
    <t xml:space="preserve">Level-2 summary with sub-tasks.</t>
  </si>
  <si>
    <t xml:space="preserve">Data model &amp; database setup</t>
  </si>
  <si>
    <t xml:space="preserve">9</t>
  </si>
  <si>
    <t xml:space="preserve">Jordan Lee</t>
  </si>
  <si>
    <t xml:space="preserve">Core API endpoints</t>
  </si>
  <si>
    <t xml:space="preserve">12</t>
  </si>
  <si>
    <t xml:space="preserve">In progress - enter % Complete; forecast finish adjusts.</t>
  </si>
  <si>
    <t xml:space="preserve">Payment gateway integration</t>
  </si>
  <si>
    <t xml:space="preserve">13</t>
  </si>
  <si>
    <t xml:space="preserve">Frontend</t>
  </si>
  <si>
    <t xml:space="preserve">UI component library</t>
  </si>
  <si>
    <t xml:space="preserve">Sam Rivera</t>
  </si>
  <si>
    <t xml:space="preserve">Feature screens</t>
  </si>
  <si>
    <t xml:space="preserve">16, 13SS+2d</t>
  </si>
  <si>
    <t xml:space="preserve">Sam Rivera, Casey Kim[50%]</t>
  </si>
  <si>
    <t xml:space="preserve">Accessibility review</t>
  </si>
  <si>
    <t xml:space="preserve">17FF+1d</t>
  </si>
  <si>
    <t xml:space="preserve">Casey Kim[50%]</t>
  </si>
  <si>
    <t xml:space="preserve">Finish-to-Finish + 1 day; 50% units.</t>
  </si>
  <si>
    <t xml:space="preserve">Build complete</t>
  </si>
  <si>
    <t xml:space="preserve">14, 18</t>
  </si>
  <si>
    <t xml:space="preserve">Milestone with a deadline of 06-Nov (see Deadline Check).</t>
  </si>
  <si>
    <t xml:space="preserve">Test &amp; Release</t>
  </si>
  <si>
    <t xml:space="preserve">System integration testing</t>
  </si>
  <si>
    <t xml:space="preserve">19</t>
  </si>
  <si>
    <t xml:space="preserve">Taylor Morgan, Sam Rivera[50%]</t>
  </si>
  <si>
    <t xml:space="preserve">User acceptance testing</t>
  </si>
  <si>
    <t xml:space="preserve">21</t>
  </si>
  <si>
    <t xml:space="preserve">Morgan Patel, Taylor Morgan</t>
  </si>
  <si>
    <t xml:space="preserve">Constraint: Start No Earlier Than 07-Dec (client availability).</t>
  </si>
  <si>
    <t xml:space="preserve">Training &amp; user guides</t>
  </si>
  <si>
    <t xml:space="preserve">21SS+2d</t>
  </si>
  <si>
    <t xml:space="preserve">Go-live readiness review</t>
  </si>
  <si>
    <t xml:space="preserve">22, 23, 21</t>
  </si>
  <si>
    <t xml:space="preserve">Three predecessors.</t>
  </si>
  <si>
    <t xml:space="preserve">Go-live</t>
  </si>
  <si>
    <t xml:space="preserve">24</t>
  </si>
  <si>
    <t xml:space="preserve">Milestone with a deadline of 18-Dec.</t>
  </si>
  <si>
    <t xml:space="preserve">Hypercare support</t>
  </si>
  <si>
    <t xml:space="preserve">25</t>
  </si>
  <si>
    <t xml:space="preserve">Jordan Lee[50%]</t>
  </si>
  <si>
    <t xml:space="preserve">Project Close</t>
  </si>
  <si>
    <t xml:space="preserve">Steering committee update</t>
  </si>
  <si>
    <t xml:space="preserve">Manual mode example: fixed on its Constraint Date.</t>
  </si>
  <si>
    <t xml:space="preserve">Lessons learned</t>
  </si>
  <si>
    <t xml:space="preserve">26</t>
  </si>
  <si>
    <t xml:space="preserve">Project closed</t>
  </si>
  <si>
    <t xml:space="preserve">29</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</si>
  <si>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</si>
  <si>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</si>
  <si>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</si>
  <si>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</si>
  <si>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</si>
  <si>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</si>
  <si>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Status date</t>
  </si>
  <si>
    <t xml:space="preserve">Non-working day</t>
  </si>
  <si>
    <t xml:space="preserve">Timeline: conditional formatting only (no formulas), so it costs no recalculation.</t>
  </si>
  <si>
    <t xml:space="preserve">Task</t>
  </si>
  <si>
    <t xml:space="preserve">%</t>
  </si>
  <si>
    <t xml:space="preserve">Dur</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</si>
  <si>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</si>
  <si>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</si>
  <si>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</si>
  <si>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</si>
  <si>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</si>
  <si>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</si>
  <si>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</si>
  <si>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</si>
  <si>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</si>
  <si>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</si>
  <si>
    <t xml:space="preserve">Resource Name</t>
  </si>
  <si>
    <t xml:space="preserve">Initials</t>
  </si>
  <si>
    <t xml:space="preserve">Group</t>
  </si>
  <si>
    <t xml:space="preserve">Type</t>
  </si>
  <si>
    <t xml:space="preserve">Max Units</t>
  </si>
  <si>
    <t xml:space="preserve">Std Rate</t>
  </si>
  <si>
    <t xml:space="preserve">Email</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</si>
  <si>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</si>
  <si>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</si>
  <si>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</si>
  <si>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</si>
  <si>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</si>
  <si>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</si>
  <si>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</si>
  <si>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</si>
  <si>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</si>
  <si>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</si>
  <si>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</si>
  <si>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</si>
  <si>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</si>
  <si>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</si>
  <si>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</si>
  <si>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</si>
  <si>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</si>
  <si>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</si>
  <si>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</si>
  <si>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</si>
  <si>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</si>
  <si>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</si>
  <si>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</si>
  <si>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</si>
  <si>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</si>
  <si>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</si>
  <si>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</si>
  <si>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</si>
  <si>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</si>
  <si>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</si>
  <si>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</si>
  <si>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</si>
  <si>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</si>
  <si>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</si>
  <si>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</si>
  <si>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</si>
  <si>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PS</t>
  </si>
  <si>
    <t xml:space="preserve">Project Manager</t>
  </si>
  <si>
    <t xml:space="preserve">priya@example.com</t>
  </si>
  <si>
    <t xml:space="preserve">MP</t>
  </si>
  <si>
    <t xml:space="preserve">Business Analyst</t>
  </si>
  <si>
    <t xml:space="preserve">morgan@example.com</t>
  </si>
  <si>
    <t xml:space="preserve">28, 29, 30</t>
  </si>
  <si>
    <t xml:space="preserve">Alex Chen</t>
  </si>
  <si>
    <t xml:space="preserve">Solution Architect</t>
  </si>
  <si>
    <t xml:space="preserve">alex@example.com</t>
  </si>
  <si>
    <t xml:space="preserve">CK</t>
  </si>
  <si>
    <t xml:space="preserve">UX Designer</t>
  </si>
  <si>
    <t xml:space="preserve">casey@example.com</t>
  </si>
  <si>
    <t xml:space="preserve">16, 17(0.5), 18, 19, 20, 23, 24, 25, 26, 27</t>
  </si>
  <si>
    <t xml:space="preserve">JL</t>
  </si>
  <si>
    <t xml:space="preserve">Backend Developer</t>
  </si>
  <si>
    <t xml:space="preserve">jordan@example.com</t>
  </si>
  <si>
    <t xml:space="preserve">30</t>
  </si>
  <si>
    <t xml:space="preserve">21, 22, 23(0.5)</t>
  </si>
  <si>
    <t xml:space="preserve">SR</t>
  </si>
  <si>
    <t xml:space="preserve">Frontend Developer</t>
  </si>
  <si>
    <t xml:space="preserve">sam@example.com</t>
  </si>
  <si>
    <t xml:space="preserve">2(0.5)</t>
  </si>
  <si>
    <t xml:space="preserve">Taylor Morgan</t>
  </si>
  <si>
    <t xml:space="preserve">TM</t>
  </si>
  <si>
    <t xml:space="preserve">QA Engineer</t>
  </si>
  <si>
    <t xml:space="preserve">taylor@example.com</t>
  </si>
</sst>
</file>

<file path=xl/styles.xml><?xml version="1.0" encoding="utf-8"?>
<styleSheet xmlns="http://schemas.openxmlformats.org/spreadsheetml/2006/main">
  <numFmts count="19">
    <numFmt numFmtId="164" formatCode=";;;"/>
    <numFmt numFmtId="165" formatCode="General"/>
    <numFmt numFmtId="166" formatCode="@"/>
    <numFmt numFmtId="167" formatCode="ddd\ dd\-mmm\-yy"/>
    <numFmt numFmtId="168" formatCode="0.0"/>
    <numFmt numFmtId="169" formatCode="\+0;\-0;0"/>
    <numFmt numFmtId="170" formatCode="0"/>
    <numFmt numFmtId="171" formatCode="0%"/>
    <numFmt numFmtId="172" formatCode="#,##0"/>
    <numFmt numFmtId="173" formatCode="#,##0.00"/>
    <numFmt numFmtId="174" formatCode="mmm"/>
    <numFmt numFmtId="175" formatCode="General"/>
    <numFmt numFmtId="176" formatCode="dd\-mmm\-yy"/>
    <numFmt numFmtId="177" formatCode="mmm\-yy"/>
    <numFmt numFmtId="178" formatCode="0.00"/>
    <numFmt numFmtId="179" formatCode="#,##0.0"/>
    <numFmt numFmtId="180" formatCode="mm/dd/yy"/>
    <numFmt numFmtId="181" formatCode="d"/>
    <numFmt numFmtId="182" formatCode="dd\-mmm;;\-"/>
  </numFmts>
  <fonts count="30">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1F4E78"/>
      <name val="Arial"/>
      <family val="0"/>
      <charset val="1"/>
    </font>
    <font>
      <sz val="10"/>
      <name val="Arial"/>
      <family val="0"/>
      <charset val="1"/>
    </font>
    <font>
      <b val="true"/>
      <sz val="16"/>
      <color rgb="FF1F4E78"/>
      <name val="Arial"/>
      <family val="0"/>
      <charset val="1"/>
    </font>
    <font>
      <b val="true"/>
      <sz val="10"/>
      <color rgb="FF1F4E78"/>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sz val="10"/>
      <name val="Arial"/>
      <family val="2"/>
    </font>
    <font>
      <b val="true"/>
      <sz val="18"/>
      <color rgb="FF000000"/>
      <name val="Calibri"/>
      <family val="2"/>
    </font>
    <font>
      <sz val="10"/>
      <color rgb="FF000000"/>
      <name val="Calibri"/>
      <family val="2"/>
    </font>
    <font>
      <b val="true"/>
      <sz val="10"/>
      <color rgb="FF404040"/>
      <name val="Arial"/>
      <family val="0"/>
      <charset val="1"/>
    </font>
    <font>
      <b val="true"/>
      <sz val="8"/>
      <color rgb="FF404040"/>
      <name val="Arial"/>
      <family val="0"/>
      <charset val="1"/>
    </font>
    <font>
      <b val="true"/>
      <sz val="8"/>
      <color rgb="FFFFFFFF"/>
      <name val="Arial"/>
      <family val="0"/>
      <charset val="1"/>
    </font>
    <font>
      <sz val="10"/>
      <color rgb="FF404040"/>
      <name val="Arial"/>
      <family val="0"/>
      <charset val="1"/>
    </font>
    <font>
      <sz val="8"/>
      <name val="Arial"/>
      <family val="0"/>
      <charset val="1"/>
    </font>
    <font>
      <sz val="10"/>
      <color rgb="FF7F7F7F"/>
      <name val="Arial"/>
      <family val="0"/>
      <charset val="1"/>
    </font>
    <font>
      <sz val="9"/>
      <name val="Arial"/>
      <family val="0"/>
      <charset val="1"/>
    </font>
    <font>
      <sz val="8"/>
      <color rgb="FF404040"/>
      <name val="Arial"/>
      <family val="0"/>
      <charset val="1"/>
    </font>
    <font>
      <sz val="8"/>
      <color rgb="FFFFFFFF"/>
      <name val="Arial"/>
      <family val="0"/>
      <charset val="1"/>
    </font>
  </fonts>
  <fills count="15">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548235"/>
      </patternFill>
    </fill>
    <fill>
      <patternFill patternType="solid">
        <fgColor rgb="FFF4B183"/>
        <bgColor rgb="FFFFC7CE"/>
      </patternFill>
    </fill>
    <fill>
      <patternFill patternType="solid">
        <fgColor rgb="FF7030A0"/>
        <bgColor rgb="FF993366"/>
      </patternFill>
    </fill>
    <fill>
      <patternFill patternType="solid">
        <fgColor rgb="FFC00000"/>
        <bgColor rgb="FF9C0006"/>
      </patternFill>
    </fill>
    <fill>
      <patternFill patternType="solid">
        <fgColor rgb="FF9DC3E6"/>
        <bgColor rgb="FFA6A6A6"/>
      </patternFill>
    </fill>
    <fill>
      <patternFill patternType="solid">
        <fgColor rgb="FFE06666"/>
        <bgColor rgb="FFC55A11"/>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9"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general" vertical="top" textRotation="0" wrapText="true" indent="0" shrinkToFit="false"/>
      <protection locked="true" hidden="false"/>
    </xf>
    <xf numFmtId="165" fontId="10" fillId="3" borderId="0" xfId="0" applyFont="true" applyBorder="false" applyAlignment="true" applyProtection="false">
      <alignment horizontal="general" vertical="top" textRotation="0" wrapText="tru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5" fontId="6" fillId="2"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true" applyProtection="false">
      <alignment horizontal="center" vertical="center" textRotation="0" wrapText="tru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65" fontId="13" fillId="3" borderId="1" xfId="0" applyFont="true" applyBorder="true" applyAlignment="false" applyProtection="false">
      <alignment horizontal="general"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65" fontId="16"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73" fontId="7" fillId="3" borderId="1" xfId="0" applyFont="true" applyBorder="true" applyAlignment="true" applyProtection="false">
      <alignment horizontal="right" vertical="bottom" textRotation="0" wrapText="fals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left" vertical="bottom"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5" fontId="21" fillId="0" borderId="0" xfId="0" applyFont="true" applyBorder="false" applyAlignment="false" applyProtection="false">
      <alignment horizontal="general" vertical="bottom" textRotation="0" wrapText="false" indent="0" shrinkToFit="false"/>
      <protection locked="tru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74" fontId="23" fillId="4" borderId="0" xfId="0" applyFont="true" applyBorder="false" applyAlignment="true" applyProtection="false">
      <alignment horizontal="center" vertical="bottom" textRotation="0" wrapText="fals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75" fontId="24" fillId="3" borderId="1" xfId="0" applyFont="true" applyBorder="true" applyAlignment="false" applyProtection="false">
      <alignment horizontal="general" vertical="bottom" textRotation="0" wrapText="false" indent="0" shrinkToFit="false"/>
      <protection locked="true" hidden="false"/>
    </xf>
    <xf numFmtId="176" fontId="10" fillId="3" borderId="1" xfId="0" applyFont="true" applyBorder="true" applyAlignment="true" applyProtection="false">
      <alignment horizontal="center" vertical="bottom" textRotation="0" wrapText="false" indent="0" shrinkToFit="false"/>
      <protection locked="true" hidden="false"/>
    </xf>
    <xf numFmtId="171" fontId="10" fillId="3" borderId="1" xfId="0" applyFont="true" applyBorder="true" applyAlignment="true" applyProtection="false">
      <alignment horizontal="center" vertical="bottom" textRotation="0" wrapText="false" indent="0" shrinkToFit="false"/>
      <protection locked="true" hidden="false"/>
    </xf>
    <xf numFmtId="169" fontId="10"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7" fontId="8" fillId="0" borderId="1" xfId="0" applyFont="true" applyBorder="tru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8" fontId="8" fillId="0" borderId="1" xfId="0" applyFont="true" applyBorder="true" applyAlignment="false" applyProtection="false">
      <alignment horizontal="general" vertical="bottom" textRotation="0" wrapText="false" indent="0" shrinkToFit="false"/>
      <protection locked="true" hidden="false"/>
    </xf>
    <xf numFmtId="175" fontId="10" fillId="3" borderId="1" xfId="0" applyFont="true" applyBorder="true" applyAlignment="true" applyProtection="false">
      <alignment horizontal="center" vertical="bottom" textRotation="0" wrapText="false" indent="0" shrinkToFit="false"/>
      <protection locked="tru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79" fontId="10" fillId="3" borderId="1" xfId="0" applyFont="true" applyBorder="true" applyAlignment="false" applyProtection="false">
      <alignment horizontal="general" vertical="bottom" textRotation="0" wrapText="false" indent="0" shrinkToFit="false"/>
      <protection locked="true" hidden="false"/>
    </xf>
    <xf numFmtId="173" fontId="10" fillId="3" borderId="1" xfId="0" applyFont="true" applyBorder="tru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79" fontId="8" fillId="0" borderId="1" xfId="0" applyFont="true" applyBorder="true" applyAlignment="false" applyProtection="false">
      <alignment horizontal="general" vertical="bottom" textRotation="0" wrapText="false" indent="0" shrinkToFit="false"/>
      <protection locked="true" hidden="false"/>
    </xf>
    <xf numFmtId="175" fontId="24" fillId="3" borderId="1" xfId="0" applyFont="true" applyBorder="true" applyAlignment="false" applyProtection="false">
      <alignment horizontal="general" vertical="bottom" textRotation="0" wrapText="false" indent="0" shrinkToFit="false"/>
      <protection locked="true" hidden="false"/>
    </xf>
    <xf numFmtId="167" fontId="24"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1" shrinkToFit="false"/>
      <protection locked="true" hidden="false"/>
    </xf>
    <xf numFmtId="171" fontId="24" fillId="3" borderId="1" xfId="0" applyFont="true" applyBorder="true" applyAlignment="false" applyProtection="false">
      <alignment horizontal="general" vertical="bottom" textRotation="0" wrapText="false" indent="0" shrinkToFit="false"/>
      <protection locked="true" hidden="false"/>
    </xf>
    <xf numFmtId="180" fontId="24"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2" shrinkToFit="false"/>
      <protection locked="tru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28" fillId="0" borderId="0" xfId="0" applyFont="true" applyBorder="false" applyAlignment="true" applyProtection="false">
      <alignment horizontal="center" vertical="center" textRotation="0" wrapText="false" indent="0" shrinkToFit="false"/>
      <protection locked="true" hidden="false"/>
    </xf>
    <xf numFmtId="165" fontId="22" fillId="0" borderId="0" xfId="0" applyFont="true" applyBorder="false" applyAlignment="true" applyProtection="false">
      <alignment horizontal="left" vertical="center" textRotation="0" wrapText="false" indent="0" shrinkToFit="false"/>
      <protection locked="true" hidden="false"/>
    </xf>
    <xf numFmtId="181" fontId="29" fillId="4" borderId="0" xfId="0" applyFont="true" applyBorder="false" applyAlignment="true" applyProtection="false">
      <alignment horizontal="center" vertical="center" textRotation="0" wrapText="false" indent="0" shrinkToFit="false"/>
      <protection locked="true" hidden="false"/>
    </xf>
    <xf numFmtId="175" fontId="27" fillId="3" borderId="1" xfId="0" applyFont="true" applyBorder="true" applyAlignment="true" applyProtection="false">
      <alignment horizontal="center" vertical="bottom" textRotation="0" wrapText="false" indent="0" shrinkToFit="false"/>
      <protection locked="true" hidden="false"/>
    </xf>
    <xf numFmtId="165" fontId="27" fillId="3" borderId="1" xfId="0" applyFont="true" applyBorder="true" applyAlignment="false" applyProtection="false">
      <alignment horizontal="general" vertical="bottom" textRotation="0" wrapText="false" indent="0" shrinkToFit="false"/>
      <protection locked="true" hidden="false"/>
    </xf>
    <xf numFmtId="176" fontId="27" fillId="3" borderId="1" xfId="0" applyFont="true" applyBorder="true" applyAlignment="false" applyProtection="false">
      <alignment horizontal="general" vertical="bottom" textRotation="0" wrapText="false" indent="0" shrinkToFit="false"/>
      <protection locked="true" hidden="false"/>
    </xf>
    <xf numFmtId="171" fontId="27" fillId="3" borderId="1" xfId="0" applyFont="true" applyBorder="true" applyAlignment="true" applyProtection="false">
      <alignment horizontal="center" vertical="bottom" textRotation="0" wrapText="false" indent="0" shrinkToFit="false"/>
      <protection locked="true" hidden="false"/>
    </xf>
    <xf numFmtId="165" fontId="27" fillId="3" borderId="1" xfId="0" applyFont="true" applyBorder="true" applyAlignment="true" applyProtection="false">
      <alignment horizontal="center" vertical="bottom" textRotation="0" wrapText="false" indent="0" shrinkToFit="false"/>
      <protection locked="true" hidden="false"/>
    </xf>
    <xf numFmtId="175" fontId="27" fillId="3" borderId="1" xfId="0" applyFont="true" applyBorder="true" applyAlignment="false" applyProtection="false">
      <alignment horizontal="general" vertical="bottom" textRotation="0" wrapText="false" indent="0" shrinkToFit="false"/>
      <protection locked="true" hidden="false"/>
    </xf>
    <xf numFmtId="175" fontId="27" fillId="3" borderId="1" xfId="0" applyFont="true" applyBorder="true" applyAlignment="false" applyProtection="false">
      <alignment horizontal="general" vertical="bottom" textRotation="0" wrapText="false" indent="0" shrinkToFit="false"/>
      <protection locked="true" hidden="false"/>
    </xf>
    <xf numFmtId="182" fontId="2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1">
    <dxf>
      <fill>
        <patternFill>
          <bgColor rgb="FFFFFF00"/>
        </patternFill>
      </fill>
    </dxf>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FFC7CE"/>
          <bgColor rgb="FF000000"/>
        </patternFill>
      </fill>
    </dxf>
    <dxf>
      <fill>
        <patternFill patternType="solid">
          <fgColor rgb="FFC00000"/>
          <bgColor rgb="FF000000"/>
        </patternFill>
      </fill>
    </dxf>
    <dxf>
      <fill>
        <patternFill patternType="solid">
          <fgColor rgb="FF9C0006"/>
          <bgColor rgb="FF000000"/>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5700"/>
          <bgColor rgb="FF000000"/>
        </patternFill>
      </fill>
    </dxf>
    <dxf>
      <fill>
        <patternFill patternType="solid">
          <fgColor rgb="FF2F75B5"/>
          <bgColor rgb="FF000000"/>
        </patternFill>
      </fill>
    </dxf>
    <dxf>
      <fill>
        <patternFill patternType="solid">
          <fgColor rgb="FF548235"/>
          <bgColor rgb="FF000000"/>
        </patternFill>
      </fill>
    </dxf>
    <dxf>
      <fill>
        <patternFill patternType="solid">
          <fgColor rgb="FF7F7F7F"/>
          <bgColor rgb="FF000000"/>
        </patternFill>
      </fill>
    </dxf>
    <dxf>
      <fill>
        <patternFill patternType="solid">
          <fgColor rgb="FFC55A11"/>
          <bgColor rgb="FF000000"/>
        </patternFill>
      </fill>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ont>
        <b val="1"/>
        <color rgb="FFC00000"/>
      </font>
      <fill>
        <patternFill>
          <bgColor rgb="FFFFC7CE"/>
        </patternFill>
      </fill>
    </dxf>
    <dxf>
      <font>
        <b val="1"/>
        <color rgb="FF548235"/>
      </font>
    </dxf>
    <dxf>
      <fill>
        <patternFill patternType="solid">
          <fgColor rgb="FFA6A6A6"/>
          <bgColor rgb="FF000000"/>
        </patternFill>
      </fill>
    </dxf>
    <dxf>
      <fill>
        <patternFill patternType="solid">
          <fgColor rgb="FF404040"/>
          <bgColor rgb="FF0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ont>
        <b val="1"/>
        <color rgb="FFC00000"/>
      </font>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C55A11"/>
      </font>
    </dxf>
    <dxf>
      <font>
        <b val="1"/>
        <color rgb="FF7F7F7F"/>
      </font>
    </dxf>
    <dxf>
      <font>
        <i val="1"/>
        <color rgb="FF7030A0"/>
      </font>
    </dxf>
    <dxf>
      <fill>
        <patternFill>
          <bgColor rgb="FFFFC7CE"/>
        </patternFill>
      </fill>
    </dxf>
    <dxf>
      <font>
        <color rgb="FF9C0006"/>
      </font>
      <fill>
        <patternFill>
          <bgColor rgb="FFFFC7CE"/>
        </patternFill>
      </fill>
    </dxf>
    <dxf>
      <font>
        <b val="1"/>
        <color rgb="FFFFFFFF"/>
      </font>
      <fill>
        <patternFill>
          <bgColor rgb="FFC00000"/>
        </patternFill>
      </fill>
    </dxf>
    <dxf>
      <fill>
        <patternFill>
          <bgColor rgb="FF404040"/>
        </patternFill>
      </fill>
    </dxf>
    <dxf>
      <fill>
        <patternFill>
          <bgColor rgb="FFE06666"/>
        </patternFill>
      </fill>
    </dxf>
    <dxf>
      <fill>
        <patternFill>
          <bgColor rgb="FF9DC3E6"/>
        </patternFill>
      </fill>
    </dxf>
    <dxf>
      <border diagonalUp="false" diagonalDown="false">
        <left/>
        <right/>
        <top style="thin">
          <color rgb="FF1F3864"/>
        </top>
        <bottom style="thin">
          <color rgb="FF1F3864"/>
        </bottom>
        <diagonal/>
      </border>
    </dxf>
    <dxf>
      <fill>
        <patternFill>
          <bgColor rgb="FFEDEDED"/>
        </patternFill>
      </fill>
    </dxf>
    <dxf>
      <numFmt numFmtId="164" formatCode=";;;"/>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800080"/>
      <rgbColor rgb="FF008080"/>
      <rgbColor rgb="FFA6A6A6"/>
      <rgbColor rgb="FF7F7F7F"/>
      <rgbColor rgb="FF5B9BD5"/>
      <rgbColor rgb="FF7030A0"/>
      <rgbColor rgb="FFF9F9F9"/>
      <rgbColor rgb="FFDDEBF7"/>
      <rgbColor rgb="FF660066"/>
      <rgbColor rgb="FFE06666"/>
      <rgbColor rgb="FF0066CC"/>
      <rgbColor rgb="FFD9D9D9"/>
      <rgbColor rgb="FF000080"/>
      <rgbColor rgb="FFFF00FF"/>
      <rgbColor rgb="FFFFFF00"/>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33CCCC"/>
      <rgbColor rgb="FF70AD47"/>
      <rgbColor rgb="FFFFCC00"/>
      <rgbColor rgb="FFBF8F00"/>
      <rgbColor rgb="FFC55A11"/>
      <rgbColor rgb="FF595959"/>
      <rgbColor rgb="FF878787"/>
      <rgbColor rgb="FF1F3864"/>
      <rgbColor rgb="FF4F81BD"/>
      <rgbColor rgb="FF003300"/>
      <rgbColor rgb="FF333300"/>
      <rgbColor rgb="FF9C5700"/>
      <rgbColor rgb="FF993366"/>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Status!F21</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Status!$E$22:$E$26</c:f>
              <c:strCache>
                <c:ptCount val="5"/>
                <c:pt idx="0">
                  <c:v>Complete</c:v>
                </c:pt>
                <c:pt idx="1">
                  <c:v>In Progress</c:v>
                </c:pt>
                <c:pt idx="2">
                  <c:v>Behind</c:v>
                </c:pt>
                <c:pt idx="3">
                  <c:v>Late Start</c:v>
                </c:pt>
                <c:pt idx="4">
                  <c:v>Not Started</c:v>
                </c:pt>
              </c:strCache>
            </c:strRef>
          </c:cat>
          <c:val>
            <c:numRef>
              <c:f>Status!$F$22:$F$26</c:f>
              <c:numCache>
                <c:formatCode>General</c:formatCode>
                <c:ptCount val="5"/>
                <c:pt idx="0">
                  <c:v>9</c:v>
                </c:pt>
                <c:pt idx="1">
                  <c:v>0</c:v>
                </c:pt>
                <c:pt idx="2">
                  <c:v>2</c:v>
                </c:pt>
                <c:pt idx="3">
                  <c:v>1</c:v>
                </c:pt>
                <c:pt idx="4">
                  <c:v>11</c:v>
                </c:pt>
              </c:numCache>
            </c:numRef>
          </c:val>
        </c:ser>
        <c:gapWidth val="150"/>
        <c:overlap val="0"/>
        <c:axId val="37825090"/>
        <c:axId val="25335119"/>
      </c:barChart>
      <c:catAx>
        <c:axId val="3782509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335119"/>
        <c:crosses val="autoZero"/>
        <c:auto val="1"/>
        <c:lblAlgn val="ctr"/>
        <c:lblOffset val="100"/>
        <c:noMultiLvlLbl val="0"/>
      </c:catAx>
      <c:valAx>
        <c:axId val="25335119"/>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82509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26</xdr:row>
      <xdr:rowOff>130680</xdr:rowOff>
    </xdr:from>
    <xdr:to>
      <xdr:col>7</xdr:col>
      <xdr:colOff>2064240</xdr:colOff>
      <xdr:row>38</xdr:row>
      <xdr:rowOff>4320</xdr:rowOff>
    </xdr:to>
    <xdr:graphicFrame>
      <xdr:nvGraphicFramePr>
        <xdr:cNvPr id="0" name="Chart 1"/>
        <xdr:cNvGraphicFramePr/>
      </xdr:nvGraphicFramePr>
      <xdr:xfrm>
        <a:off x="7823880" y="5715000"/>
        <a:ext cx="431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GanttView" displayName="GanttView" ref="A5:V205" headerRowCount="1">
  <autoFilter ref="A5:V205"/>
  <tableColumns count="22">
    <tableColumn id="1" name="ID">
      <calculatedColumnFormula>IF(IFERROR(INDEX(tsk_Name,GanttView[[#This Row],[_Row]])="",TRUE()),"",INDEX(tsk_ID,GanttView[[#This Row],[_Row]]))</calculatedColumnFormula>
    </tableColumn>
    <tableColumn id="2" name="Task">
      <calculatedColumnFormula>IF(IFERROR(INDEX(tsk_Name,GanttView[[#This Row],[_Row]])="",TRUE()),"",REPT("    ",INDEX(tsk_Level,GanttView[[#This Row],[_Row]])-1)&amp;INDEX(tsk_Name,GanttView[[#This Row],[_Row]]))</calculatedColumnFormula>
    </tableColumn>
    <tableColumn id="3" name="Start">
      <calculatedColumnFormula>IF(IFERROR(INDEX(tsk_Name,GanttView[[#This Row],[_Row]])="",TRUE()),"",INDEX(tsk_FcStart,GanttView[[#This Row],[_Row]]))</calculatedColumnFormula>
    </tableColumn>
    <tableColumn id="4" name="Finish">
      <calculatedColumnFormula>IF(IFERROR(INDEX(tsk_Name,GanttView[[#This Row],[_Row]])="",TRUE()),"",INDEX(tsk_FcFinish,GanttView[[#This Row],[_Row]]))</calculatedColumnFormula>
    </tableColumn>
    <tableColumn id="5" name="%">
      <calculatedColumnFormula>IF(IFERROR(INDEX(tsk_Name,GanttView[[#This Row],[_Row]])="",TRUE()),"",INDEX(tsk_Progress,GanttView[[#This Row],[_Row]]))</calculatedColumnFormula>
    </tableColumn>
    <tableColumn id="6" name="Resources">
      <calculatedColumnFormula>IF(IFERROR(INDEX(tsk_Name,GanttView[[#This Row],[_Row]])="",TRUE()),"",INDEX(tsk_ResourceNames,GanttView[[#This Row],[_Row]])&amp;"")</calculatedColumnFormula>
    </tableColumn>
    <tableColumn id="7" name="WBS">
      <calculatedColumnFormula>IF(IFERROR(INDEX(tsk_Name,GanttView[[#This Row],[_Row]])="",TRUE()),"",INDEX(tsk_WBS,GanttView[[#This Row],[_Row]]))</calculatedColumnFormula>
    </tableColumn>
    <tableColumn id="8"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9" name="Planned Start">
      <calculatedColumnFormula>IF(IFERROR(INDEX(tsk_Name,GanttView[[#This Row],[_Row]])="",TRUE()),"",INDEX(tsk_PlanStart,GanttView[[#This Row],[_Row]]))</calculatedColumnFormula>
    </tableColumn>
    <tableColumn id="10" name="Planned Finish">
      <calculatedColumnFormula>IF(IFERROR(INDEX(tsk_Name,GanttView[[#This Row],[_Row]])="",TRUE()),"",INDEX(tsk_PlanFinish,GanttView[[#This Row],[_Row]]))</calculatedColumnFormula>
    </tableColumn>
    <tableColumn id="11" name="Status">
      <calculatedColumnFormula>IF(IFERROR(INDEX(tsk_Name,GanttView[[#This Row],[_Row]])="",TRUE()),"",INDEX(tsk_Status,GanttView[[#This Row],[_Row]]))</calculatedColumnFormula>
    </tableColumn>
    <tableColumn id="12" name="Show">
      <calculatedColumnFormula>IF(IFERROR(INDEX(tsk_Name,GanttView[[#This Row],[_Row]])="",TRUE()),"",INDEX(tsk_Show,GanttView[[#This Row],[_Row]])&amp;"")</calculatedColumnFormula>
    </tableColumn>
    <tableColumn id="13" name="_Row">
      <calculatedColumnFormula>ROW()-ROW(GanttView[[#Headers],[ID]])</calculatedColumnFormula>
    </tableColumn>
    <tableColumn id="14" name="_IsSummary">
      <calculatedColumnFormula>IF(IFERROR(INDEX(tsk_Name,GanttView[[#This Row],[_Row]])="",TRUE()),FALSE(),INDEX(tsk_IsSummary,GanttView[[#This Row],[_Row]]))</calculatedColumnFormula>
    </tableColumn>
    <tableColumn id="15" name="_IsMilestone">
      <calculatedColumnFormula>IF(IFERROR(INDEX(tsk_Name,GanttView[[#This Row],[_Row]])="",TRUE()),FALSE(),AND(INDEX(tsk_IsLeaf,GanttView[[#This Row],[_Row]])=1,N(INDEX(tsk_Duration,GanttView[[#This Row],[_Row]]))=0))</calculatedColumnFormula>
    </tableColumn>
    <tableColumn id="16" name="_DoneFrom">
      <calculatedColumnFormula>IF(IFERROR(INDEX(tsk_Name,GanttView[[#This Row],[_Row]])="",TRUE()),0,IF(AND(INDEX(tsk_IsLeaf,GanttView[[#This Row],[_Row]])=1,NOT(GanttView[[#This Row],[_IsMilestone]]),N(GanttView[[#This Row],[%]])&gt;0),GanttView[[#This Row],[Start]],0))</calculatedColumnFormula>
    </tableColumn>
    <tableColumn id="17" name="_DoneTo">
      <calculatedColumnFormula>IF(GanttView[[#This Row],[_DoneFrom]]=0,0,IF(GanttView[[#This Row],[%]]&gt;=1,GanttView[[#This Row],[Finish]],MAX(GanttView[[#This Row],[_DoneFrom]],GanttView[[#This Row],[Start]]+ROUND((GanttView[[#This Row],[Finish]]-GanttView[[#This Row],[Start]]+1)*GanttView[[#This Row],[%]],0)-1)))</calculatedColumnFormula>
    </tableColumn>
    <tableColumn id="18" name="_RemFrom">
      <calculatedColumnFormula>IF(IFERROR(INDEX(tsk_Name,GanttView[[#This Row],[_Row]])="",TRUE()),0,IF(OR(INDEX(tsk_IsLeaf,GanttView[[#This Row],[_Row]])&lt;&gt;1,GanttView[[#This Row],[_IsMilestone]],N(GanttView[[#This Row],[%]])&gt;=1),0,IF(GanttView[[#This Row],[_DoneTo]]&gt;0,GanttView[[#This Row],[_DoneTo]]+1,GanttView[[#This Row],[Start]])))</calculatedColumnFormula>
    </tableColumn>
    <tableColumn id="19" name="_RemTo">
      <calculatedColumnFormula>IF(GanttView[[#This Row],[_RemFrom]]=0,0,GanttView[[#This Row],[Finish]])</calculatedColumnFormula>
    </tableColumn>
    <tableColumn id="20" name="_Late">
      <calculatedColumnFormula>IF(IFERROR(INDEX(tsk_Name,GanttView[[#This Row],[_Row]])="",TRUE()),FALSE(),N(INDEX(tsk_Variance,GanttView[[#This Row],[_Row]]))&gt;0)</calculatedColumnFormula>
    </tableColumn>
    <tableColumn id="21" name="_Deadline">
      <calculatedColumnFormula>IF(IFERROR(INDEX(tsk_Name,GanttView[[#This Row],[_Row]])="",TRUE()),0,N(INDEX(tsk_Deadline,GanttView[[#This Row],[_Row]])))</calculatedColumnFormula>
    </tableColumn>
    <tableColumn id="22" name="_Critical">
      <calculatedColumnFormula>IF(IFERROR(INDEX(tsk_Name,GanttView[[#This Row],[_Row]])="",TRUE()),FALSE(),INDEX(tsk_Critical,GanttView[[#This Row],[_Row]])="Yes")</calculatedColumnFormula>
    </tableColumn>
  </tableColumns>
  <tableStyleInfo name="TableStyleLight1" showRowStripes="0"/>
</table>
</file>

<file path=xl/tables/table2.xml><?xml version="1.0" encoding="utf-8"?>
<table xmlns="http://schemas.openxmlformats.org/spreadsheetml/2006/main" id="2" name="HolidayTable" displayName="HolidayTable" ref="B46:C146" headerRowCount="1">
  <autoFilter ref="B46:C146"/>
  <tableColumns count="2">
    <tableColumn id="1" name="Date"/>
    <tableColumn id="2" name="Description"/>
  </tableColumns>
  <tableStyleInfo name="TableStyleLight1" showRowStripes="0"/>
</table>
</file>

<file path=xl/tables/table3.xml><?xml version="1.0" encoding="utf-8"?>
<table xmlns="http://schemas.openxmlformats.org/spreadsheetml/2006/main" id="3" name="KPIs" displayName="KPIs" ref="B21:D33" headerRowCount="1">
  <tableColumns count="3">
    <tableColumn id="1" name="Measure"/>
    <tableColumn id="2" name="Source"/>
    <tableColumn id="3" name="Value"/>
  </tableColumns>
  <tableStyleInfo name="TableStyleLight1" showRowStripes="0"/>
</table>
</file>

<file path=xl/tables/table4.xml><?xml version="1.0" encoding="utf-8"?>
<table xmlns="http://schemas.openxmlformats.org/spreadsheetml/2006/main" id="4" name="ListChangeStatus" displayName="ListChangeStatus" ref="AC4:AC9" headerRowCount="1">
  <tableColumns count="1">
    <tableColumn id="1" name="Change Status"/>
  </tableColumns>
  <tableStyleInfo name="TableStyleLight1" showRowStripes="0"/>
</table>
</file>

<file path=xl/tables/table5.xml><?xml version="1.0" encoding="utf-8"?>
<table xmlns="http://schemas.openxmlformats.org/spreadsheetml/2006/main" id="5" name="ListConstraint" displayName="ListConstraint" ref="M4:M12" headerRowCount="1">
  <tableColumns count="1">
    <tableColumn id="1" name="Constraint"/>
  </tableColumns>
  <tableStyleInfo name="TableStyleLight1" showRowStripes="0"/>
</table>
</file>

<file path=xl/tables/table6.xml><?xml version="1.0" encoding="utf-8"?>
<table xmlns="http://schemas.openxmlformats.org/spreadsheetml/2006/main" id="6" name="ListDecisionStatus" displayName="ListDecisionStatus" ref="AA4:AA8" headerRowCount="1">
  <tableColumns count="1">
    <tableColumn id="1" name="Decision Status"/>
  </tableColumns>
  <tableStyleInfo name="TableStyleLight1" showRowStripes="0"/>
</table>
</file>

<file path=xl/tables/table7.xml><?xml version="1.0" encoding="utf-8"?>
<table xmlns="http://schemas.openxmlformats.org/spreadsheetml/2006/main" id="7" name="ListDepType" displayName="ListDepType" ref="G4:G8" headerRowCount="1">
  <tableColumns count="1">
    <tableColumn id="1" name="Link Type"/>
  </tableColumns>
  <tableStyleInfo name="TableStyleLight1" showRowStripes="0"/>
</table>
</file>

<file path=xl/tables/table8.xml><?xml version="1.0" encoding="utf-8"?>
<table xmlns="http://schemas.openxmlformats.org/spreadsheetml/2006/main" id="8" name="ListLogType" displayName="ListLogType" ref="W4:W10" headerRowCount="1">
  <tableColumns count="1">
    <tableColumn id="1" name="Log Type"/>
  </tableColumns>
  <tableStyleInfo name="TableStyleLight1" showRowStripes="0"/>
</table>
</file>

<file path=xl/tables/table9.xml><?xml version="1.0" encoding="utf-8"?>
<table xmlns="http://schemas.openxmlformats.org/spreadsheetml/2006/main" id="9" name="ListMode" displayName="ListMode" ref="I4:I6" headerRowCount="1">
  <tableColumns count="1">
    <tableColumn id="1" name="Task Mode"/>
  </tableColumns>
  <tableStyleInfo name="TableStyleLight1" showRowStripes="0"/>
</table>
</file>

<file path=xl/tables/table10.xml><?xml version="1.0" encoding="utf-8"?>
<table xmlns="http://schemas.openxmlformats.org/spreadsheetml/2006/main" id="10" name="ListPeriod" displayName="ListPeriod" ref="S4:S8" headerRowCount="1">
  <tableColumns count="1">
    <tableColumn id="1" name="Gantt Days per Column"/>
  </tableColumns>
  <tableStyleInfo name="TableStyleLight1" showRowStripes="0"/>
</table>
</file>

<file path=xl/tables/table11.xml><?xml version="1.0" encoding="utf-8"?>
<table xmlns="http://schemas.openxmlformats.org/spreadsheetml/2006/main" id="11" name="ListRAG" displayName="ListRAG" ref="U4:U7" headerRowCount="1">
  <tableColumns count="1">
    <tableColumn id="1" name="RAG"/>
  </tableColumns>
  <tableStyleInfo name="TableStyleLight1" showRowStripes="0"/>
</table>
</file>

<file path=xl/tables/table12.xml><?xml version="1.0" encoding="utf-8"?>
<table xmlns="http://schemas.openxmlformats.org/spreadsheetml/2006/main" id="12" name="ListRAIDStatus" displayName="ListRAIDStatus" ref="Y4:Y7" headerRowCount="1">
  <tableColumns count="1">
    <tableColumn id="1" name="RAID Status"/>
  </tableColumns>
  <tableStyleInfo name="TableStyleLight1" showRowStripes="0"/>
</table>
</file>

<file path=xl/tables/table13.xml><?xml version="1.0" encoding="utf-8"?>
<table xmlns="http://schemas.openxmlformats.org/spreadsheetml/2006/main" id="13" name="ListResType" displayName="ListResType" ref="Q4:Q7" headerRowCount="1">
  <tableColumns count="1">
    <tableColumn id="1" name="Resource Type"/>
  </tableColumns>
  <tableStyleInfo name="TableStyleLight1" showRowStripes="0"/>
</table>
</file>

<file path=xl/tables/table14.xml><?xml version="1.0" encoding="utf-8"?>
<table xmlns="http://schemas.openxmlformats.org/spreadsheetml/2006/main" id="14" name="ListWorkingWeek" displayName="ListWorkingWeek" ref="K4:K8" headerRowCount="1">
  <tableColumns count="1">
    <tableColumn id="1" name="Working Week"/>
  </tableColumns>
  <tableStyleInfo name="TableStyleLight1" showRowStripes="0"/>
</table>
</file>

<file path=xl/tables/table15.xml><?xml version="1.0" encoding="utf-8"?>
<table xmlns="http://schemas.openxmlformats.org/spreadsheetml/2006/main" id="15" name="ListYesNo" displayName="ListYesNo" ref="O4:O6" headerRowCount="1">
  <tableColumns count="1">
    <tableColumn id="1" name="Yes / No"/>
  </tableColumns>
  <tableStyleInfo name="TableStyleLight1" showRowStripes="0"/>
</table>
</file>

<file path=xl/tables/table16.xml><?xml version="1.0" encoding="utf-8"?>
<table xmlns="http://schemas.openxmlformats.org/spreadsheetml/2006/main" id="16" name="NextMilestones" displayName="NextMilestones" ref="B36:C41"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17.xml><?xml version="1.0" encoding="utf-8"?>
<table xmlns="http://schemas.openxmlformats.org/spreadsheetml/2006/main" id="17" name="OverallStatus" displayName="OverallStatus" ref="B11:H12"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18.xml><?xml version="1.0" encoding="utf-8"?>
<table xmlns="http://schemas.openxmlformats.org/spreadsheetml/2006/main" id="18" name="ResourceTable" displayName="ResourceTable" ref="B5:AW55" headerRowCount="1">
  <autoFilter ref="B5:AW55"/>
  <tableColumns count="48">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9"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0" name="Cost">
      <calculatedColumnFormula>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calculatedColumnFormula>
    </tableColumn>
    <tableColumn id="11" name="Actual Cost">
      <calculatedColumnFormula>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calculatedColumnFormula>
    </tableColumn>
    <tableColumn id="12" name="Notes"/>
    <tableColumn id="13" name="Jan-26"/>
    <tableColumn id="14" name="Feb-26"/>
    <tableColumn id="15" name="Mar-26"/>
    <tableColumn id="16" name="Apr-26"/>
    <tableColumn id="17" name="May-26"/>
    <tableColumn id="18" name="Jun-26"/>
    <tableColumn id="19" name="Jul-26"/>
    <tableColumn id="20" name="Aug-26"/>
    <tableColumn id="21" name="Sep-26"/>
    <tableColumn id="22" name="Oct-26"/>
    <tableColumn id="23" name="Nov-26"/>
    <tableColumn id="24" name="Dec-26"/>
    <tableColumn id="25" name="Jan-27"/>
    <tableColumn id="26" name="Feb-27"/>
    <tableColumn id="27" name="Mar-27"/>
    <tableColumn id="28" name="Apr-27"/>
    <tableColumn id="29" name="May-27"/>
    <tableColumn id="30" name="Jun-27"/>
    <tableColumn id="31" name="Jul-27"/>
    <tableColumn id="32" name="Aug-27"/>
    <tableColumn id="33" name="Sep-27"/>
    <tableColumn id="34" name="Oct-27"/>
    <tableColumn id="35" name="Nov-27"/>
    <tableColumn id="36" name="Dec-27"/>
    <tableColumn id="37" name="Jan-28"/>
    <tableColumn id="38" name="Feb-28"/>
    <tableColumn id="39" name="Mar-28"/>
    <tableColumn id="40" name="Apr-28"/>
    <tableColumn id="41" name="May-28"/>
    <tableColumn id="42" name="Jun-28"/>
    <tableColumn id="43" name="Jul-28"/>
    <tableColumn id="44" name="Aug-28"/>
    <tableColumn id="45" name="Sep-28"/>
    <tableColumn id="46" name="Oct-28"/>
    <tableColumn id="47" name="Nov-28"/>
    <tableColumn id="48" name="Dec-28"/>
  </tableColumns>
  <tableStyleInfo name="TableStyleLight1" showRowStripes="0"/>
</table>
</file>

<file path=xl/tables/table19.xml><?xml version="1.0" encoding="utf-8"?>
<table xmlns="http://schemas.openxmlformats.org/spreadsheetml/2006/main" id="19"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20.xml><?xml version="1.0" encoding="utf-8"?>
<table xmlns="http://schemas.openxmlformats.org/spreadsheetml/2006/main" id="20" name="RoadmapPhases" displayName="RoadmapPhases" ref="B7:J17" headerRowCount="1">
  <tableColumns count="9">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Planned Start">
      <calculatedColumnFormula>IF(RoadmapPhases[[#This Row],[_Task]]="","",IF(N(INDEX(tsk_PlanStart,RoadmapPhases[[#This Row],[_Task]]))=0,"",INDEX(tsk_PlanStart,RoadmapPhases[[#This Row],[_Task]])))</calculatedColumnFormula>
    </tableColumn>
    <tableColumn id="5" name="Planned Finish">
      <calculatedColumnFormula>IF(RoadmapPhases[[#This Row],[_Task]]="","",IF(N(INDEX(tsk_PlanFinish,RoadmapPhases[[#This Row],[_Task]]))=0,"",INDEX(tsk_PlanFinish,RoadmapPhases[[#This Row],[_Task]])))</calculatedColumnFormula>
    </tableColumn>
    <tableColumn id="6" name="Start">
      <calculatedColumnFormula>IF(RoadmapPhases[[#This Row],[_Task]]="","",IF(N(INDEX(tsk_FcStart,RoadmapPhases[[#This Row],[_Task]]))=0,"",INDEX(tsk_FcStart,RoadmapPhases[[#This Row],[_Task]])))</calculatedColumnFormula>
    </tableColumn>
    <tableColumn id="7" name="Finish">
      <calculatedColumnFormula>IF(RoadmapPhases[[#This Row],[_Task]]="","",IF(N(INDEX(tsk_FcFinish,RoadmapPhases[[#This Row],[_Task]]))=0,"",INDEX(tsk_FcFinish,RoadmapPhases[[#This Row],[_Task]])))</calculatedColumnFormula>
    </tableColumn>
    <tableColumn id="8" name="Progress">
      <calculatedColumnFormula>IF(RoadmapPhases[[#This Row],[_Task]]="","",INDEX(tsk_Progress,RoadmapPhases[[#This Row],[_Task]]))</calculatedColumnFormula>
    </tableColumn>
    <tableColumn id="9" name="Finish Var">
      <calculatedColumnFormula>IF(RoadmapPhases[[#This Row],[_Task]]="","",INDEX(tsk_Variance,RoadmapPhases[[#This Row],[_Task]]))</calculatedColumnFormula>
    </tableColumn>
  </tableColumns>
  <tableStyleInfo name="TableStyleLight1" showRowStripes="0"/>
</table>
</file>

<file path=xl/tables/table21.xml><?xml version="1.0" encoding="utf-8"?>
<table xmlns="http://schemas.openxmlformats.org/spreadsheetml/2006/main" id="21" name="StageTable" displayName="StageTable" ref="B37:C43" headerRowCount="1">
  <tableColumns count="2">
    <tableColumn id="1" name="Stage"/>
    <tableColumn id="2" name="% Complete"/>
  </tableColumns>
  <tableStyleInfo name="TableStyleLight1" showRowStripes="0"/>
</table>
</file>

<file path=xl/tables/table22.xml><?xml version="1.0" encoding="utf-8"?>
<table xmlns="http://schemas.openxmlformats.org/spreadsheetml/2006/main" id="22" name="StatusNotes" displayName="StatusNotes" ref="B44:C50" headerRowCount="1">
  <tableColumns count="2">
    <tableColumn id="1" name="Section"/>
    <tableColumn id="2" name="Notes"/>
  </tableColumns>
  <tableStyleInfo name="TableStyleLight1" showRowStripes="0"/>
</table>
</file>

<file path=xl/tables/table23.xml><?xml version="1.0" encoding="utf-8"?>
<table xmlns="http://schemas.openxmlformats.org/spreadsheetml/2006/main" id="23" name="StatusRAG" displayName="StatusRAG" ref="B14:H18"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24.xml><?xml version="1.0" encoding="utf-8"?>
<table xmlns="http://schemas.openxmlformats.org/spreadsheetml/2006/main" id="24" name="StatusSummary" displayName="StatusSummary" ref="E21:F26"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25.xml><?xml version="1.0" encoding="utf-8"?>
<table xmlns="http://schemas.openxmlformats.org/spreadsheetml/2006/main" id="25" name="Tasks" displayName="Tasks" ref="A5:GB205" headerRowCount="1">
  <autoFilter ref="A5:GB205"/>
  <tableColumns count="184">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Task Name"/>
    <tableColumn id="6" name="Duration"/>
    <tableColumn id="7" name="Predecessors"/>
    <tableColumn id="8" name="Resources"/>
    <tableColumn id="9" name="Stage"/>
    <tableColumn id="10" name="Actual Start"/>
    <tableColumn id="11" name="Actual Finish"/>
    <tableColumn id="12" name="Notes"/>
    <tableColumn id="13" name="Start">
      <calculatedColumnFormula>IF(Tasks[[#This Row],[Task Name]]="","",IF(Tasks[[#This Row],[_IsSummary]],MIN(INDEX(Tasks[_ShownFcstStart],Tasks[[#This Row],[_Row]]+1):INDEX(Tasks[_ShownFcstStart],Tasks[[#This Row],[_Row]]+Tasks[[#This Row],[_Descendants]])),Tasks[[#This Row],[_ShownFcstStart]]))</calculatedColumnFormula>
    </tableColumn>
    <tableColumn id="14" name="Finish">
      <calculatedColumnFormula>IF(Tasks[[#This Row],[Task Name]]="","",IF(Tasks[[#This Row],[_IsSummary]],MAX(INDEX(Tasks[_ShownFcstFinish],Tasks[[#This Row],[_Row]]+1):INDEX(Tasks[_ShownFcstFinish],Tasks[[#This Row],[_Row]]+Tasks[[#This Row],[_Descendants]])),Tasks[[#This Row],[_ShownFcstFinish]]))</calculatedColumnFormula>
    </tableColumn>
    <tableColumn id="15"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16"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17"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calculatedColumnFormula>
    </tableColumn>
    <tableColumn id="18" name="Show">
      <calculatedColumnFormula>IF(Tasks[[#This Row],[Task Name]]="","",IF(Tasks[[#This Row],[_Level]]&lt;=OutlineShowLevel,"Yes","No"))</calculatedColumnFormula>
    </tableColumn>
    <tableColumn id="19" name="Deadline"/>
    <tableColumn id="20" name="Mode"/>
    <tableColumn id="21" name="Constraint"/>
    <tableColumn id="22" name="Constraint Date"/>
    <tableColumn id="23"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24" name="Planned Start">
      <calculatedColumnFormula>IF(Tasks[[#This Row],[Task Name]]="","",IF(N(Tasks[[#This Row],[Baseline Start]])&gt;0,Tasks[[#This Row],[Baseline Start]],Tasks[[#This Row],[_CalcStart]]))</calculatedColumnFormula>
    </tableColumn>
    <tableColumn id="25" name="Planned Finish">
      <calculatedColumnFormula>IF(Tasks[[#This Row],[Task Name]]="","",IF(N(Tasks[[#This Row],[Baseline Finish]])&gt;0,Tasks[[#This Row],[Baseline Finish]],Tasks[[#This Row],[_CalcFinish]]))</calculatedColumnFormula>
    </tableColumn>
    <tableColumn id="26"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27" name="Late Start">
      <calculatedColumnFormula>IF(Tasks[[#This Row],[Task Name]]="","",IF(Tasks[[#This Row],[_IsSummary]],MIN(INDEX(Tasks[_LeafLateStart],Tasks[[#This Row],[_Row]]+1):INDEX(Tasks[_LeafLateStart],Tasks[[#This Row],[_Row]]+Tasks[[#This Row],[_Descendants]])),Tasks[[#This Row],[_LeafLateStart]]))</calculatedColumnFormula>
    </tableColumn>
    <tableColumn id="28"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29"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30"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31"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32"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calculatedColumnFormula>
    </tableColumn>
    <tableColumn id="33" name="% Complete"/>
    <tableColumn id="34"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35"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36" name="Work">
      <calculatedColumnFormula>IF(Tasks[[#This Row],[Task Name]]="","",IF(Tasks[[#This Row],[_IsSummary]],SUM(INDEX(Tasks[_LeafTotalWork],Tasks[[#This Row],[_Row]]+1):INDEX(Tasks[_LeafTotalWork],Tasks[[#This Row],[_Row]]+Tasks[[#This Row],[_Descendants]])),Tasks[[#This Row],[_LeafTotalWork]]))</calculatedColumnFormula>
    </tableColumn>
    <tableColumn id="37"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calculatedColumnFormula>
    </tableColumn>
    <tableColumn id="38" name="Cost">
      <calculatedColumnFormula>IF(Tasks[[#This Row],[Task Name]]="","",IF(Tasks[[#This Row],[_IsSummary]],SUM(INDEX(Tasks[_LeafTotalCost],Tasks[[#This Row],[_Row]]+1):INDEX(Tasks[_LeafTotalCost],Tasks[[#This Row],[_Row]]+Tasks[[#This Row],[_Descendants]])),Tasks[[#This Row],[_LeafTotalCost]]))</calculatedColumnFormula>
    </tableColumn>
    <tableColumn id="39" name="Actual Cost"/>
    <tableColumn id="40" name="Duration Var">
      <calculatedColumnFormula>IF(OR(Tasks[[#This Row],[Task Name]]="",Tasks[[#This Row],[Baseline Duration]]=""),"",Tasks[[#This Row],[BL Source Duration]]-N(Tasks[[#This Row],[Baseline Duration]]))</calculatedColumnFormula>
    </tableColumn>
    <tableColumn id="41" name="Work Var">
      <calculatedColumnFormula>IF(OR(Tasks[[#This Row],[Task Name]]="",Tasks[[#This Row],[Baseline Work]]=""),"",Tasks[[#This Row],[Work]]-N(Tasks[[#This Row],[Baseline Work]]))</calculatedColumnFormula>
    </tableColumn>
    <tableColumn id="42" name="Cost Var">
      <calculatedColumnFormula>IF(OR(Tasks[[#This Row],[Task Name]]="",Tasks[[#This Row],[Baseline Cost]]=""),"",Tasks[[#This Row],[Cost]]-N(Tasks[[#This Row],[Baseline Cost]]))</calculatedColumnFormula>
    </tableColumn>
    <tableColumn id="43" name="BL Source Start">
      <calculatedColumnFormula>IF(Tasks[[#This Row],[Task Name]]="","",Tasks[[#This Row],[Start]])</calculatedColumnFormula>
    </tableColumn>
    <tableColumn id="44" name="BL Source Finish">
      <calculatedColumnFormula>IF(Tasks[[#This Row],[Task Name]]="","",Tasks[[#This Row],[Finish]])</calculatedColumnFormula>
    </tableColumn>
    <tableColumn id="45" name="BL Source Duration">
      <calculatedColumnFormula>IF(Tasks[[#This Row],[Task Name]]="","",IF(Tasks[[#This Row],[_IsSummary]],NETWORKDAYS.INTL(Tasks[[#This Row],[Start]],Tasks[[#This Row],[Finish]],WorkWeek,Holidays),N(Tasks[[#This Row],[Duration]])))</calculatedColumnFormula>
    </tableColumn>
    <tableColumn id="46" name="BL Source Work">
      <calculatedColumnFormula>IF(Tasks[[#This Row],[Task Name]]="","",Tasks[[#This Row],[Work]])</calculatedColumnFormula>
    </tableColumn>
    <tableColumn id="47" name="BL Source Cost">
      <calculatedColumnFormula>IF(Tasks[[#This Row],[Task Name]]="","",Tasks[[#This Row],[Cost]])</calculatedColumnFormula>
    </tableColumn>
    <tableColumn id="48" name="Baseline Start"/>
    <tableColumn id="49" name="Baseline Finish"/>
    <tableColumn id="50" name="Baseline Duration"/>
    <tableColumn id="51" name="Baseline Work"/>
    <tableColumn id="52" name="Baseline Cost"/>
    <tableColumn id="53" name="EV">
      <calculatedColumnFormula>IF(Tasks[[#This Row],[Task Name]]="","",IF(Tasks[[#This Row],[_IsSummary]],SUM(INDEX(Tasks[_LeafEV],Tasks[[#This Row],[_Row]]+1):INDEX(Tasks[_LeafEV],Tasks[[#This Row],[_Row]]+Tasks[[#This Row],[_Descendants]])),Tasks[[#This Row],[_LeafEV]]))</calculatedColumnFormula>
    </tableColumn>
    <tableColumn id="54" name="Budget">
      <calculatedColumnFormula>IF(Tasks[[#This Row],[Task Name]]="","",IF(Tasks[[#This Row],[_IsSummary]],SUM(INDEX(Tasks[_LeafBudget],Tasks[[#This Row],[_Row]]+1):INDEX(Tasks[_LeafBudget],Tasks[[#This Row],[_Row]]+Tasks[[#This Row],[_Descendants]])),Tasks[[#This Row],[_LeafBudget]]))</calculatedColumnFormula>
    </tableColumn>
    <tableColumn id="55" name="PV">
      <calculatedColumnFormula>IF(Tasks[[#This Row],[Task Name]]="","",IF(Tasks[[#This Row],[_IsSummary]],SUM(INDEX(Tasks[_LeafPV],Tasks[[#This Row],[_Row]]+1):INDEX(Tasks[_LeafPV],Tasks[[#This Row],[_Row]]+Tasks[[#This Row],[_Descendants]])),Tasks[[#This Row],[_LeafPV]]))</calculatedColumnFormula>
    </tableColumn>
    <tableColumn id="56" name="AC">
      <calculatedColumnFormula>IF(Tasks[[#This Row],[Task Name]]="","",IF(Tasks[[#This Row],[_IsSummary]],SUM(INDEX(Tasks[_LeafAC],Tasks[[#This Row],[_Row]]+1):INDEX(Tasks[_LeafAC],Tasks[[#This Row],[_Row]]+Tasks[[#This Row],[_Descendants]])),Tasks[[#This Row],[_LeafAC]]))</calculatedColumnFormula>
    </tableColumn>
    <tableColumn id="57" name="_Level">
      <calculatedColumnFormula>IF(Tasks[[#This Row],[Task Name]]="","",MAX(1,N(Tasks[[#This Row],[Level]])))</calculatedColumnFormula>
    </tableColumn>
    <tableColumn id="58" name="_Row">
      <calculatedColumnFormula>ROW()-ROW(Tasks[[#Headers],[ID]])</calculatedColumnFormula>
    </tableColumn>
    <tableColumn id="59" name="_ParentRow">
      <calculatedColumnFormula>IF(OR(Tasks[[#This Row],[Task Name]]="",Tasks[[#This Row],[_Level]]&lt;=1),0,IFERROR(LOOKUP(2,1/(Tasks[[#Headers],[_Level]]:Tasks[[#This Row],[_Level]]=Tasks[[#This Row],[_Level]]-1),ROW(Tasks[[#Headers],[_Level]]:Tasks[[#This Row],[_Level]])),0))</calculatedColumnFormula>
    </tableColumn>
    <tableColumn id="60" name="_NextLevel">
      <calculatedColumnFormula>IFERROR(N(INDEX(Tasks[_Level],Tasks[[#This Row],[_Row]]+1)),0)</calculatedColumnFormula>
    </tableColumn>
    <tableColumn id="61" name="_IsSummary">
      <calculatedColumnFormula>AND(Tasks[[#This Row],[Task Name]]&lt;&gt;"",Tasks[[#This Row],[_NextLevel]]&gt;Tasks[[#This Row],[_Level]])</calculatedColumnFormula>
    </tableColumn>
    <tableColumn id="62" name="_Descendants">
      <calculatedColumnFormula>IF(Tasks[[#This Row],[_IsSummary]],COUNTIF(Tasks[WBS],Tasks[[#This Row],[WBS]]&amp;".*"),0)</calculatedColumnFormula>
    </tableColumn>
    <tableColumn id="63" name="_IsLeaf">
      <calculatedColumnFormula>IF(AND(Tasks[[#This Row],[Task Name]]&lt;&gt;"",NOT(Tasks[[#This Row],[_IsSummary]])),1,0)</calculatedColumnFormula>
    </tableColumn>
    <tableColumn id="64" name="_Pred1Pos">
      <calculatedColumnFormula>IF(N(Tasks[[#This Row],[_Pred1UID]])=0,0,IFERROR(MATCH(Tasks[[#This Row],[_Pred1UID]],Tasks[UID],0),-1))</calculatedColumnFormula>
    </tableColumn>
    <tableColumn id="65" name="_Pred2Pos">
      <calculatedColumnFormula>IF(N(Tasks[[#This Row],[_Pred2UID]])=0,0,IFERROR(MATCH(Tasks[[#This Row],[_Pred2UID]],Tasks[UID],0),-1))</calculatedColumnFormula>
    </tableColumn>
    <tableColumn id="66" name="_Pred3Pos">
      <calculatedColumnFormula>IF(N(Tasks[[#This Row],[_Pred3UID]])=0,0,IFERROR(MATCH(Tasks[[#This Row],[_Pred3UID]],Tasks[UID],0),-1))</calculatedColumnFormula>
    </tableColumn>
    <tableColumn id="67" name="_Pred4Pos">
      <calculatedColumnFormula>IF(N(Tasks[[#This Row],[_Pred4UID]])=0,0,IFERROR(MATCH(Tasks[[#This Row],[_Pred4UID]],Tasks[UID],0),-1))</calculatedColumnFormula>
    </tableColumn>
    <tableColumn id="68"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69" name="_ConstraintStart">
      <calculatedColumnFormula>IF(N(Tasks[[#This Row],[Constraint Date]])=0,0,IF(AND(OR(Tasks[[#This Row],[_ConstraintCode]]=3,Tasks[[#This Row],[_ConstraintCode]]=6,Tasks[[#This Row],[_ConstraintCode]]=7),N(Tasks[[#This Row],[Duration]])&gt;1),WORKDAY.INTL(N(Tasks[[#This Row],[Constraint Date]]),-(N(Tasks[[#This Row],[Duration]])-1),WorkWeek,Holidays),N(Tasks[[#This Row],[Constraint Date]])))</calculatedColumnFormula>
    </tableColumn>
    <tableColumn id="70" name="_ConstraintLow">
      <calculatedColumnFormula>IF(OR(Tasks[[#This Row],[_ConstraintCode]]=2,Tasks[[#This Row],[_ConstraintCode]]=3,Tasks[[#This Row],[_ConstraintCode]]=4,Tasks[[#This Row],[_ConstraintCode]]=6),Tasks[[#This Row],[_ConstraintStart]],0)</calculatedColumnFormula>
    </tableColumn>
    <tableColumn id="71" name="_ConstraintHigh">
      <calculatedColumnFormula>IF(OR(Tasks[[#This Row],[_ConstraintCode]]=2,Tasks[[#This Row],[_ConstraintCode]]=3,Tasks[[#This Row],[_ConstraintCode]]=5,Tasks[[#This Row],[_ConstraintCode]]=7),Tasks[[#This Row],[_ConstraintStart]],2958465)</calculatedColumnFormula>
    </tableColumn>
    <tableColumn id="72"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73" name="_LeafCalcFinish">
      <calculatedColumnFormula>IF(NOT(Tasks[[#This Row],[_IsLeaf]]=1),"",IF(N(Tasks[[#This Row],[Duration]])&lt;=0,Tasks[[#This Row],[_LeafCalcStart]],WORKDAY.INTL(Tasks[[#This Row],[_LeafCalcStart]],Tasks[[#This Row],[Duration]]-1,WorkWeek,Holidays)))</calculatedColumnFormula>
    </tableColumn>
    <tableColumn id="74"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75"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calculatedColumnFormula>
    </tableColumn>
    <tableColumn id="76" name="_Pred1Text">
      <calculatedColumnFormula>IF(Tasks[[#This Row],[Predecessors]]="","",TRIM(MID(SUBSTITUTE(SUBSTITUTE(SUBSTITUTE(UPPER(Tasks[[#This Row],[Predecessors]]),";",",")," ",""),",",REPT(" ",99)),1,99)))</calculatedColumnFormula>
    </tableColumn>
    <tableColumn id="77"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78"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79"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80" name="_Pred2Text">
      <calculatedColumnFormula>IF(Tasks[[#This Row],[_Pred1Text]]="","",TRIM(MID(SUBSTITUTE(SUBSTITUTE(SUBSTITUTE(UPPER(Tasks[[#This Row],[Predecessors]]),";",",")," ",""),",",REPT(" ",99)),100,99)))</calculatedColumnFormula>
    </tableColumn>
    <tableColumn id="81"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82"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83"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84" name="_Pred3Text">
      <calculatedColumnFormula>IF(Tasks[[#This Row],[_Pred2Text]]="","",TRIM(MID(SUBSTITUTE(SUBSTITUTE(SUBSTITUTE(UPPER(Tasks[[#This Row],[Predecessors]]),";",",")," ",""),",",REPT(" ",99)),199,99)))</calculatedColumnFormula>
    </tableColumn>
    <tableColumn id="85"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86"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87"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88" name="_Pred4Text">
      <calculatedColumnFormula>IF(Tasks[[#This Row],[_Pred3Text]]="","",TRIM(MID(SUBSTITUTE(SUBSTITUTE(SUBSTITUTE(UPPER(Tasks[[#This Row],[Predecessors]]),";",",")," ",""),",",REPT(" ",99)),298,99)))</calculatedColumnFormula>
    </tableColumn>
    <tableColumn id="89"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90"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91"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92" name="_Res1Text">
      <calculatedColumnFormula>IF(OR(Tasks[[#This Row],[Task Name]]="",Tasks[[#This Row],[Resources]]=""),"",TRIM(MID(SUBSTITUTE(Tasks[[#This Row],[Resources]],",",REPT(" ",99)),1,99)))</calculatedColumnFormula>
    </tableColumn>
    <tableColumn id="93" name="_Res2Text">
      <calculatedColumnFormula>IF(Tasks[[#This Row],[_Res1Text]]="","",TRIM(MID(SUBSTITUTE(Tasks[[#This Row],[Resources]],",",REPT(" ",99)),100,99)))</calculatedColumnFormula>
    </tableColumn>
    <tableColumn id="94" name="_Res3Text">
      <calculatedColumnFormula>IF(Tasks[[#This Row],[_Res2Text]]="","",TRIM(MID(SUBSTITUTE(Tasks[[#This Row],[Resources]],",",REPT(" ",99)),199,99)))</calculatedColumnFormula>
    </tableColumn>
    <tableColumn id="95" name="_Res4Text">
      <calculatedColumnFormula>IF(Tasks[[#This Row],[_Res3Text]]="","",TRIM(MID(SUBSTITUTE(Tasks[[#This Row],[Resources]],",",REPT(" ",99)),298,99)))</calculatedColumnFormula>
    </tableColumn>
    <tableColumn id="96" name="_Resource1">
      <calculatedColumnFormula>IF(Tasks[[#This Row],[_Res1Text]]="","",IFERROR(INDEX(res_Name,MATCH(TRIM(LEFT(Tasks[[#This Row],[_Res1Text]],FIND("[",Tasks[[#This Row],[_Res1Text]]&amp;"[")-1)),res_Name,0)),IFERROR(INDEX(res_Name,MATCH(TRIM(LEFT(Tasks[[#This Row],[_Res1Text]],FIND("[",Tasks[[#This Row],[_Res1Text]]&amp;"[")-1)),res_Initials,0)),TRIM(LEFT(Tasks[[#This Row],[_Res1Text]],FIND("[",Tasks[[#This Row],[_Res1Text]]&amp;"[")-1)))))</calculatedColumnFormula>
    </tableColumn>
    <tableColumn id="97"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98" name="_People">
      <calculatedColumnFormula>IF(NOT(Tasks[[#This Row],[_IsLeaf]]=1),0,(Tasks[[#This Row],[_Resource1]]&lt;&gt;"")+(Tasks[[#This Row],[_Res2]]&lt;&gt;"")+(Tasks[[#This Row],[_Res3]]&lt;&gt;"")+(Tasks[[#This Row],[_Res4]]&lt;&gt;""))</calculatedColumnFormula>
    </tableColumn>
    <tableColumn id="99" name="_Res2">
      <calculatedColumnFormula>IF(Tasks[[#This Row],[_Res2Text]]="","",IFERROR(INDEX(res_Name,MATCH(TRIM(LEFT(Tasks[[#This Row],[_Res2Text]],FIND("[",Tasks[[#This Row],[_Res2Text]]&amp;"[")-1)),res_Name,0)),IFERROR(INDEX(res_Name,MATCH(TRIM(LEFT(Tasks[[#This Row],[_Res2Text]],FIND("[",Tasks[[#This Row],[_Res2Text]]&amp;"[")-1)),res_Initials,0)),TRIM(LEFT(Tasks[[#This Row],[_Res2Text]],FIND("[",Tasks[[#This Row],[_Res2Text]]&amp;"[")-1)))))</calculatedColumnFormula>
    </tableColumn>
    <tableColumn id="100"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01" name="_Res2Work">
      <calculatedColumnFormula>IF(OR(NOT(Tasks[[#This Row],[_IsLeaf]]=1),Tasks[[#This Row],[_Res2]]=""),0,IF(ISNA(MATCH(Tasks[[#This Row],[_Res2]],res_Name,0)),0,N(Tasks[[#This Row],[Duration]])*HoursPerDay*IF(Tasks[[#This Row],[_Res2Units]]="",DefaultUnits,Tasks[[#This Row],[_Res2Units]])))</calculatedColumnFormula>
    </tableColumn>
    <tableColumn id="102" name="_Res2Cost">
      <calculatedColumnFormula>IF(Tasks[[#This Row],[_Res2Work]]=0,0,Tasks[[#This Row],[_Res2Work]]*IFERROR(INDEX(res_Rate,MATCH(Tasks[[#This Row],[_Res2]],res_Name,0)),0))</calculatedColumnFormula>
    </tableColumn>
    <tableColumn id="103" name="_Res2WorkPerWD">
      <calculatedColumnFormula>IF(AND(AND(Tasks[[#This Row],[_IsLeaf]]=1,Tasks[[#This Row],[_LeafTotalWork]]&gt;0),Tasks[[#This Row],[_Res2Work]]&gt;0),Tasks[[#This Row],[_Res2Work]]/(Tasks[[#This Row],[_FinishWorkday]]-Tasks[[#This Row],[_StartWorkday]]+1),0)</calculatedColumnFormula>
    </tableColumn>
    <tableColumn id="104" name="_Res2WorkBefore">
      <calculatedColumnFormula>Tasks[[#This Row],[_Res2WorkPerWD]]*MAX(0,Tasks[[#This Row],[_StartWorkday]]-1)</calculatedColumnFormula>
    </tableColumn>
    <tableColumn id="105" name="_Res2WorkDone">
      <calculatedColumnFormula>Tasks[[#This Row],[_Res2Work]]*Tasks[[#This Row],[_LeafProgress]]</calculatedColumnFormula>
    </tableColumn>
    <tableColumn id="106" name="_Res2AC">
      <calculatedColumnFormula>IF(Tasks[[#This Row],[_LeafTotalCost]]=0,0,Tasks[[#This Row],[_LeafAC]]*Tasks[[#This Row],[_Res2Cost]]/Tasks[[#This Row],[_LeafTotalCost]])</calculatedColumnFormula>
    </tableColumn>
    <tableColumn id="107" name="_Res3">
      <calculatedColumnFormula>IF(Tasks[[#This Row],[_Res3Text]]="","",IFERROR(INDEX(res_Name,MATCH(TRIM(LEFT(Tasks[[#This Row],[_Res3Text]],FIND("[",Tasks[[#This Row],[_Res3Text]]&amp;"[")-1)),res_Name,0)),IFERROR(INDEX(res_Name,MATCH(TRIM(LEFT(Tasks[[#This Row],[_Res3Text]],FIND("[",Tasks[[#This Row],[_Res3Text]]&amp;"[")-1)),res_Initials,0)),TRIM(LEFT(Tasks[[#This Row],[_Res3Text]],FIND("[",Tasks[[#This Row],[_Res3Text]]&amp;"[")-1)))))</calculatedColumnFormula>
    </tableColumn>
    <tableColumn id="108"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09" name="_Res3Work">
      <calculatedColumnFormula>IF(OR(NOT(Tasks[[#This Row],[_IsLeaf]]=1),Tasks[[#This Row],[_Res3]]=""),0,IF(ISNA(MATCH(Tasks[[#This Row],[_Res3]],res_Name,0)),0,N(Tasks[[#This Row],[Duration]])*HoursPerDay*IF(Tasks[[#This Row],[_Res3Units]]="",DefaultUnits,Tasks[[#This Row],[_Res3Units]])))</calculatedColumnFormula>
    </tableColumn>
    <tableColumn id="110" name="_Res3Cost">
      <calculatedColumnFormula>IF(Tasks[[#This Row],[_Res3Work]]=0,0,Tasks[[#This Row],[_Res3Work]]*IFERROR(INDEX(res_Rate,MATCH(Tasks[[#This Row],[_Res3]],res_Name,0)),0))</calculatedColumnFormula>
    </tableColumn>
    <tableColumn id="111" name="_Res3WorkPerWD">
      <calculatedColumnFormula>IF(AND(AND(Tasks[[#This Row],[_IsLeaf]]=1,Tasks[[#This Row],[_LeafTotalWork]]&gt;0),Tasks[[#This Row],[_Res3Work]]&gt;0),Tasks[[#This Row],[_Res3Work]]/(Tasks[[#This Row],[_FinishWorkday]]-Tasks[[#This Row],[_StartWorkday]]+1),0)</calculatedColumnFormula>
    </tableColumn>
    <tableColumn id="112" name="_Res3WorkBefore">
      <calculatedColumnFormula>Tasks[[#This Row],[_Res3WorkPerWD]]*MAX(0,Tasks[[#This Row],[_StartWorkday]]-1)</calculatedColumnFormula>
    </tableColumn>
    <tableColumn id="113" name="_Res3WorkDone">
      <calculatedColumnFormula>Tasks[[#This Row],[_Res3Work]]*Tasks[[#This Row],[_LeafProgress]]</calculatedColumnFormula>
    </tableColumn>
    <tableColumn id="114" name="_Res3AC">
      <calculatedColumnFormula>IF(Tasks[[#This Row],[_LeafTotalCost]]=0,0,Tasks[[#This Row],[_LeafAC]]*Tasks[[#This Row],[_Res3Cost]]/Tasks[[#This Row],[_LeafTotalCost]])</calculatedColumnFormula>
    </tableColumn>
    <tableColumn id="115" name="_Res4">
      <calculatedColumnFormula>IF(Tasks[[#This Row],[_Res4Text]]="","",IFERROR(INDEX(res_Name,MATCH(TRIM(LEFT(Tasks[[#This Row],[_Res4Text]],FIND("[",Tasks[[#This Row],[_Res4Text]]&amp;"[")-1)),res_Name,0)),IFERROR(INDEX(res_Name,MATCH(TRIM(LEFT(Tasks[[#This Row],[_Res4Text]],FIND("[",Tasks[[#This Row],[_Res4Text]]&amp;"[")-1)),res_Initials,0)),TRIM(LEFT(Tasks[[#This Row],[_Res4Text]],FIND("[",Tasks[[#This Row],[_Res4Text]]&amp;"[")-1)))))</calculatedColumnFormula>
    </tableColumn>
    <tableColumn id="116"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17" name="_Res4Work">
      <calculatedColumnFormula>IF(OR(NOT(Tasks[[#This Row],[_IsLeaf]]=1),Tasks[[#This Row],[_Res4]]=""),0,IF(ISNA(MATCH(Tasks[[#This Row],[_Res4]],res_Name,0)),0,N(Tasks[[#This Row],[Duration]])*HoursPerDay*IF(Tasks[[#This Row],[_Res4Units]]="",DefaultUnits,Tasks[[#This Row],[_Res4Units]])))</calculatedColumnFormula>
    </tableColumn>
    <tableColumn id="118" name="_Res4Cost">
      <calculatedColumnFormula>IF(Tasks[[#This Row],[_Res4Work]]=0,0,Tasks[[#This Row],[_Res4Work]]*IFERROR(INDEX(res_Rate,MATCH(Tasks[[#This Row],[_Res4]],res_Name,0)),0))</calculatedColumnFormula>
    </tableColumn>
    <tableColumn id="119" name="_Res4WorkPerWD">
      <calculatedColumnFormula>IF(AND(AND(Tasks[[#This Row],[_IsLeaf]]=1,Tasks[[#This Row],[_LeafTotalWork]]&gt;0),Tasks[[#This Row],[_Res4Work]]&gt;0),Tasks[[#This Row],[_Res4Work]]/(Tasks[[#This Row],[_FinishWorkday]]-Tasks[[#This Row],[_StartWorkday]]+1),0)</calculatedColumnFormula>
    </tableColumn>
    <tableColumn id="120" name="_Res4WorkBefore">
      <calculatedColumnFormula>Tasks[[#This Row],[_Res4WorkPerWD]]*MAX(0,Tasks[[#This Row],[_StartWorkday]]-1)</calculatedColumnFormula>
    </tableColumn>
    <tableColumn id="121" name="_Res4WorkDone">
      <calculatedColumnFormula>Tasks[[#This Row],[_Res4Work]]*Tasks[[#This Row],[_LeafProgress]]</calculatedColumnFormula>
    </tableColumn>
    <tableColumn id="122" name="_Res4AC">
      <calculatedColumnFormula>IF(Tasks[[#This Row],[_LeafTotalCost]]=0,0,Tasks[[#This Row],[_LeafAC]]*Tasks[[#This Row],[_Res4Cost]]/Tasks[[#This Row],[_LeafTotalCost]])</calculatedColumnFormula>
    </tableColumn>
    <tableColumn id="123" name="_Pct">
      <calculatedColumnFormula>IF(ISNUMBER(Tasks[[#This Row],[% Complete]]),Tasks[[#This Row],[% Complete]],IF(Tasks[[#This Row],[Stage]]="",0,IFERROR(INDEX(stg_Pct,MATCH(Tasks[[#This Row],[Stage]],stg_Name,0)),0)))</calculatedColumnFormula>
    </tableColumn>
    <tableColumn id="124" name="_LeafProgress">
      <calculatedColumnFormula>IF(NOT(Tasks[[#This Row],[_IsLeaf]]=1),0,IF(N(Tasks[[#This Row],[Actual Finish]])&gt;0,1,MIN(1,Tasks[[#This Row],[_Pct]])))</calculatedColumnFormula>
    </tableColumn>
    <tableColumn id="125" name="_LeafWork">
      <calculatedColumnFormula>IF(OR(NOT(Tasks[[#This Row],[_IsLeaf]]=1),Tasks[[#This Row],[_Resource1]]=""),0,IF(ISNA(MATCH(Tasks[[#This Row],[_Resource1]],res_Name,0)),0,N(Tasks[[#This Row],[Duration]])*HoursPerDay*IF(Tasks[[#This Row],[_Units1]]="",DefaultUnits,Tasks[[#This Row],[_Units1]])))</calculatedColumnFormula>
    </tableColumn>
    <tableColumn id="126" name="_LeafCost">
      <calculatedColumnFormula>IF(Tasks[[#This Row],[_LeafWork]]=0,0,Tasks[[#This Row],[_LeafWork]]*IFERROR(INDEX(res_Rate,MATCH(Tasks[[#This Row],[_Resource1]],res_Name,0)),0))</calculatedColumnFormula>
    </tableColumn>
    <tableColumn id="127" name="_LeafTotalWork">
      <calculatedColumnFormula>Tasks[[#This Row],[_LeafWork]]+Tasks[[#This Row],[_Res2Work]]+Tasks[[#This Row],[_Res3Work]]+Tasks[[#This Row],[_Res4Work]]</calculatedColumnFormula>
    </tableColumn>
    <tableColumn id="128" name="_LeafTotalCost">
      <calculatedColumnFormula>Tasks[[#This Row],[_LeafCost]]+Tasks[[#This Row],[_Res2Cost]]+Tasks[[#This Row],[_Res3Cost]]+Tasks[[#This Row],[_Res4Cost]]</calculatedColumnFormula>
    </tableColumn>
    <tableColumn id="129" name="_ResourceAC">
      <calculatedColumnFormula>IF(Tasks[[#This Row],[_LeafTotalCost]]=0,Tasks[[#This Row],[_LeafAC]],Tasks[[#This Row],[_LeafAC]]*Tasks[[#This Row],[_LeafCost]]/Tasks[[#This Row],[_LeafTotalCost]])</calculatedColumnFormula>
    </tableColumn>
    <tableColumn id="130" name="_Pred1FinishKey">
      <calculatedColumnFormula>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calculatedColumnFormula>
    </tableColumn>
    <tableColumn id="131" name="_Pred2FinishKey">
      <calculatedColumnFormula>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calculatedColumnFormula>
    </tableColumn>
    <tableColumn id="132" name="_Pred3FinishKey">
      <calculatedColumnFormula>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calculatedColumnFormula>
    </tableColumn>
    <tableColumn id="133" name="_Pred4FinishKey">
      <calculatedColumnFormula>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calculatedColumnFormula>
    </tableColumn>
    <tableColumn id="134"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35"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36"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37"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38"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39"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40" name="_LeafLateFinish">
      <calculatedColumnFormula>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calculatedColumnFormula>
    </tableColumn>
    <tableColumn id="141" name="_LeafLateStart">
      <calculatedColumnFormula>IF(NOT(Tasks[[#This Row],[_IsLeaf]]=1),"",IF(N(Tasks[[#This Row],[Duration]])&lt;=0,Tasks[[#This Row],[_LeafLateFinish]],WORKDAY.INTL(Tasks[[#This Row],[_LeafLateFinish]],-(Tasks[[#This Row],[Duration]]-1),WorkWeek,Holidays)))</calculatedColumnFormula>
    </tableColumn>
    <tableColumn id="142"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43" name="_LeafCritical">
      <calculatedColumnFormula>AND(Tasks[[#This Row],[_IsLeaf]]=1,Tasks[[#This Row],[_LeafProgress]]&lt;1,N(Tasks[[#This Row],[_LeafTotalSlack]])&lt;=CriticalSlackDays)</calculatedColumnFormula>
    </tableColumn>
    <tableColumn id="144" name="_AlapShift">
      <calculatedColumnFormula>IF(AND(Tasks[[#This Row],[_IsLeaf]]=1,Tasks[[#This Row],[_ConstraintCode]]=1,Tasks[[#This Row],[Mode]]&lt;&gt;"Manual",N(Tasks[[#This Row],[Actual Start]])=0),MAX(0,N(Tasks[[#This Row],[Free Slack]])),0)</calculatedColumnFormula>
    </tableColumn>
    <tableColumn id="145" name="_ShownCalcStart">
      <calculatedColumnFormula>IF(NOT(Tasks[[#This Row],[_IsLeaf]]=1),"",IF(Tasks[[#This Row],[_AlapShift]]=0,Tasks[[#This Row],[_LeafCalcStart]],WORKDAY.INTL(Tasks[[#This Row],[_LeafCalcStart]],Tasks[[#This Row],[_AlapShift]],WorkWeek,Holidays)))</calculatedColumnFormula>
    </tableColumn>
    <tableColumn id="146" name="_ShownCalcFinish">
      <calculatedColumnFormula>IF(NOT(Tasks[[#This Row],[_IsLeaf]]=1),"",IF(Tasks[[#This Row],[_AlapShift]]=0,Tasks[[#This Row],[_LeafCalcFinish]],WORKDAY.INTL(Tasks[[#This Row],[_LeafCalcFinish]],Tasks[[#This Row],[_AlapShift]],WorkWeek,Holidays)))</calculatedColumnFormula>
    </tableColumn>
    <tableColumn id="147" name="_ShownFcstStart">
      <calculatedColumnFormula>IF(NOT(Tasks[[#This Row],[_IsLeaf]]=1),"",IF(Tasks[[#This Row],[_AlapShift]]=0,Tasks[[#This Row],[_LeafFcstStart]],WORKDAY.INTL(Tasks[[#This Row],[_LeafFcstStart]],Tasks[[#This Row],[_AlapShift]],WorkWeek,Holidays)))</calculatedColumnFormula>
    </tableColumn>
    <tableColumn id="148" name="_ShownFcstFinish">
      <calculatedColumnFormula>IF(NOT(Tasks[[#This Row],[_IsLeaf]]=1),"",IF(Tasks[[#This Row],[_AlapShift]]=0,Tasks[[#This Row],[_LeafFcstFinish]],WORKDAY.INTL(Tasks[[#This Row],[_LeafFcstFinish]],Tasks[[#This Row],[_AlapShift]],WorkWeek,Holidays)))</calculatedColumnFormula>
    </tableColumn>
    <tableColumn id="149"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50"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51"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52"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53"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54"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55"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calculatedColumnFormula>
    </tableColumn>
    <tableColumn id="156"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calculatedColumnFormula>
    </tableColumn>
    <tableColumn id="157"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calculatedColumnFormula>
    </tableColumn>
    <tableColumn id="158"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calculatedColumnFormula>
    </tableColumn>
    <tableColumn id="159"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calculatedColumnFormula>
    </tableColumn>
    <tableColumn id="160"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calculatedColumnFormula>
    </tableColumn>
    <tableColumn id="161"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calculatedColumnFormula>
    </tableColumn>
    <tableColumn id="162"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calculatedColumnFormula>
    </tableColumn>
    <tableColumn id="163" name="_StartWorkday">
      <calculatedColumnFormula>IF(AND(Tasks[[#This Row],[_IsLeaf]]=1,Tasks[[#This Row],[_LeafTotalWork]]&gt;0),NETWORKDAYS.INTL(ProjectStart,Tasks[[#This Row],[_ShownFcstStart]],WorkWeek,Holidays),0)</calculatedColumnFormula>
    </tableColumn>
    <tableColumn id="164" name="_FinishWorkday">
      <calculatedColumnFormula>IF(AND(Tasks[[#This Row],[_IsLeaf]]=1,Tasks[[#This Row],[_LeafTotalWork]]&gt;0),MAX(Tasks[[#This Row],[_StartWorkday]],NETWORKDAYS.INTL(ProjectStart,Tasks[[#This Row],[_ShownFcstFinish]],WorkWeek,Holidays)),0)</calculatedColumnFormula>
    </tableColumn>
    <tableColumn id="165" name="_WorkPerWorkday">
      <calculatedColumnFormula>IF(AND(Tasks[[#This Row],[_IsLeaf]]=1,Tasks[[#This Row],[_LeafTotalWork]]&gt;0),Tasks[[#This Row],[_LeafWork]]/(Tasks[[#This Row],[_FinishWorkday]]-Tasks[[#This Row],[_StartWorkday]]+1),0)</calculatedColumnFormula>
    </tableColumn>
    <tableColumn id="166" name="_WorkBeforeStart">
      <calculatedColumnFormula>Tasks[[#This Row],[_WorkPerWorkday]]*(Tasks[[#This Row],[_StartWorkday]]-1)</calculatedColumnFormula>
    </tableColumn>
    <tableColumn id="167" name="_WeightDur">
      <calculatedColumnFormula>IF(Tasks[[#This Row],[_IsLeaf]]=1,MAX(N(Tasks[[#This Row],[Duration]]),0.1),0)</calculatedColumnFormula>
    </tableColumn>
    <tableColumn id="168" name="_WeightDone">
      <calculatedColumnFormula>Tasks[[#This Row],[_WeightDur]]*Tasks[[#This Row],[_LeafProgress]]</calculatedColumnFormula>
    </tableColumn>
    <tableColumn id="169"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70" name="_MilestoneKey">
      <calculatedColumnFormula>IF(AND(Tasks[[#This Row],[_IsLeaf]]=1,N(Tasks[[#This Row],[Duration]])=0,Tasks[[#This Row],[_LeafProgress]]&lt;1),Tasks[[#This Row],[_ShownFcstFinish]]+Tasks[[#This Row],[_Row]]/100000,"")</calculatedColumnFormula>
    </tableColumn>
    <tableColumn id="171"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72" name="_LeafBudget">
      <calculatedColumnFormula>IF(NOT(Tasks[[#This Row],[_IsLeaf]]=1),0,IF(Tasks[[#This Row],[Baseline Cost]]="",Tasks[[#This Row],[_LeafTotalCost]],N(Tasks[[#This Row],[Baseline Cost]])))</calculatedColumnFormula>
    </tableColumn>
    <tableColumn id="173" name="_LeafPV">
      <calculatedColumnFormula>Tasks[[#This Row],[_LeafBudget]]*Tasks[[#This Row],[_PlannedPct]]</calculatedColumnFormula>
    </tableColumn>
    <tableColumn id="174" name="_LeafEV">
      <calculatedColumnFormula>Tasks[[#This Row],[_LeafBudget]]*Tasks[[#This Row],[_LeafProgress]]</calculatedColumnFormula>
    </tableColumn>
    <tableColumn id="175" name="_LeafAC">
      <calculatedColumnFormula>IF(NOT(Tasks[[#This Row],[_IsLeaf]]=1),0,IF(Tasks[[#This Row],[Actual Cost]]="",Tasks[[#This Row],[_LeafTotalCost]]*Tasks[[#This Row],[_LeafProgress]],N(Tasks[[#This Row],[Actual Cost]])))</calculatedColumnFormula>
    </tableColumn>
    <tableColumn id="176" name="_Phase">
      <calculatedColumnFormula>IF(Tasks[[#This Row],[Task Name]]="","",LEFT(Tasks[[#This Row],[WBS]],FIND(".",Tasks[[#This Row],[WBS]]&amp;".")-1))</calculatedColumnFormula>
    </tableColumn>
    <tableColumn id="177" name="_PhaseKey">
      <calculatedColumnFormula>IF(AND(Tasks[[#This Row],[Task Name]]&lt;&gt;"",Tasks[[#This Row],[_Level]]=1),Tasks[[#This Row],[_Row]],"")</calculatedColumnFormula>
    </tableColumn>
    <tableColumn id="178" name="_MilestoneOrder">
      <calculatedColumnFormula>IF(AND(Tasks[[#This Row],[_IsLeaf]]=1,N(Tasks[[#This Row],[Duration]])=0),Tasks[[#This Row],[Planned Finish]]+Tasks[[#This Row],[_Row]]/100000,"")</calculatedColumnFormula>
    </tableColumn>
    <tableColumn id="179" name="_LateKey">
      <calculatedColumnFormula>IF(AND(Tasks[[#This Row],[_IsLeaf]]=1,Tasks[[#This Row],[_LeafProgress]]&lt;1,OR(N(Tasks[[#This Row],[Finish Var]])&gt;0,Tasks[[#This Row],[Status]]="Late Start")),MAX(0,Tasks[[#This Row],[Finish Var]])+1-Tasks[[#This Row],[_Row]]/1000000,"")</calculatedColumnFormula>
    </tableColumn>
    <tableColumn id="180" name="_StartSoonKey">
      <calculatedColumnFormula>IF(AND(Tasks[[#This Row],[_IsLeaf]]=1,N(Tasks[[#This Row],[Actual Start]])=0,Tasks[[#This Row],[_ShownFcstStart]]&gt;=StatusDate,Tasks[[#This Row],[_ShownFcstStart]]&lt;=LookaheadEnd),Tasks[[#This Row],[_ShownFcstStart]]+Tasks[[#This Row],[_Row]]/100000,"")</calculatedColumnFormula>
    </tableColumn>
    <tableColumn id="181"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82" name="_CriticalKey">
      <calculatedColumnFormula>IF(Tasks[[#This Row],[_LeafCritical]],Tasks[[#This Row],[_ShownFcstStart]]+Tasks[[#This Row],[_Row]]/100000,"")</calculatedColumnFormula>
    </tableColumn>
    <tableColumn id="183" name="_LeafWorkDone">
      <calculatedColumnFormula>Tasks[[#This Row],[_LeafWork]]*Tasks[[#This Row],[_LeafProgress]]</calculatedColumnFormula>
    </tableColumn>
    <tableColumn id="184" name="_DoneDate">
      <calculatedColumnFormula>IF(AND(Tasks[[#This Row],[_IsLeaf]]=1,Tasks[[#This Row],[_LeafProgress]]&gt;=1),IF(N(Tasks[[#This Row],[Actual Finish]])&gt;0,Tasks[[#This Row],[Actual Finish]],Tasks[[#This Row],[_ShownFcstFinish]]),"")</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Relationship Id="rId4" Type="http://schemas.openxmlformats.org/officeDocument/2006/relationships/table" Target="../tables/table3.xml"/><Relationship Id="rId5" Type="http://schemas.openxmlformats.org/officeDocument/2006/relationships/table" Target="../tables/table16.xml"/><Relationship Id="rId6" Type="http://schemas.openxmlformats.org/officeDocument/2006/relationships/table" Target="../tables/table17.xml"/><Relationship Id="rId7" Type="http://schemas.openxmlformats.org/officeDocument/2006/relationships/table" Target="../tables/table22.xml"/><Relationship Id="rId8" Type="http://schemas.openxmlformats.org/officeDocument/2006/relationships/table" Target="../tables/table23.xml"/><Relationship Id="rId9" Type="http://schemas.openxmlformats.org/officeDocument/2006/relationships/table" Target="../tables/table24.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Relationship Id="rId3" Type="http://schemas.openxmlformats.org/officeDocument/2006/relationships/table" Target="../tables/table19.xml"/><Relationship Id="rId4" Type="http://schemas.openxmlformats.org/officeDocument/2006/relationships/table" Target="../tables/table20.xml"/>
</Relationships>
</file>

<file path=xl/worksheets/_rels/sheet4.xml.rels><?xml version="1.0" encoding="UTF-8"?>
<Relationships xmlns="http://schemas.openxmlformats.org/package/2006/relationships"><Relationship Id="rId1" Type="http://schemas.openxmlformats.org/officeDocument/2006/relationships/table" Target="../tables/table2.xml"/><Relationship Id="rId2" Type="http://schemas.openxmlformats.org/officeDocument/2006/relationships/table" Target="../tables/table4.xml"/><Relationship Id="rId3" Type="http://schemas.openxmlformats.org/officeDocument/2006/relationships/table" Target="../tables/table5.xml"/><Relationship Id="rId4" Type="http://schemas.openxmlformats.org/officeDocument/2006/relationships/table" Target="../tables/table6.xml"/><Relationship Id="rId5" Type="http://schemas.openxmlformats.org/officeDocument/2006/relationships/table" Target="../tables/table7.xml"/><Relationship Id="rId6" Type="http://schemas.openxmlformats.org/officeDocument/2006/relationships/table" Target="../tables/table8.xml"/><Relationship Id="rId7" Type="http://schemas.openxmlformats.org/officeDocument/2006/relationships/table" Target="../tables/table9.xml"/><Relationship Id="rId8" Type="http://schemas.openxmlformats.org/officeDocument/2006/relationships/table" Target="../tables/table10.xml"/><Relationship Id="rId9" Type="http://schemas.openxmlformats.org/officeDocument/2006/relationships/table" Target="../tables/table11.xml"/><Relationship Id="rId10" Type="http://schemas.openxmlformats.org/officeDocument/2006/relationships/table" Target="../tables/table12.xml"/><Relationship Id="rId11" Type="http://schemas.openxmlformats.org/officeDocument/2006/relationships/table" Target="../tables/table13.xml"/><Relationship Id="rId12" Type="http://schemas.openxmlformats.org/officeDocument/2006/relationships/table" Target="../tables/table14.xml"/><Relationship Id="rId13" Type="http://schemas.openxmlformats.org/officeDocument/2006/relationships/table" Target="../tables/table15.xml"/><Relationship Id="rId14" Type="http://schemas.openxmlformats.org/officeDocument/2006/relationships/table" Target="../tables/table21.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25.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Relationship Id="rId3" Type="http://schemas.openxmlformats.org/officeDocument/2006/relationships/table" Target="../tables/table1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row>
    <row r="4" customFormat="false" ht="15" hidden="false" customHeight="false" outlineLevel="0" collapsed="false">
      <c r="B4" s="5" t="s">
        <v>3</v>
      </c>
      <c r="C4" s="6" t="s">
        <v>4</v>
      </c>
    </row>
    <row r="5" customFormat="false" ht="15" hidden="false" customHeight="false" outlineLevel="0" collapsed="false">
      <c r="B5" s="5" t="s">
        <v>5</v>
      </c>
      <c r="C5" s="6" t="s">
        <v>6</v>
      </c>
    </row>
    <row r="6" customFormat="false" ht="15" hidden="false" customHeight="false" outlineLevel="0" collapsed="false">
      <c r="B6" s="5" t="s">
        <v>7</v>
      </c>
      <c r="C6" s="7" t="n">
        <v>46272</v>
      </c>
    </row>
    <row r="7" customFormat="false" ht="15" hidden="false" customHeight="false" outlineLevel="0" collapsed="false">
      <c r="B7" s="5" t="s">
        <v>8</v>
      </c>
      <c r="C7" s="6" t="s">
        <v>9</v>
      </c>
    </row>
    <row r="8" customFormat="false" ht="15" hidden="false" customHeight="false" outlineLevel="0" collapsed="false">
      <c r="B8" s="5" t="s">
        <v>10</v>
      </c>
      <c r="C8" s="8" t="n">
        <v>8</v>
      </c>
    </row>
    <row r="10" customFormat="false" ht="15" hidden="false" customHeight="false" outlineLevel="0" collapsed="false">
      <c r="B10" s="3" t="s">
        <v>11</v>
      </c>
      <c r="C10" s="4"/>
    </row>
    <row r="11" customFormat="false" ht="28.35" hidden="false" customHeight="false" outlineLevel="0" collapsed="false">
      <c r="B11" s="5" t="s">
        <v>12</v>
      </c>
      <c r="C11" s="9" t="s">
        <v>13</v>
      </c>
    </row>
    <row r="12" customFormat="false" ht="15" hidden="false" customHeight="false" outlineLevel="0" collapsed="false">
      <c r="B12" s="5" t="s">
        <v>14</v>
      </c>
      <c r="C12" s="10" t="s">
        <v>15</v>
      </c>
    </row>
    <row r="13" customFormat="false" ht="15" hidden="false" customHeight="false" outlineLevel="0" collapsed="false">
      <c r="B13" s="5" t="s">
        <v>16</v>
      </c>
      <c r="C13" s="10" t="s">
        <v>17</v>
      </c>
    </row>
    <row r="14" customFormat="false" ht="15" hidden="false" customHeight="false" outlineLevel="0" collapsed="false">
      <c r="B14" s="5" t="s">
        <v>18</v>
      </c>
      <c r="C14" s="10" t="s">
        <v>19</v>
      </c>
    </row>
    <row r="15" customFormat="false" ht="15" hidden="false" customHeight="false" outlineLevel="0" collapsed="false">
      <c r="B15" s="5" t="s">
        <v>20</v>
      </c>
      <c r="C15" s="10" t="s">
        <v>21</v>
      </c>
    </row>
    <row r="17" customFormat="false" ht="15" hidden="false" customHeight="false" outlineLevel="0" collapsed="false">
      <c r="B17" s="3" t="s">
        <v>22</v>
      </c>
      <c r="C17" s="4"/>
    </row>
    <row r="18" customFormat="false" ht="15" hidden="false" customHeight="false" outlineLevel="0" collapsed="false">
      <c r="B18" s="5" t="s">
        <v>23</v>
      </c>
      <c r="C18" s="10" t="s">
        <v>24</v>
      </c>
    </row>
    <row r="20" customFormat="false" ht="15" hidden="false" customHeight="false" outlineLevel="0" collapsed="false">
      <c r="B20" s="3" t="s">
        <v>25</v>
      </c>
      <c r="C20" s="4"/>
    </row>
    <row r="22" customFormat="false" ht="15" hidden="false" customHeight="false" outlineLevel="0" collapsed="false">
      <c r="B22" s="3" t="s">
        <v>26</v>
      </c>
      <c r="C22" s="4"/>
    </row>
    <row r="23" customFormat="false" ht="15" hidden="false" customHeight="false" outlineLevel="0" collapsed="false">
      <c r="B23" s="11" t="s">
        <v>27</v>
      </c>
      <c r="C23" s="12" t="s">
        <v>28</v>
      </c>
    </row>
    <row r="25" customFormat="false" ht="15" hidden="false" customHeight="false" outlineLevel="0" collapsed="false">
      <c r="B25" s="3" t="s">
        <v>29</v>
      </c>
      <c r="C25" s="4"/>
    </row>
    <row r="26" customFormat="false" ht="35.05" hidden="false" customHeight="false" outlineLevel="0" collapsed="false">
      <c r="B26" s="11" t="s">
        <v>30</v>
      </c>
      <c r="C26" s="12" t="s">
        <v>31</v>
      </c>
    </row>
    <row r="27" customFormat="false" ht="23.85" hidden="false" customHeight="false" outlineLevel="0" collapsed="false">
      <c r="B27" s="11" t="s">
        <v>32</v>
      </c>
      <c r="C27" s="12" t="s">
        <v>33</v>
      </c>
    </row>
    <row r="28" customFormat="false" ht="57.45" hidden="false" customHeight="false" outlineLevel="0" collapsed="false">
      <c r="B28" s="11" t="s">
        <v>16</v>
      </c>
      <c r="C28" s="12" t="s">
        <v>34</v>
      </c>
    </row>
    <row r="29" customFormat="false" ht="35.05" hidden="false" customHeight="false" outlineLevel="0" collapsed="false">
      <c r="B29" s="11" t="s">
        <v>35</v>
      </c>
      <c r="C29" s="12" t="s">
        <v>36</v>
      </c>
    </row>
    <row r="30" customFormat="false" ht="57.45" hidden="false" customHeight="false" outlineLevel="0" collapsed="false">
      <c r="B30" s="11" t="s">
        <v>37</v>
      </c>
      <c r="C30" s="12" t="s">
        <v>38</v>
      </c>
    </row>
    <row r="31" customFormat="false" ht="35.05" hidden="false" customHeight="false" outlineLevel="0" collapsed="false">
      <c r="B31" s="11" t="s">
        <v>39</v>
      </c>
      <c r="C31" s="12" t="s">
        <v>40</v>
      </c>
    </row>
    <row r="32" customFormat="false" ht="57.45" hidden="false" customHeight="false" outlineLevel="0" collapsed="false">
      <c r="B32" s="11" t="s">
        <v>41</v>
      </c>
      <c r="C32" s="12" t="s">
        <v>42</v>
      </c>
    </row>
    <row r="33" customFormat="false" ht="23.85" hidden="false" customHeight="false" outlineLevel="0" collapsed="false">
      <c r="B33" s="11" t="s">
        <v>43</v>
      </c>
      <c r="C33" s="12" t="s">
        <v>44</v>
      </c>
    </row>
    <row r="34" customFormat="false" ht="46.25" hidden="false" customHeight="false" outlineLevel="0" collapsed="false">
      <c r="B34" s="11" t="s">
        <v>45</v>
      </c>
      <c r="C34" s="12" t="s">
        <v>46</v>
      </c>
    </row>
    <row r="35" customFormat="false" ht="46.25" hidden="false" customHeight="false" outlineLevel="0" collapsed="false">
      <c r="B35" s="11" t="s">
        <v>47</v>
      </c>
      <c r="C35" s="12" t="s">
        <v>48</v>
      </c>
    </row>
    <row r="37" customFormat="false" ht="15" hidden="false" customHeight="false" outlineLevel="0" collapsed="false">
      <c r="B37" s="3" t="s">
        <v>49</v>
      </c>
      <c r="C37" s="4"/>
    </row>
    <row r="38" customFormat="false" ht="15" hidden="false" customHeight="false" outlineLevel="0" collapsed="false">
      <c r="B38" s="11" t="s">
        <v>50</v>
      </c>
      <c r="C38" s="13" t="s">
        <v>51</v>
      </c>
    </row>
    <row r="39" customFormat="false" ht="15" hidden="false" customHeight="false" outlineLevel="0" collapsed="false">
      <c r="B39" s="11" t="s">
        <v>52</v>
      </c>
      <c r="C39" s="14" t="s">
        <v>53</v>
      </c>
    </row>
    <row r="40" customFormat="false" ht="15" hidden="false" customHeight="false" outlineLevel="0" collapsed="false">
      <c r="B40" s="11" t="s">
        <v>54</v>
      </c>
      <c r="C40" s="12" t="s">
        <v>55</v>
      </c>
    </row>
    <row r="42" customFormat="false" ht="15" hidden="false" customHeight="false" outlineLevel="0" collapsed="false">
      <c r="B42" s="3" t="s">
        <v>56</v>
      </c>
      <c r="C42" s="4"/>
    </row>
    <row r="43" customFormat="false" ht="23.85" hidden="false" customHeight="false" outlineLevel="0" collapsed="false">
      <c r="B43" s="11" t="s">
        <v>57</v>
      </c>
      <c r="C43" s="12" t="s">
        <v>58</v>
      </c>
    </row>
    <row r="44" customFormat="false" ht="23.85" hidden="false" customHeight="false" outlineLevel="0" collapsed="false">
      <c r="B44" s="11" t="s">
        <v>59</v>
      </c>
      <c r="C44" s="12" t="s">
        <v>60</v>
      </c>
    </row>
    <row r="45" customFormat="false" ht="15" hidden="false" customHeight="false" outlineLevel="0" collapsed="false">
      <c r="B45" s="11" t="s">
        <v>61</v>
      </c>
      <c r="C45" s="12" t="s">
        <v>62</v>
      </c>
    </row>
    <row r="46" customFormat="false" ht="46.25" hidden="false" customHeight="false" outlineLevel="0" collapsed="false">
      <c r="B46" s="11" t="s">
        <v>63</v>
      </c>
      <c r="C46" s="12" t="s">
        <v>64</v>
      </c>
    </row>
    <row r="47" customFormat="false" ht="15" hidden="false" customHeight="false" outlineLevel="0" collapsed="false">
      <c r="B47" s="11" t="s">
        <v>65</v>
      </c>
      <c r="C47" s="12" t="s">
        <v>66</v>
      </c>
    </row>
    <row r="48" customFormat="false" ht="46.25" hidden="false" customHeight="false" outlineLevel="0" collapsed="false">
      <c r="B48" s="11" t="s">
        <v>67</v>
      </c>
      <c r="C48" s="12" t="s">
        <v>68</v>
      </c>
    </row>
    <row r="49" customFormat="false" ht="23.85" hidden="false" customHeight="false" outlineLevel="0" collapsed="false">
      <c r="B49" s="11" t="s">
        <v>69</v>
      </c>
      <c r="C49" s="12" t="s">
        <v>70</v>
      </c>
    </row>
    <row r="50" customFormat="false" ht="46.25" hidden="false" customHeight="false" outlineLevel="0" collapsed="false">
      <c r="B50" s="11" t="s">
        <v>71</v>
      </c>
      <c r="C50" s="12" t="s">
        <v>72</v>
      </c>
    </row>
    <row r="51" customFormat="false" ht="35.05" hidden="false" customHeight="false" outlineLevel="0" collapsed="false">
      <c r="B51" s="11" t="s">
        <v>73</v>
      </c>
      <c r="C51" s="12" t="s">
        <v>74</v>
      </c>
    </row>
    <row r="53" customFormat="false" ht="15" hidden="false" customHeight="false" outlineLevel="0" collapsed="false">
      <c r="B53" s="3" t="s">
        <v>75</v>
      </c>
      <c r="C53" s="4"/>
    </row>
    <row r="54" customFormat="false" ht="46.25" hidden="false" customHeight="false" outlineLevel="0" collapsed="false">
      <c r="B54" s="11" t="s">
        <v>76</v>
      </c>
      <c r="C54" s="12" t="s">
        <v>77</v>
      </c>
    </row>
    <row r="55" customFormat="false" ht="35.05" hidden="false" customHeight="false" outlineLevel="0" collapsed="false">
      <c r="B55" s="11" t="s">
        <v>78</v>
      </c>
      <c r="C55" s="12" t="s">
        <v>79</v>
      </c>
    </row>
    <row r="56" customFormat="false" ht="23.85" hidden="false" customHeight="false" outlineLevel="0" collapsed="false">
      <c r="B56" s="11" t="s">
        <v>80</v>
      </c>
      <c r="C56" s="12" t="s">
        <v>81</v>
      </c>
    </row>
    <row r="58" customFormat="false" ht="15" hidden="false" customHeight="false" outlineLevel="0" collapsed="false">
      <c r="B58" s="3" t="s">
        <v>82</v>
      </c>
      <c r="C58" s="4"/>
    </row>
    <row r="59" customFormat="false" ht="46.25" hidden="false" customHeight="false" outlineLevel="0" collapsed="false">
      <c r="B59" s="11" t="s">
        <v>83</v>
      </c>
      <c r="C59" s="12" t="s">
        <v>84</v>
      </c>
    </row>
    <row r="60" customFormat="false" ht="57.45" hidden="false" customHeight="false" outlineLevel="0" collapsed="false">
      <c r="B60" s="11" t="s">
        <v>85</v>
      </c>
      <c r="C60" s="12" t="s">
        <v>86</v>
      </c>
    </row>
    <row r="61" customFormat="false" ht="23.85" hidden="false" customHeight="false" outlineLevel="0" collapsed="false">
      <c r="B61" s="11" t="s">
        <v>87</v>
      </c>
      <c r="C61" s="12" t="s">
        <v>88</v>
      </c>
    </row>
    <row r="62" customFormat="false" ht="23.85" hidden="false" customHeight="false" outlineLevel="0" collapsed="false">
      <c r="B62" s="11" t="s">
        <v>89</v>
      </c>
      <c r="C62" s="12" t="s">
        <v>90</v>
      </c>
    </row>
    <row r="63" customFormat="false" ht="57.45" hidden="false" customHeight="false" outlineLevel="0" collapsed="false">
      <c r="B63" s="11" t="s">
        <v>91</v>
      </c>
      <c r="C63" s="12" t="s">
        <v>92</v>
      </c>
    </row>
  </sheetData>
  <conditionalFormatting sqref="C6">
    <cfRule type="expression" priority="2" aboveAverage="0" equalAverage="0" bottom="0" percent="0" rank="0" text="" dxfId="0">
      <formula>N(C6)=0</formula>
    </cfRule>
  </conditionalFormatting>
  <dataValidations count="5">
    <dataValidation allowBlank="true" errorStyle="stop" operator="between" prompt="Shown on every sheet title." promptTitle="Project name" showDropDown="false" showErrorMessage="false" showInputMessage="true" sqref="C4" type="none">
      <formula1>0</formula1>
      <formula2>0</formula2>
    </dataValidation>
    <dataValidation allowBlank="true" errorStyle="stop" operator="between" promptTitle="Project manager" showDropDown="false" showErrorMessage="false" showInputMessage="true" sqref="C5" type="none">
      <formula1>0</formula1>
      <formula2>0</formula2>
    </dataValidation>
    <dataValidation allowBlank="true" errorStyle="stop" operator="between" prompt="Required. Tasks without predecessors start here (moved to the next working day if needed)." promptTitle="Project start date" showDropDown="false" showErrorMessage="false" showInputMessage="true" sqref="C6" type="none">
      <formula1>0</formula1>
      <formula2>0</formula2>
    </dataValidation>
    <dataValidation allowBlank="false" errorStyle="stop" operator="between" prompt="Mon-Fri, Sun-Thu or Mon-Sat. Custom = the seven day rows on Settings." promptTitle="Working week" showDropDown="false" showErrorMessage="false" showInputMessage="true" sqref="C7" type="list">
      <formula1>L_WorkingWeek</formula1>
      <formula2>0</formula2>
    </dataValidation>
    <dataValidation allowBlank="false" errorStyle="stop" operator="between" prompt="Work (hrs) = Duration x Hours/day x Units." promptTitle="Working hours per day" showDropDown="false" showErrorMessage="false" showInputMessage="true" sqref="C8" type="decimal">
      <formula1>1</formula1>
      <formula2>24</formula2>
    </dataValidation>
  </dataValidations>
  <hyperlinks>
    <hyperlink ref="C12" location="'Resources'!A1" display="List the people (or roles) with their availability, hourly rate and any leave (by month, on the same row).  Go to Resources."/>
    <hyperlink ref="C13" location="'Tasks'!A1" display="One row per task: Level (1 = phase, 2 = task ...), Task Name, Duration in working days, the UID of the tasks that must come first (Predecessors, e.g. 12 or 12, 14SS+2d) and who does it (Resources). That's a plan: dates, the critical path, the Gantt and the reports follow. Optional columns are grouped: click + above a section to show them.  Go to Tasks."/>
    <hyperlink ref="C14" location="'Gantt'!A1" display="Fix anything in the Issues column (red), then look at the Gantt and the Roadmap.  Go to Gantt."/>
    <hyperlink ref="C15" location="'Tasks'!A1" display="When the plan is agreed, freeze it: on Tasks open the BASELINE section (+), copy the 5 'BL Source' columns and Paste Special &gt; Values onto the 5 Baseline columns.  Go to Tasks."/>
    <hyperlink ref="C18" location="'Status'!A1" display="The weekly update starts on the Status sheet: type the status date at its top, then follow the steps under it (progress on Tasks, the Log, the RAG, the commentary, the History snapshot).  Go to Statu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B1:H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15" t="str">
        <f aca="false">ProjectName&amp;"  -  Status"</f>
        <v>Customer Portal Implementation  -  Status</v>
      </c>
    </row>
    <row r="2" customFormat="false" ht="15" hidden="false" customHeight="false" outlineLevel="0" collapsed="false">
      <c r="B2" s="2" t="str">
        <f aca="false">"Project manager: "&amp;ProjectManager&amp;"   Forecast finish "&amp;TEXT(ProjectFinish,"ddd dd-mmm-yyyy")&amp;" ("&amp;TEXT(FinishVarianceDays,"+0;-0;0")&amp;" working days vs plan)"</f>
        <v>Project manager: Priya Sharma   Forecast finish Wed 06-Jan-2027 (0 working days vs plan)</v>
      </c>
    </row>
    <row r="4" customFormat="false" ht="15" hidden="false" customHeight="false" outlineLevel="0" collapsed="false">
      <c r="B4" s="3" t="s">
        <v>93</v>
      </c>
      <c r="C4" s="3" t="s">
        <v>94</v>
      </c>
    </row>
    <row r="5" customFormat="false" ht="15" hidden="false" customHeight="false" outlineLevel="0" collapsed="false">
      <c r="B5" s="5" t="s">
        <v>95</v>
      </c>
      <c r="C5" s="7" t="n">
        <v>46320</v>
      </c>
      <c r="D5" s="2" t="s">
        <v>96</v>
      </c>
    </row>
    <row r="6" customFormat="false" ht="30" hidden="false" customHeight="true" outlineLevel="0" collapsed="false">
      <c r="B6" s="5" t="s">
        <v>97</v>
      </c>
      <c r="C6" s="10" t="s">
        <v>98</v>
      </c>
    </row>
    <row r="7" customFormat="false" ht="30" hidden="false" customHeight="true" outlineLevel="0" collapsed="false">
      <c r="B7" s="5" t="s">
        <v>99</v>
      </c>
      <c r="C7" s="9" t="s">
        <v>100</v>
      </c>
    </row>
    <row r="8" customFormat="false" ht="30" hidden="false" customHeight="true" outlineLevel="0" collapsed="false">
      <c r="B8" s="5" t="s">
        <v>101</v>
      </c>
      <c r="C8" s="9" t="s">
        <v>102</v>
      </c>
    </row>
    <row r="11" customFormat="false" ht="15" hidden="false" customHeight="false" outlineLevel="0" collapsed="false">
      <c r="B11" s="16" t="s">
        <v>103</v>
      </c>
      <c r="C11" s="16" t="s">
        <v>104</v>
      </c>
      <c r="D11" s="16" t="s">
        <v>105</v>
      </c>
      <c r="E11" s="16" t="s">
        <v>106</v>
      </c>
      <c r="F11" s="17" t="s">
        <v>107</v>
      </c>
      <c r="G11" s="16" t="s">
        <v>108</v>
      </c>
      <c r="H11" s="17" t="s">
        <v>109</v>
      </c>
    </row>
    <row r="12" customFormat="false" ht="15" hidden="false" customHeight="false" outlineLevel="0" collapsed="false">
      <c r="B12" s="18" t="s">
        <v>110</v>
      </c>
      <c r="C12" s="19" t="s">
        <v>111</v>
      </c>
      <c r="D12" s="19" t="str">
        <f aca="false">COUNTIF(StatusRAG[RAG],"Red")&amp;" red, "&amp;COUNTIF(StatusRAG[RAG],"Amber")&amp;" amber"</f>
        <v>1 red, 1 amber</v>
      </c>
      <c r="E12" s="20" t="str">
        <f aca="false">CHOOSE(MAX(IF(COUNTIF(StatusRAG[RAG],"Red")&gt;0,2,0),IF(COUNTIF(StatusRAG[RAG],"Amber")&gt;0,1,0))+1,"Green","Amber","Red")</f>
        <v>Red</v>
      </c>
      <c r="F12" s="21"/>
      <c r="G12" s="20" t="str">
        <f aca="false">IF(OverallStatus[[#This Row],[PM RAG]]&lt;&gt;"",OverallStatus[[#This Row],[PM RAG]],OverallStatus[[#This Row],[Calculated]])</f>
        <v>Red</v>
      </c>
      <c r="H12" s="22"/>
    </row>
    <row r="13" customFormat="false" ht="15" hidden="false" customHeight="false" outlineLevel="0" collapsed="false">
      <c r="B13" s="5"/>
    </row>
    <row r="14" customFormat="false" ht="15" hidden="false" customHeight="false" outlineLevel="0" collapsed="false">
      <c r="B14" s="23" t="s">
        <v>103</v>
      </c>
      <c r="C14" s="16" t="s">
        <v>104</v>
      </c>
      <c r="D14" s="16" t="s">
        <v>105</v>
      </c>
      <c r="E14" s="16" t="s">
        <v>106</v>
      </c>
      <c r="F14" s="17" t="s">
        <v>107</v>
      </c>
      <c r="G14" s="16" t="s">
        <v>108</v>
      </c>
      <c r="H14" s="17" t="s">
        <v>109</v>
      </c>
    </row>
    <row r="15" customFormat="false" ht="15" hidden="false" customHeight="false" outlineLevel="0" collapsed="false">
      <c r="B15" s="18" t="s">
        <v>112</v>
      </c>
      <c r="C15" s="19" t="s">
        <v>113</v>
      </c>
      <c r="D15" s="24" t="n">
        <f aca="false">FinishVarianceDays</f>
        <v>0</v>
      </c>
      <c r="E15" s="20" t="str">
        <f aca="false">CHOOSE(IF(N(StatusRAG[[#This Row],[Value]])&gt;=RAGRedSlipDays,2,IF(N(StatusRAG[[#This Row],[Value]])&gt;=RAGAmberSlipDays,1,0))+1,"Green","Amber","Red")</f>
        <v>Green</v>
      </c>
      <c r="F15" s="21"/>
      <c r="G15" s="20" t="str">
        <f aca="false">IF(StatusRAG[[#This Row],[PM RAG]]&lt;&gt;"",StatusRAG[[#This Row],[PM RAG]],StatusRAG[[#This Row],[Calculated]])</f>
        <v>Green</v>
      </c>
      <c r="H15" s="22"/>
    </row>
    <row r="16" customFormat="false" ht="15" hidden="false" customHeight="false" outlineLevel="0" collapsed="false">
      <c r="B16" s="18" t="s">
        <v>114</v>
      </c>
      <c r="C16" s="19" t="s">
        <v>115</v>
      </c>
      <c r="D16" s="25" t="n">
        <f aca="false">COUNTIF(tsk_DeadlineCheck,"Late*")</f>
        <v>1</v>
      </c>
      <c r="E16" s="20" t="str">
        <f aca="false">CHOOSE(IF(N(StatusRAG[[#This Row],[Value]])&gt;0,2,0)+1,"Green","Amber","Red")</f>
        <v>Red</v>
      </c>
      <c r="F16" s="21"/>
      <c r="G16" s="20" t="str">
        <f aca="false">IF(StatusRAG[[#This Row],[PM RAG]]&lt;&gt;"",StatusRAG[[#This Row],[PM RAG]],StatusRAG[[#This Row],[Calculated]])</f>
        <v>Red</v>
      </c>
      <c r="H16" s="22"/>
    </row>
    <row r="17" customFormat="false" ht="15" hidden="false" customHeight="false" outlineLevel="0" collapsed="false">
      <c r="B17" s="18" t="s">
        <v>39</v>
      </c>
      <c r="C17" s="19" t="s">
        <v>116</v>
      </c>
      <c r="D17" s="25" t="n">
        <f aca="false">COUNTIFS(tsk_Critical,"Yes",tsk_IsLeaf,1,tsk_Variance,"&gt;0")</f>
        <v>5</v>
      </c>
      <c r="E17" s="20" t="str">
        <f aca="false">CHOOSE(IF(N(StatusRAG[[#This Row],[Value]])&gt;0,1,0)+1,"Green","Amber","Red")</f>
        <v>Amber</v>
      </c>
      <c r="F17" s="21"/>
      <c r="G17" s="20" t="str">
        <f aca="false">IF(StatusRAG[[#This Row],[PM RAG]]&lt;&gt;"",StatusRAG[[#This Row],[PM RAG]],StatusRAG[[#This Row],[Calculated]])</f>
        <v>Amber</v>
      </c>
      <c r="H17" s="22"/>
    </row>
    <row r="18" customFormat="false" ht="15" hidden="false" customHeight="false" outlineLevel="0" collapsed="false">
      <c r="B18" s="18" t="s">
        <v>117</v>
      </c>
      <c r="C18" s="19" t="s">
        <v>118</v>
      </c>
      <c r="D18" s="25" t="n">
        <f aca="false">COUNTIF(tsk_LinkCheck,"?*")+COUNTIF(tsk_WBS,"~?")</f>
        <v>0</v>
      </c>
      <c r="E18" s="20" t="str">
        <f aca="false">CHOOSE(IF(N(StatusRAG[[#This Row],[Value]])&gt;0,1,0)+1,"Green","Amber","Red")</f>
        <v>Green</v>
      </c>
      <c r="F18" s="21"/>
      <c r="G18" s="20" t="str">
        <f aca="false">IF(StatusRAG[[#This Row],[PM RAG]]&lt;&gt;"",StatusRAG[[#This Row],[PM RAG]],StatusRAG[[#This Row],[Calculated]])</f>
        <v>Green</v>
      </c>
      <c r="H18" s="22"/>
    </row>
    <row r="20" customFormat="false" ht="15" hidden="false" customHeight="false" outlineLevel="0" collapsed="false">
      <c r="B20" s="26" t="s">
        <v>119</v>
      </c>
    </row>
    <row r="21" customFormat="false" ht="15" hidden="false" customHeight="false" outlineLevel="0" collapsed="false">
      <c r="B21" s="16" t="s">
        <v>104</v>
      </c>
      <c r="C21" s="16" t="s">
        <v>120</v>
      </c>
      <c r="D21" s="16" t="s">
        <v>105</v>
      </c>
      <c r="E21" s="16" t="s">
        <v>121</v>
      </c>
      <c r="F21" s="16" t="s">
        <v>122</v>
      </c>
    </row>
    <row r="22" customFormat="false" ht="15" hidden="false" customHeight="false" outlineLevel="0" collapsed="false">
      <c r="B22" s="18" t="s">
        <v>123</v>
      </c>
      <c r="C22" s="19" t="s">
        <v>124</v>
      </c>
      <c r="D22" s="27" t="n">
        <f aca="false">MIN(tsk_PlanStart)</f>
        <v>46272</v>
      </c>
      <c r="E22" s="28" t="s">
        <v>125</v>
      </c>
      <c r="F22" s="18" t="n">
        <f aca="false">COUNTIFS(tsk_Status,StatusSummary[[#This Row],[Status]],tsk_IsLeaf,1)</f>
        <v>9</v>
      </c>
    </row>
    <row r="23" customFormat="false" ht="15" hidden="false" customHeight="false" outlineLevel="0" collapsed="false">
      <c r="B23" s="18" t="s">
        <v>126</v>
      </c>
      <c r="C23" s="19" t="s">
        <v>127</v>
      </c>
      <c r="D23" s="27" t="n">
        <f aca="false">MAX(tsk_PlanFinish)</f>
        <v>46393</v>
      </c>
      <c r="E23" s="29" t="s">
        <v>128</v>
      </c>
      <c r="F23" s="18" t="n">
        <f aca="false">COUNTIFS(tsk_Status,StatusSummary[[#This Row],[Status]],tsk_IsLeaf,1)</f>
        <v>0</v>
      </c>
    </row>
    <row r="24" customFormat="false" ht="15" hidden="false" customHeight="false" outlineLevel="0" collapsed="false">
      <c r="B24" s="18" t="s">
        <v>129</v>
      </c>
      <c r="C24" s="19" t="s">
        <v>124</v>
      </c>
      <c r="D24" s="27" t="n">
        <f aca="false">MAX(tsk_FcFinish)</f>
        <v>46393</v>
      </c>
      <c r="E24" s="30" t="s">
        <v>130</v>
      </c>
      <c r="F24" s="18" t="n">
        <f aca="false">COUNTIFS(tsk_Status,StatusSummary[[#This Row],[Status]],tsk_IsLeaf,1)</f>
        <v>2</v>
      </c>
    </row>
    <row r="25" customFormat="false" ht="15" hidden="false" customHeight="false" outlineLevel="0" collapsed="false">
      <c r="B25" s="18" t="s">
        <v>131</v>
      </c>
      <c r="C25" s="19" t="s">
        <v>124</v>
      </c>
      <c r="D25" s="31" t="n">
        <f aca="false">IFERROR(SUM(tsk_WtDone)/SUM(tsk_WtDur),0)</f>
        <v>0.434170854271357</v>
      </c>
      <c r="E25" s="32" t="s">
        <v>132</v>
      </c>
      <c r="F25" s="18" t="n">
        <f aca="false">COUNTIFS(tsk_Status,StatusSummary[[#This Row],[Status]],tsk_IsLeaf,1)</f>
        <v>1</v>
      </c>
    </row>
    <row r="26" customFormat="false" ht="15" hidden="false" customHeight="false" outlineLevel="0" collapsed="false">
      <c r="B26" s="18" t="s">
        <v>133</v>
      </c>
      <c r="C26" s="19" t="s">
        <v>124</v>
      </c>
      <c r="D26" s="31" t="n">
        <f aca="false">IFERROR(SUMPRODUCT(tsk_WtDur,tsk_PlannedPct)/SUM(tsk_WtDur),0)</f>
        <v>0.554773869346734</v>
      </c>
      <c r="E26" s="33" t="s">
        <v>134</v>
      </c>
      <c r="F26" s="18" t="n">
        <f aca="false">COUNTIFS(tsk_Status,StatusSummary[[#This Row],[Status]],tsk_IsLeaf,1)</f>
        <v>11</v>
      </c>
    </row>
    <row r="27" customFormat="false" ht="15" hidden="false" customHeight="false" outlineLevel="0" collapsed="false">
      <c r="B27" s="18" t="s">
        <v>135</v>
      </c>
      <c r="C27" s="19" t="s">
        <v>124</v>
      </c>
      <c r="D27" s="34" t="n">
        <f aca="false">SUM(tsk_IsLeaf)</f>
        <v>23</v>
      </c>
    </row>
    <row r="28" customFormat="false" ht="15" hidden="false" customHeight="false" outlineLevel="0" collapsed="false">
      <c r="B28" s="18" t="s">
        <v>136</v>
      </c>
      <c r="C28" s="19" t="s">
        <v>124</v>
      </c>
      <c r="D28" s="34" t="n">
        <f aca="false">SUMPRODUCT(tsk_IsLeaf*(tsk_Duration=0)*(tsk_Name&lt;&gt;""))</f>
        <v>5</v>
      </c>
    </row>
    <row r="29" customFormat="false" ht="15" hidden="false" customHeight="false" outlineLevel="0" collapsed="false">
      <c r="B29" s="18" t="s">
        <v>137</v>
      </c>
      <c r="C29" s="19" t="s">
        <v>124</v>
      </c>
      <c r="D29" s="35" t="n">
        <f aca="false">SUMPRODUCT(tsk_Work,tsk_IsLeaf)</f>
        <v>868</v>
      </c>
    </row>
    <row r="30" customFormat="false" ht="15" hidden="false" customHeight="false" outlineLevel="0" collapsed="false">
      <c r="B30" s="18" t="s">
        <v>138</v>
      </c>
      <c r="C30" s="19" t="s">
        <v>124</v>
      </c>
      <c r="D30" s="36" t="n">
        <f aca="false">SUMPRODUCT(tsk_Cost,tsk_IsLeaf)</f>
        <v>69020</v>
      </c>
    </row>
    <row r="31" customFormat="false" ht="15" hidden="false" customHeight="false" outlineLevel="0" collapsed="false">
      <c r="B31" s="18" t="s">
        <v>139</v>
      </c>
      <c r="C31" s="19" t="s">
        <v>140</v>
      </c>
      <c r="D31" s="37" t="str">
        <f aca="false">IF(COUNT(tsk_BaseStart)=0,"Not set (planned = calculated)","Set on "&amp;COUNT(tsk_BaseStart)&amp;" tasks")</f>
        <v>Not set (planned = calculated)</v>
      </c>
    </row>
    <row r="32" customFormat="false" ht="15" hidden="false" customHeight="false" outlineLevel="0" collapsed="false">
      <c r="B32" s="18" t="s">
        <v>141</v>
      </c>
      <c r="C32" s="19" t="s">
        <v>124</v>
      </c>
      <c r="D32" s="34" t="n">
        <f aca="false">COUNTIFS(tsk_Critical,"Yes",tsk_IsLeaf,1)</f>
        <v>11</v>
      </c>
    </row>
    <row r="33" customFormat="false" ht="15" hidden="false" customHeight="false" outlineLevel="0" collapsed="false">
      <c r="B33" s="18" t="s">
        <v>142</v>
      </c>
      <c r="C33" s="19" t="s">
        <v>143</v>
      </c>
      <c r="D33" s="34" t="n">
        <f aca="false">COUNTIF(tsk_Issues,"?*")</f>
        <v>1</v>
      </c>
    </row>
    <row r="36" customFormat="false" ht="15" hidden="false" customHeight="false" outlineLevel="0" collapsed="false">
      <c r="B36" s="16" t="s">
        <v>144</v>
      </c>
      <c r="C36" s="16" t="s">
        <v>145</v>
      </c>
    </row>
    <row r="37" customFormat="false" ht="15" hidden="false" customHeight="false" outlineLevel="0" collapsed="false">
      <c r="B37" s="19" t="str">
        <f aca="false">IFERROR(INDEX(tsk_Name,MATCH(SMALL(tsk_MilestoneKey,(ROW()-ROW(NextMilestones[[#Headers],[Next milestones (forecast)]]))),tsk_MilestoneKey,0)),"")</f>
        <v>Build complete</v>
      </c>
      <c r="C37" s="38" t="n">
        <f aca="false">IFERROR(INDEX(tsk_FcFinish,MATCH(SMALL(tsk_MilestoneKey,(ROW()-ROW(NextMilestones[[#Headers],[Next milestones (forecast)]]))),tsk_MilestoneKey,0)),"")</f>
        <v>46335</v>
      </c>
    </row>
    <row r="38" customFormat="false" ht="15" hidden="false" customHeight="false" outlineLevel="0" collapsed="false">
      <c r="B38" s="19" t="str">
        <f aca="false">IFERROR(INDEX(tsk_Name,MATCH(SMALL(tsk_MilestoneKey,(ROW()-ROW(NextMilestones[[#Headers],[Next milestones (forecast)]]))),tsk_MilestoneKey,0)),"")</f>
        <v>Go-live</v>
      </c>
      <c r="C38" s="38" t="n">
        <f aca="false">IFERROR(INDEX(tsk_FcFinish,MATCH(SMALL(tsk_MilestoneKey,(ROW()-ROW(NextMilestones[[#Headers],[Next milestones (forecast)]]))),tsk_MilestoneKey,0)),"")</f>
        <v>46371</v>
      </c>
    </row>
    <row r="39" customFormat="false" ht="15" hidden="false" customHeight="false" outlineLevel="0" collapsed="false">
      <c r="B39" s="19" t="str">
        <f aca="false">IFERROR(INDEX(tsk_Name,MATCH(SMALL(tsk_MilestoneKey,(ROW()-ROW(NextMilestones[[#Headers],[Next milestones (forecast)]]))),tsk_MilestoneKey,0)),"")</f>
        <v>Project closed</v>
      </c>
      <c r="C39" s="38" t="n">
        <f aca="false">IFERROR(INDEX(tsk_FcFinish,MATCH(SMALL(tsk_MilestoneKey,(ROW()-ROW(NextMilestones[[#Headers],[Next milestones (forecast)]]))),tsk_MilestoneKey,0)),"")</f>
        <v>46393</v>
      </c>
    </row>
    <row r="40" customFormat="false" ht="15" hidden="false" customHeight="false" outlineLevel="0" collapsed="false">
      <c r="B40" s="19" t="str">
        <f aca="false">IFERROR(INDEX(tsk_Name,MATCH(SMALL(tsk_MilestoneKey,(ROW()-ROW(NextMilestones[[#Headers],[Next milestones (forecast)]]))),tsk_MilestoneKey,0)),"")</f>
        <v/>
      </c>
      <c r="C40" s="38" t="str">
        <f aca="false">IFERROR(INDEX(tsk_FcFinish,MATCH(SMALL(tsk_MilestoneKey,(ROW()-ROW(NextMilestones[[#Headers],[Next milestones (forecast)]]))),tsk_MilestoneKey,0)),"")</f>
        <v/>
      </c>
    </row>
    <row r="41" customFormat="false" ht="15" hidden="false" customHeight="false" outlineLevel="0" collapsed="false">
      <c r="B41" s="19" t="str">
        <f aca="false">IFERROR(INDEX(tsk_Name,MATCH(SMALL(tsk_MilestoneKey,(ROW()-ROW(NextMilestones[[#Headers],[Next milestones (forecast)]]))),tsk_MilestoneKey,0)),"")</f>
        <v/>
      </c>
      <c r="C41" s="38" t="str">
        <f aca="false">IFERROR(INDEX(tsk_FcFinish,MATCH(SMALL(tsk_MilestoneKey,(ROW()-ROW(NextMilestones[[#Headers],[Next milestones (forecast)]]))),tsk_MilestoneKey,0)),"")</f>
        <v/>
      </c>
    </row>
    <row r="43" customFormat="false" ht="15" hidden="false" customHeight="false" outlineLevel="0" collapsed="false">
      <c r="B43" s="26" t="s">
        <v>146</v>
      </c>
    </row>
    <row r="44" customFormat="false" ht="15" hidden="false" customHeight="false" outlineLevel="0" collapsed="false">
      <c r="B44" s="16" t="s">
        <v>147</v>
      </c>
      <c r="C44" s="17" t="s">
        <v>148</v>
      </c>
    </row>
    <row r="45" customFormat="false" ht="36" hidden="false" customHeight="true" outlineLevel="0" collapsed="false">
      <c r="B45" s="39" t="s">
        <v>149</v>
      </c>
      <c r="C45" s="40"/>
    </row>
    <row r="46" customFormat="false" ht="36" hidden="false" customHeight="true" outlineLevel="0" collapsed="false">
      <c r="B46" s="39" t="s">
        <v>150</v>
      </c>
      <c r="C46" s="40"/>
    </row>
    <row r="47" customFormat="false" ht="36" hidden="false" customHeight="true" outlineLevel="0" collapsed="false">
      <c r="B47" s="39" t="s">
        <v>151</v>
      </c>
      <c r="C47" s="40"/>
    </row>
    <row r="48" customFormat="false" ht="36" hidden="false" customHeight="true" outlineLevel="0" collapsed="false">
      <c r="B48" s="39" t="s">
        <v>152</v>
      </c>
      <c r="C48" s="40"/>
    </row>
    <row r="49" customFormat="false" ht="36" hidden="false" customHeight="true" outlineLevel="0" collapsed="false">
      <c r="B49" s="39" t="s">
        <v>153</v>
      </c>
      <c r="C49" s="40"/>
    </row>
    <row r="50" customFormat="false" ht="36" hidden="false" customHeight="true" outlineLevel="0" collapsed="false">
      <c r="B50" s="39" t="s">
        <v>154</v>
      </c>
      <c r="C50" s="40"/>
    </row>
  </sheetData>
  <conditionalFormatting sqref="C5">
    <cfRule type="expression" priority="2" aboveAverage="0" equalAverage="0" bottom="0" percent="0" rank="0" text="" dxfId="0">
      <formula>N(C5)=0</formula>
    </cfRule>
  </conditionalFormatting>
  <conditionalFormatting sqref="E12:G18">
    <cfRule type="expression" priority="3" aboveAverage="0" equalAverage="0" bottom="0" percent="0" rank="0" text="" dxfId="18">
      <formula>E12="Green"</formula>
    </cfRule>
    <cfRule type="expression" priority="4" aboveAverage="0" equalAverage="0" bottom="0" percent="0" rank="0" text="" dxfId="19">
      <formula>E12="Amber"</formula>
    </cfRule>
    <cfRule type="expression" priority="5" aboveAverage="0" equalAverage="0" bottom="0" percent="0" rank="0" text="" dxfId="20">
      <formula>E12="Red"</formula>
    </cfRule>
  </conditionalFormatting>
  <conditionalFormatting sqref="D33">
    <cfRule type="expression" priority="6" aboveAverage="0" equalAverage="0" bottom="0" percent="0" rank="0" text="" dxfId="21">
      <formula>D33&gt;0</formula>
    </cfRule>
    <cfRule type="expression" priority="7" aboveAverage="0" equalAverage="0" bottom="0" percent="0" rank="0" text="" dxfId="22">
      <formula>D33&lt;=0</formula>
    </cfRule>
  </conditionalFormatting>
  <dataValidations count="2">
    <dataValidation allowBlank="true" errorStyle="stop" operator="between" prompt="The date progress is reported as of. Type it, or press Ctrl+; for today. It is a typed date rather than TODAY() on purpose: TODAY() would make Excel recalculate the whole schedule after every edit." promptTitle="Status date" showDropDown="false" showErrorMessage="false" showInputMessage="true" sqref="C5" type="none">
      <formula1>0</formula1>
      <formula2>0</formula2>
    </dataValidation>
    <dataValidation allowBlank="false" errorStyle="stop" operator="between" showDropDown="false" showErrorMessage="false" showInputMessage="false" sqref="F12 F15:F18" type="list">
      <formula1>L_RAG</formula1>
      <formula2>0</formula2>
    </dataValidation>
  </dataValidations>
  <hyperlinks>
    <hyperlink ref="C6" location="'Tasks'!A1" display="On Tasks: the Stage, Actual Start and Actual Finish for the tasks that moved.  Go to Task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C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8" min="5" style="0" width="10"/>
    <col collapsed="false" customWidth="true" hidden="false" outlineLevel="0" max="9" min="9" style="0" width="9"/>
    <col collapsed="false" customWidth="true" hidden="false" outlineLevel="0" max="10" min="10" style="0" width="8"/>
    <col collapsed="false" customWidth="true" hidden="false" outlineLevel="0" max="11" min="11" style="0" width="1"/>
    <col collapsed="false" customWidth="true" hidden="false" outlineLevel="0" max="29" min="12" style="0" width="4.6"/>
  </cols>
  <sheetData>
    <row r="1" customFormat="false" ht="19.7" hidden="false" customHeight="false" outlineLevel="0" collapsed="false">
      <c r="A1" s="15" t="str">
        <f aca="false">ProjectName&amp;"  -  Roadmap"</f>
        <v>Customer Portal Implementation  -  Roadmap</v>
      </c>
    </row>
    <row r="2" customFormat="false" ht="15" hidden="false" customHeight="false" outlineLevel="0" collapsed="false">
      <c r="A2" s="41" t="str">
        <f aca="false">"Status date "&amp;TEXT(StatusDate,"dd-mmm-yyyy")&amp;"   Forecast finish "&amp;TEXT(ProjectFinish,"dd-mmm-yyyy")&amp;" ("&amp;TEXT(FinishVarianceDays,"+0;-0;0")&amp;" working days vs plan)"</f>
        <v>Status date 25-Oct-2026   Forecast finish 06-Jan-2027 (0 working days vs plan)</v>
      </c>
    </row>
    <row r="4" customFormat="false" ht="15" hidden="false" customHeight="false" outlineLevel="0" collapsed="false">
      <c r="L4" s="42" t="str">
        <f aca="false">IF(OR(COLUMN()-COLUMN(rm_Origin)=1,MONTH(EDATE(RoadmapStart,COLUMN()-COLUMN(rm_Origin)-1))=1),TEXT(EDATE(RoadmapStart,COLUMN()-COLUMN(rm_Origin)-1),"yyyy"),"")</f>
        <v>2026</v>
      </c>
      <c r="M4" s="42" t="str">
        <f aca="false">IF(OR(COLUMN()-COLUMN(rm_Origin)=1,MONTH(EDATE(RoadmapStart,COLUMN()-COLUMN(rm_Origin)-1))=1),TEXT(EDATE(RoadmapStart,COLUMN()-COLUMN(rm_Origin)-1),"yyyy"),"")</f>
        <v/>
      </c>
      <c r="N4" s="42" t="str">
        <f aca="false">IF(OR(COLUMN()-COLUMN(rm_Origin)=1,MONTH(EDATE(RoadmapStart,COLUMN()-COLUMN(rm_Origin)-1))=1),TEXT(EDATE(RoadmapStart,COLUMN()-COLUMN(rm_Origin)-1),"yyyy"),"")</f>
        <v/>
      </c>
      <c r="O4" s="42" t="str">
        <f aca="false">IF(OR(COLUMN()-COLUMN(rm_Origin)=1,MONTH(EDATE(RoadmapStart,COLUMN()-COLUMN(rm_Origin)-1))=1),TEXT(EDATE(RoadmapStart,COLUMN()-COLUMN(rm_Origin)-1),"yyyy"),"")</f>
        <v/>
      </c>
      <c r="P4" s="42" t="str">
        <f aca="false">IF(OR(COLUMN()-COLUMN(rm_Origin)=1,MONTH(EDATE(RoadmapStart,COLUMN()-COLUMN(rm_Origin)-1))=1),TEXT(EDATE(RoadmapStart,COLUMN()-COLUMN(rm_Origin)-1),"yyyy"),"")</f>
        <v>2027</v>
      </c>
      <c r="Q4" s="42" t="str">
        <f aca="false">IF(OR(COLUMN()-COLUMN(rm_Origin)=1,MONTH(EDATE(RoadmapStart,COLUMN()-COLUMN(rm_Origin)-1))=1),TEXT(EDATE(RoadmapStart,COLUMN()-COLUMN(rm_Origin)-1),"yyyy"),"")</f>
        <v/>
      </c>
      <c r="R4" s="42" t="str">
        <f aca="false">IF(OR(COLUMN()-COLUMN(rm_Origin)=1,MONTH(EDATE(RoadmapStart,COLUMN()-COLUMN(rm_Origin)-1))=1),TEXT(EDATE(RoadmapStart,COLUMN()-COLUMN(rm_Origin)-1),"yyyy"),"")</f>
        <v/>
      </c>
      <c r="S4" s="42" t="str">
        <f aca="false">IF(OR(COLUMN()-COLUMN(rm_Origin)=1,MONTH(EDATE(RoadmapStart,COLUMN()-COLUMN(rm_Origin)-1))=1),TEXT(EDATE(RoadmapStart,COLUMN()-COLUMN(rm_Origin)-1),"yyyy"),"")</f>
        <v/>
      </c>
      <c r="T4" s="42" t="str">
        <f aca="false">IF(OR(COLUMN()-COLUMN(rm_Origin)=1,MONTH(EDATE(RoadmapStart,COLUMN()-COLUMN(rm_Origin)-1))=1),TEXT(EDATE(RoadmapStart,COLUMN()-COLUMN(rm_Origin)-1),"yyyy"),"")</f>
        <v/>
      </c>
      <c r="U4" s="42" t="str">
        <f aca="false">IF(OR(COLUMN()-COLUMN(rm_Origin)=1,MONTH(EDATE(RoadmapStart,COLUMN()-COLUMN(rm_Origin)-1))=1),TEXT(EDATE(RoadmapStart,COLUMN()-COLUMN(rm_Origin)-1),"yyyy"),"")</f>
        <v/>
      </c>
      <c r="V4" s="42" t="str">
        <f aca="false">IF(OR(COLUMN()-COLUMN(rm_Origin)=1,MONTH(EDATE(RoadmapStart,COLUMN()-COLUMN(rm_Origin)-1))=1),TEXT(EDATE(RoadmapStart,COLUMN()-COLUMN(rm_Origin)-1),"yyyy"),"")</f>
        <v/>
      </c>
      <c r="W4" s="42" t="str">
        <f aca="false">IF(OR(COLUMN()-COLUMN(rm_Origin)=1,MONTH(EDATE(RoadmapStart,COLUMN()-COLUMN(rm_Origin)-1))=1),TEXT(EDATE(RoadmapStart,COLUMN()-COLUMN(rm_Origin)-1),"yyyy"),"")</f>
        <v/>
      </c>
      <c r="X4" s="42" t="str">
        <f aca="false">IF(OR(COLUMN()-COLUMN(rm_Origin)=1,MONTH(EDATE(RoadmapStart,COLUMN()-COLUMN(rm_Origin)-1))=1),TEXT(EDATE(RoadmapStart,COLUMN()-COLUMN(rm_Origin)-1),"yyyy"),"")</f>
        <v/>
      </c>
      <c r="Y4" s="42" t="str">
        <f aca="false">IF(OR(COLUMN()-COLUMN(rm_Origin)=1,MONTH(EDATE(RoadmapStart,COLUMN()-COLUMN(rm_Origin)-1))=1),TEXT(EDATE(RoadmapStart,COLUMN()-COLUMN(rm_Origin)-1),"yyyy"),"")</f>
        <v/>
      </c>
      <c r="Z4" s="42" t="str">
        <f aca="false">IF(OR(COLUMN()-COLUMN(rm_Origin)=1,MONTH(EDATE(RoadmapStart,COLUMN()-COLUMN(rm_Origin)-1))=1),TEXT(EDATE(RoadmapStart,COLUMN()-COLUMN(rm_Origin)-1),"yyyy"),"")</f>
        <v/>
      </c>
      <c r="AA4" s="42" t="str">
        <f aca="false">IF(OR(COLUMN()-COLUMN(rm_Origin)=1,MONTH(EDATE(RoadmapStart,COLUMN()-COLUMN(rm_Origin)-1))=1),TEXT(EDATE(RoadmapStart,COLUMN()-COLUMN(rm_Origin)-1),"yyyy"),"")</f>
        <v/>
      </c>
      <c r="AB4" s="42" t="str">
        <f aca="false">IF(OR(COLUMN()-COLUMN(rm_Origin)=1,MONTH(EDATE(RoadmapStart,COLUMN()-COLUMN(rm_Origin)-1))=1),TEXT(EDATE(RoadmapStart,COLUMN()-COLUMN(rm_Origin)-1),"yyyy"),"")</f>
        <v>2028</v>
      </c>
      <c r="AC4" s="42" t="str">
        <f aca="false">IF(OR(COLUMN()-COLUMN(rm_Origin)=1,MONTH(EDATE(RoadmapStart,COLUMN()-COLUMN(rm_Origin)-1))=1),TEXT(EDATE(RoadmapStart,COLUMN()-COLUMN(rm_Origin)-1),"yyyy"),"")</f>
        <v/>
      </c>
    </row>
    <row r="5" customFormat="false" ht="15" hidden="false" customHeight="false" outlineLevel="0" collapsed="false">
      <c r="L5" s="43" t="n">
        <f aca="false">EDATE(RoadmapStart,COLUMN()-COLUMN(rm_Origin)-1)</f>
        <v>46266</v>
      </c>
      <c r="M5" s="43" t="n">
        <f aca="false">EDATE(RoadmapStart,COLUMN()-COLUMN(rm_Origin)-1)</f>
        <v>46296</v>
      </c>
      <c r="N5" s="43" t="n">
        <f aca="false">EDATE(RoadmapStart,COLUMN()-COLUMN(rm_Origin)-1)</f>
        <v>46327</v>
      </c>
      <c r="O5" s="43" t="n">
        <f aca="false">EDATE(RoadmapStart,COLUMN()-COLUMN(rm_Origin)-1)</f>
        <v>46357</v>
      </c>
      <c r="P5" s="43" t="n">
        <f aca="false">EDATE(RoadmapStart,COLUMN()-COLUMN(rm_Origin)-1)</f>
        <v>46388</v>
      </c>
      <c r="Q5" s="43" t="n">
        <f aca="false">EDATE(RoadmapStart,COLUMN()-COLUMN(rm_Origin)-1)</f>
        <v>46419</v>
      </c>
      <c r="R5" s="43" t="n">
        <f aca="false">EDATE(RoadmapStart,COLUMN()-COLUMN(rm_Origin)-1)</f>
        <v>46447</v>
      </c>
      <c r="S5" s="43" t="n">
        <f aca="false">EDATE(RoadmapStart,COLUMN()-COLUMN(rm_Origin)-1)</f>
        <v>46478</v>
      </c>
      <c r="T5" s="43" t="n">
        <f aca="false">EDATE(RoadmapStart,COLUMN()-COLUMN(rm_Origin)-1)</f>
        <v>46508</v>
      </c>
      <c r="U5" s="43" t="n">
        <f aca="false">EDATE(RoadmapStart,COLUMN()-COLUMN(rm_Origin)-1)</f>
        <v>46539</v>
      </c>
      <c r="V5" s="43" t="n">
        <f aca="false">EDATE(RoadmapStart,COLUMN()-COLUMN(rm_Origin)-1)</f>
        <v>46569</v>
      </c>
      <c r="W5" s="43" t="n">
        <f aca="false">EDATE(RoadmapStart,COLUMN()-COLUMN(rm_Origin)-1)</f>
        <v>46600</v>
      </c>
      <c r="X5" s="43" t="n">
        <f aca="false">EDATE(RoadmapStart,COLUMN()-COLUMN(rm_Origin)-1)</f>
        <v>46631</v>
      </c>
      <c r="Y5" s="43" t="n">
        <f aca="false">EDATE(RoadmapStart,COLUMN()-COLUMN(rm_Origin)-1)</f>
        <v>46661</v>
      </c>
      <c r="Z5" s="43" t="n">
        <f aca="false">EDATE(RoadmapStart,COLUMN()-COLUMN(rm_Origin)-1)</f>
        <v>46692</v>
      </c>
      <c r="AA5" s="43" t="n">
        <f aca="false">EDATE(RoadmapStart,COLUMN()-COLUMN(rm_Origin)-1)</f>
        <v>46722</v>
      </c>
      <c r="AB5" s="43" t="n">
        <f aca="false">EDATE(RoadmapStart,COLUMN()-COLUMN(rm_Origin)-1)</f>
        <v>46753</v>
      </c>
      <c r="AC5" s="43" t="n">
        <f aca="false">EDATE(RoadmapStart,COLUMN()-COLUMN(rm_Origin)-1)</f>
        <v>46784</v>
      </c>
    </row>
    <row r="6" customFormat="false" ht="15" hidden="false" customHeight="false" outlineLevel="0" collapsed="false">
      <c r="C6" s="26" t="str">
        <f aca="false">"Phases"&amp;": "&amp;COUNT(tsk_PhaseKey)&amp;IF(COUNT(tsk_PhaseKey)&gt;ROWS(RoadmapPhases[_Task])," (showing the first "&amp;ROWS(RoadmapPhases[_Task])&amp;")","")</f>
        <v>Phases: 5</v>
      </c>
    </row>
    <row r="7" customFormat="false" ht="23.85" hidden="false" customHeight="false" outlineLevel="0" collapsed="false">
      <c r="B7" s="44" t="s">
        <v>155</v>
      </c>
      <c r="C7" s="16" t="s">
        <v>156</v>
      </c>
      <c r="D7" s="16" t="s">
        <v>157</v>
      </c>
      <c r="E7" s="16" t="s">
        <v>158</v>
      </c>
      <c r="F7" s="16" t="s">
        <v>159</v>
      </c>
      <c r="G7" s="16" t="s">
        <v>160</v>
      </c>
      <c r="H7" s="16" t="s">
        <v>161</v>
      </c>
      <c r="I7" s="16" t="s">
        <v>162</v>
      </c>
      <c r="J7" s="16" t="s">
        <v>163</v>
      </c>
    </row>
    <row r="8" customFormat="false" ht="15" hidden="false" customHeight="false" outlineLevel="0" collapsed="false">
      <c r="B8" s="45" t="n">
        <f aca="false">IFERROR(MATCH(SMALL(tsk_PhaseKey,ROW()-ROW(RoadmapPhases[[#Headers],[_Task]])),tsk_PhaseKey,0),"")</f>
        <v>1</v>
      </c>
      <c r="C8" s="19" t="str">
        <f aca="false">IF(RoadmapPhases[[#This Row],[_Task]]="","",INDEX(tsk_WBS,RoadmapPhases[[#This Row],[_Task]])&amp;"")</f>
        <v>1</v>
      </c>
      <c r="D8" s="19" t="str">
        <f aca="false">IF(RoadmapPhases[[#This Row],[_Task]]="","",INDEX(tsk_Name,RoadmapPhases[[#This Row],[_Task]])&amp;"")</f>
        <v>Initiation</v>
      </c>
      <c r="E8" s="46" t="n">
        <f aca="false">IF(RoadmapPhases[[#This Row],[_Task]]="","",IF(N(INDEX(tsk_PlanStart,RoadmapPhases[[#This Row],[_Task]]))=0,"",INDEX(tsk_PlanStart,RoadmapPhases[[#This Row],[_Task]])))</f>
        <v>46272</v>
      </c>
      <c r="F8" s="46" t="n">
        <f aca="false">IF(RoadmapPhases[[#This Row],[_Task]]="","",IF(N(INDEX(tsk_PlanFinish,RoadmapPhases[[#This Row],[_Task]]))=0,"",INDEX(tsk_PlanFinish,RoadmapPhases[[#This Row],[_Task]])))</f>
        <v>46276</v>
      </c>
      <c r="G8" s="46" t="n">
        <f aca="false">IF(RoadmapPhases[[#This Row],[_Task]]="","",IF(N(INDEX(tsk_FcStart,RoadmapPhases[[#This Row],[_Task]]))=0,"",INDEX(tsk_FcStart,RoadmapPhases[[#This Row],[_Task]])))</f>
        <v>46272</v>
      </c>
      <c r="H8" s="46" t="n">
        <f aca="false">IF(RoadmapPhases[[#This Row],[_Task]]="","",IF(N(INDEX(tsk_FcFinish,RoadmapPhases[[#This Row],[_Task]]))=0,"",INDEX(tsk_FcFinish,RoadmapPhases[[#This Row],[_Task]])))</f>
        <v>46279</v>
      </c>
      <c r="I8" s="47" t="n">
        <f aca="false">IF(RoadmapPhases[[#This Row],[_Task]]="","",INDEX(tsk_Progress,RoadmapPhases[[#This Row],[_Task]]))</f>
        <v>1</v>
      </c>
      <c r="J8" s="48" t="n">
        <f aca="false">IF(RoadmapPhases[[#This Row],[_Task]]="","",INDEX(tsk_Variance,RoadmapPhases[[#This Row],[_Task]]))</f>
        <v>1</v>
      </c>
    </row>
    <row r="9" customFormat="false" ht="15" hidden="false" customHeight="false" outlineLevel="0" collapsed="false">
      <c r="B9" s="45" t="n">
        <f aca="false">IFERROR(MATCH(SMALL(tsk_PhaseKey,ROW()-ROW(RoadmapPhases[[#Headers],[_Task]])),tsk_PhaseKey,0),"")</f>
        <v>5</v>
      </c>
      <c r="C9" s="19" t="str">
        <f aca="false">IF(RoadmapPhases[[#This Row],[_Task]]="","",INDEX(tsk_WBS,RoadmapPhases[[#This Row],[_Task]])&amp;"")</f>
        <v>2</v>
      </c>
      <c r="D9" s="19" t="str">
        <f aca="false">IF(RoadmapPhases[[#This Row],[_Task]]="","",INDEX(tsk_Name,RoadmapPhases[[#This Row],[_Task]])&amp;"")</f>
        <v>Requirements &amp; Design</v>
      </c>
      <c r="E9" s="46" t="n">
        <f aca="false">IF(RoadmapPhases[[#This Row],[_Task]]="","",IF(N(INDEX(tsk_PlanStart,RoadmapPhases[[#This Row],[_Task]]))=0,"",INDEX(tsk_PlanStart,RoadmapPhases[[#This Row],[_Task]])))</f>
        <v>46279</v>
      </c>
      <c r="F9" s="46" t="n">
        <f aca="false">IF(RoadmapPhases[[#This Row],[_Task]]="","",IF(N(INDEX(tsk_PlanFinish,RoadmapPhases[[#This Row],[_Task]]))=0,"",INDEX(tsk_PlanFinish,RoadmapPhases[[#This Row],[_Task]])))</f>
        <v>46296</v>
      </c>
      <c r="G9" s="46" t="n">
        <f aca="false">IF(RoadmapPhases[[#This Row],[_Task]]="","",IF(N(INDEX(tsk_FcStart,RoadmapPhases[[#This Row],[_Task]]))=0,"",INDEX(tsk_FcStart,RoadmapPhases[[#This Row],[_Task]])))</f>
        <v>46280</v>
      </c>
      <c r="H9" s="46" t="n">
        <f aca="false">IF(RoadmapPhases[[#This Row],[_Task]]="","",IF(N(INDEX(tsk_FcFinish,RoadmapPhases[[#This Row],[_Task]]))=0,"",INDEX(tsk_FcFinish,RoadmapPhases[[#This Row],[_Task]])))</f>
        <v>46301</v>
      </c>
      <c r="I9" s="47" t="n">
        <f aca="false">IF(RoadmapPhases[[#This Row],[_Task]]="","",INDEX(tsk_Progress,RoadmapPhases[[#This Row],[_Task]]))</f>
        <v>1</v>
      </c>
      <c r="J9" s="48" t="n">
        <f aca="false">IF(RoadmapPhases[[#This Row],[_Task]]="","",INDEX(tsk_Variance,RoadmapPhases[[#This Row],[_Task]]))</f>
        <v>3</v>
      </c>
    </row>
    <row r="10" customFormat="false" ht="15" hidden="false" customHeight="false" outlineLevel="0" collapsed="false">
      <c r="B10" s="45" t="n">
        <f aca="false">IFERROR(MATCH(SMALL(tsk_PhaseKey,ROW()-ROW(RoadmapPhases[[#Headers],[_Task]])),tsk_PhaseKey,0),"")</f>
        <v>10</v>
      </c>
      <c r="C10" s="19" t="str">
        <f aca="false">IF(RoadmapPhases[[#This Row],[_Task]]="","",INDEX(tsk_WBS,RoadmapPhases[[#This Row],[_Task]])&amp;"")</f>
        <v>3</v>
      </c>
      <c r="D10" s="19" t="str">
        <f aca="false">IF(RoadmapPhases[[#This Row],[_Task]]="","",INDEX(tsk_Name,RoadmapPhases[[#This Row],[_Task]])&amp;"")</f>
        <v>Build</v>
      </c>
      <c r="E10" s="46" t="n">
        <f aca="false">IF(RoadmapPhases[[#This Row],[_Task]]="","",IF(N(INDEX(tsk_PlanStart,RoadmapPhases[[#This Row],[_Task]]))=0,"",INDEX(tsk_PlanStart,RoadmapPhases[[#This Row],[_Task]])))</f>
        <v>46297</v>
      </c>
      <c r="F10" s="46" t="n">
        <f aca="false">IF(RoadmapPhases[[#This Row],[_Task]]="","",IF(N(INDEX(tsk_PlanFinish,RoadmapPhases[[#This Row],[_Task]]))=0,"",INDEX(tsk_PlanFinish,RoadmapPhases[[#This Row],[_Task]])))</f>
        <v>46325</v>
      </c>
      <c r="G10" s="46" t="n">
        <f aca="false">IF(RoadmapPhases[[#This Row],[_Task]]="","",IF(N(INDEX(tsk_FcStart,RoadmapPhases[[#This Row],[_Task]]))=0,"",INDEX(tsk_FcStart,RoadmapPhases[[#This Row],[_Task]])))</f>
        <v>46302</v>
      </c>
      <c r="H10" s="46" t="n">
        <f aca="false">IF(RoadmapPhases[[#This Row],[_Task]]="","",IF(N(INDEX(tsk_FcFinish,RoadmapPhases[[#This Row],[_Task]]))=0,"",INDEX(tsk_FcFinish,RoadmapPhases[[#This Row],[_Task]])))</f>
        <v>46335</v>
      </c>
      <c r="I10" s="47" t="n">
        <f aca="false">IF(RoadmapPhases[[#This Row],[_Task]]="","",INDEX(tsk_Progress,RoadmapPhases[[#This Row],[_Task]]))</f>
        <v>0.451306413301663</v>
      </c>
      <c r="J10" s="48" t="n">
        <f aca="false">IF(RoadmapPhases[[#This Row],[_Task]]="","",INDEX(tsk_Variance,RoadmapPhases[[#This Row],[_Task]]))</f>
        <v>6</v>
      </c>
    </row>
    <row r="11" customFormat="false" ht="15" hidden="false" customHeight="false" outlineLevel="0" collapsed="false">
      <c r="B11" s="45" t="n">
        <f aca="false">IFERROR(MATCH(SMALL(tsk_PhaseKey,ROW()-ROW(RoadmapPhases[[#Headers],[_Task]])),tsk_PhaseKey,0),"")</f>
        <v>20</v>
      </c>
      <c r="C11" s="19" t="str">
        <f aca="false">IF(RoadmapPhases[[#This Row],[_Task]]="","",INDEX(tsk_WBS,RoadmapPhases[[#This Row],[_Task]])&amp;"")</f>
        <v>4</v>
      </c>
      <c r="D11" s="19" t="str">
        <f aca="false">IF(RoadmapPhases[[#This Row],[_Task]]="","",INDEX(tsk_Name,RoadmapPhases[[#This Row],[_Task]])&amp;"")</f>
        <v>Test &amp; Release</v>
      </c>
      <c r="E11" s="46" t="n">
        <f aca="false">IF(RoadmapPhases[[#This Row],[_Task]]="","",IF(N(INDEX(tsk_PlanStart,RoadmapPhases[[#This Row],[_Task]]))=0,"",INDEX(tsk_PlanStart,RoadmapPhases[[#This Row],[_Task]])))</f>
        <v>46328</v>
      </c>
      <c r="F11" s="46" t="n">
        <f aca="false">IF(RoadmapPhases[[#This Row],[_Task]]="","",IF(N(INDEX(tsk_PlanFinish,RoadmapPhases[[#This Row],[_Task]]))=0,"",INDEX(tsk_PlanFinish,RoadmapPhases[[#This Row],[_Task]])))</f>
        <v>46391</v>
      </c>
      <c r="G11" s="46" t="n">
        <f aca="false">IF(RoadmapPhases[[#This Row],[_Task]]="","",IF(N(INDEX(tsk_FcStart,RoadmapPhases[[#This Row],[_Task]]))=0,"",INDEX(tsk_FcStart,RoadmapPhases[[#This Row],[_Task]])))</f>
        <v>46336</v>
      </c>
      <c r="H11" s="46" t="n">
        <f aca="false">IF(RoadmapPhases[[#This Row],[_Task]]="","",IF(N(INDEX(tsk_FcFinish,RoadmapPhases[[#This Row],[_Task]]))=0,"",INDEX(tsk_FcFinish,RoadmapPhases[[#This Row],[_Task]])))</f>
        <v>46391</v>
      </c>
      <c r="I11" s="47" t="n">
        <f aca="false">IF(RoadmapPhases[[#This Row],[_Task]]="","",INDEX(tsk_Progress,RoadmapPhases[[#This Row],[_Task]]))</f>
        <v>0</v>
      </c>
      <c r="J11" s="48" t="n">
        <f aca="false">IF(RoadmapPhases[[#This Row],[_Task]]="","",INDEX(tsk_Variance,RoadmapPhases[[#This Row],[_Task]]))</f>
        <v>0</v>
      </c>
    </row>
    <row r="12" customFormat="false" ht="15" hidden="false" customHeight="false" outlineLevel="0" collapsed="false">
      <c r="B12" s="45" t="n">
        <f aca="false">IFERROR(MATCH(SMALL(tsk_PhaseKey,ROW()-ROW(RoadmapPhases[[#Headers],[_Task]])),tsk_PhaseKey,0),"")</f>
        <v>27</v>
      </c>
      <c r="C12" s="19" t="str">
        <f aca="false">IF(RoadmapPhases[[#This Row],[_Task]]="","",INDEX(tsk_WBS,RoadmapPhases[[#This Row],[_Task]])&amp;"")</f>
        <v>5</v>
      </c>
      <c r="D12" s="19" t="str">
        <f aca="false">IF(RoadmapPhases[[#This Row],[_Task]]="","",INDEX(tsk_Name,RoadmapPhases[[#This Row],[_Task]])&amp;"")</f>
        <v>Project Close</v>
      </c>
      <c r="E12" s="46" t="n">
        <f aca="false">IF(RoadmapPhases[[#This Row],[_Task]]="","",IF(N(INDEX(tsk_PlanStart,RoadmapPhases[[#This Row],[_Task]]))=0,"",INDEX(tsk_PlanStart,RoadmapPhases[[#This Row],[_Task]])))</f>
        <v>46342</v>
      </c>
      <c r="F12" s="46" t="n">
        <f aca="false">IF(RoadmapPhases[[#This Row],[_Task]]="","",IF(N(INDEX(tsk_PlanFinish,RoadmapPhases[[#This Row],[_Task]]))=0,"",INDEX(tsk_PlanFinish,RoadmapPhases[[#This Row],[_Task]])))</f>
        <v>46393</v>
      </c>
      <c r="G12" s="46" t="n">
        <f aca="false">IF(RoadmapPhases[[#This Row],[_Task]]="","",IF(N(INDEX(tsk_FcStart,RoadmapPhases[[#This Row],[_Task]]))=0,"",INDEX(tsk_FcStart,RoadmapPhases[[#This Row],[_Task]])))</f>
        <v>46342</v>
      </c>
      <c r="H12" s="46" t="n">
        <f aca="false">IF(RoadmapPhases[[#This Row],[_Task]]="","",IF(N(INDEX(tsk_FcFinish,RoadmapPhases[[#This Row],[_Task]]))=0,"",INDEX(tsk_FcFinish,RoadmapPhases[[#This Row],[_Task]])))</f>
        <v>46393</v>
      </c>
      <c r="I12" s="47" t="n">
        <f aca="false">IF(RoadmapPhases[[#This Row],[_Task]]="","",INDEX(tsk_Progress,RoadmapPhases[[#This Row],[_Task]]))</f>
        <v>0</v>
      </c>
      <c r="J12" s="48" t="n">
        <f aca="false">IF(RoadmapPhases[[#This Row],[_Task]]="","",INDEX(tsk_Variance,RoadmapPhases[[#This Row],[_Task]]))</f>
        <v>0</v>
      </c>
    </row>
    <row r="13" customFormat="false" ht="15" hidden="false" customHeight="false" outlineLevel="0" collapsed="false">
      <c r="B13" s="45" t="str">
        <f aca="false">IFERROR(MATCH(SMALL(tsk_PhaseKey,ROW()-ROW(RoadmapPhases[[#Headers],[_Task]])),tsk_PhaseKey,0),"")</f>
        <v/>
      </c>
      <c r="C13" s="19" t="str">
        <f aca="false">IF(RoadmapPhases[[#This Row],[_Task]]="","",INDEX(tsk_WBS,RoadmapPhases[[#This Row],[_Task]])&amp;"")</f>
        <v/>
      </c>
      <c r="D13" s="19" t="str">
        <f aca="false">IF(RoadmapPhases[[#This Row],[_Task]]="","",INDEX(tsk_Name,RoadmapPhases[[#This Row],[_Task]])&amp;"")</f>
        <v/>
      </c>
      <c r="E13" s="46" t="str">
        <f aca="false">IF(RoadmapPhases[[#This Row],[_Task]]="","",IF(N(INDEX(tsk_PlanStart,RoadmapPhases[[#This Row],[_Task]]))=0,"",INDEX(tsk_PlanStart,RoadmapPhases[[#This Row],[_Task]])))</f>
        <v/>
      </c>
      <c r="F13" s="46" t="str">
        <f aca="false">IF(RoadmapPhases[[#This Row],[_Task]]="","",IF(N(INDEX(tsk_PlanFinish,RoadmapPhases[[#This Row],[_Task]]))=0,"",INDEX(tsk_PlanFinish,RoadmapPhases[[#This Row],[_Task]])))</f>
        <v/>
      </c>
      <c r="G13" s="46" t="str">
        <f aca="false">IF(RoadmapPhases[[#This Row],[_Task]]="","",IF(N(INDEX(tsk_FcStart,RoadmapPhases[[#This Row],[_Task]]))=0,"",INDEX(tsk_FcStart,RoadmapPhases[[#This Row],[_Task]])))</f>
        <v/>
      </c>
      <c r="H13" s="46" t="str">
        <f aca="false">IF(RoadmapPhases[[#This Row],[_Task]]="","",IF(N(INDEX(tsk_FcFinish,RoadmapPhases[[#This Row],[_Task]]))=0,"",INDEX(tsk_FcFinish,RoadmapPhases[[#This Row],[_Task]])))</f>
        <v/>
      </c>
      <c r="I13" s="47" t="str">
        <f aca="false">IF(RoadmapPhases[[#This Row],[_Task]]="","",INDEX(tsk_Progress,RoadmapPhases[[#This Row],[_Task]]))</f>
        <v/>
      </c>
      <c r="J13" s="48" t="str">
        <f aca="false">IF(RoadmapPhases[[#This Row],[_Task]]="","",INDEX(tsk_Variance,RoadmapPhases[[#This Row],[_Task]]))</f>
        <v/>
      </c>
    </row>
    <row r="14" customFormat="false" ht="15" hidden="false" customHeight="false" outlineLevel="0" collapsed="false">
      <c r="B14" s="45" t="str">
        <f aca="false">IFERROR(MATCH(SMALL(tsk_PhaseKey,ROW()-ROW(RoadmapPhases[[#Headers],[_Task]])),tsk_PhaseKey,0),"")</f>
        <v/>
      </c>
      <c r="C14" s="19" t="str">
        <f aca="false">IF(RoadmapPhases[[#This Row],[_Task]]="","",INDEX(tsk_WBS,RoadmapPhases[[#This Row],[_Task]])&amp;"")</f>
        <v/>
      </c>
      <c r="D14" s="19" t="str">
        <f aca="false">IF(RoadmapPhases[[#This Row],[_Task]]="","",INDEX(tsk_Name,RoadmapPhases[[#This Row],[_Task]])&amp;"")</f>
        <v/>
      </c>
      <c r="E14" s="46" t="str">
        <f aca="false">IF(RoadmapPhases[[#This Row],[_Task]]="","",IF(N(INDEX(tsk_PlanStart,RoadmapPhases[[#This Row],[_Task]]))=0,"",INDEX(tsk_PlanStart,RoadmapPhases[[#This Row],[_Task]])))</f>
        <v/>
      </c>
      <c r="F14" s="46" t="str">
        <f aca="false">IF(RoadmapPhases[[#This Row],[_Task]]="","",IF(N(INDEX(tsk_PlanFinish,RoadmapPhases[[#This Row],[_Task]]))=0,"",INDEX(tsk_PlanFinish,RoadmapPhases[[#This Row],[_Task]])))</f>
        <v/>
      </c>
      <c r="G14" s="46" t="str">
        <f aca="false">IF(RoadmapPhases[[#This Row],[_Task]]="","",IF(N(INDEX(tsk_FcStart,RoadmapPhases[[#This Row],[_Task]]))=0,"",INDEX(tsk_FcStart,RoadmapPhases[[#This Row],[_Task]])))</f>
        <v/>
      </c>
      <c r="H14" s="46" t="str">
        <f aca="false">IF(RoadmapPhases[[#This Row],[_Task]]="","",IF(N(INDEX(tsk_FcFinish,RoadmapPhases[[#This Row],[_Task]]))=0,"",INDEX(tsk_FcFinish,RoadmapPhases[[#This Row],[_Task]])))</f>
        <v/>
      </c>
      <c r="I14" s="47" t="str">
        <f aca="false">IF(RoadmapPhases[[#This Row],[_Task]]="","",INDEX(tsk_Progress,RoadmapPhases[[#This Row],[_Task]]))</f>
        <v/>
      </c>
      <c r="J14" s="48" t="str">
        <f aca="false">IF(RoadmapPhases[[#This Row],[_Task]]="","",INDEX(tsk_Variance,RoadmapPhases[[#This Row],[_Task]]))</f>
        <v/>
      </c>
    </row>
    <row r="15" customFormat="false" ht="15" hidden="false" customHeight="false" outlineLevel="0" collapsed="false">
      <c r="B15" s="45" t="str">
        <f aca="false">IFERROR(MATCH(SMALL(tsk_PhaseKey,ROW()-ROW(RoadmapPhases[[#Headers],[_Task]])),tsk_PhaseKey,0),"")</f>
        <v/>
      </c>
      <c r="C15" s="19" t="str">
        <f aca="false">IF(RoadmapPhases[[#This Row],[_Task]]="","",INDEX(tsk_WBS,RoadmapPhases[[#This Row],[_Task]])&amp;"")</f>
        <v/>
      </c>
      <c r="D15" s="19" t="str">
        <f aca="false">IF(RoadmapPhases[[#This Row],[_Task]]="","",INDEX(tsk_Name,RoadmapPhases[[#This Row],[_Task]])&amp;"")</f>
        <v/>
      </c>
      <c r="E15" s="46" t="str">
        <f aca="false">IF(RoadmapPhases[[#This Row],[_Task]]="","",IF(N(INDEX(tsk_PlanStart,RoadmapPhases[[#This Row],[_Task]]))=0,"",INDEX(tsk_PlanStart,RoadmapPhases[[#This Row],[_Task]])))</f>
        <v/>
      </c>
      <c r="F15" s="46" t="str">
        <f aca="false">IF(RoadmapPhases[[#This Row],[_Task]]="","",IF(N(INDEX(tsk_PlanFinish,RoadmapPhases[[#This Row],[_Task]]))=0,"",INDEX(tsk_PlanFinish,RoadmapPhases[[#This Row],[_Task]])))</f>
        <v/>
      </c>
      <c r="G15" s="46" t="str">
        <f aca="false">IF(RoadmapPhases[[#This Row],[_Task]]="","",IF(N(INDEX(tsk_FcStart,RoadmapPhases[[#This Row],[_Task]]))=0,"",INDEX(tsk_FcStart,RoadmapPhases[[#This Row],[_Task]])))</f>
        <v/>
      </c>
      <c r="H15" s="46" t="str">
        <f aca="false">IF(RoadmapPhases[[#This Row],[_Task]]="","",IF(N(INDEX(tsk_FcFinish,RoadmapPhases[[#This Row],[_Task]]))=0,"",INDEX(tsk_FcFinish,RoadmapPhases[[#This Row],[_Task]])))</f>
        <v/>
      </c>
      <c r="I15" s="47" t="str">
        <f aca="false">IF(RoadmapPhases[[#This Row],[_Task]]="","",INDEX(tsk_Progress,RoadmapPhases[[#This Row],[_Task]]))</f>
        <v/>
      </c>
      <c r="J15" s="48" t="str">
        <f aca="false">IF(RoadmapPhases[[#This Row],[_Task]]="","",INDEX(tsk_Variance,RoadmapPhases[[#This Row],[_Task]]))</f>
        <v/>
      </c>
    </row>
    <row r="16" customFormat="false" ht="15" hidden="false" customHeight="false" outlineLevel="0" collapsed="false">
      <c r="B16" s="45" t="str">
        <f aca="false">IFERROR(MATCH(SMALL(tsk_PhaseKey,ROW()-ROW(RoadmapPhases[[#Headers],[_Task]])),tsk_PhaseKey,0),"")</f>
        <v/>
      </c>
      <c r="C16" s="19" t="str">
        <f aca="false">IF(RoadmapPhases[[#This Row],[_Task]]="","",INDEX(tsk_WBS,RoadmapPhases[[#This Row],[_Task]])&amp;"")</f>
        <v/>
      </c>
      <c r="D16" s="19" t="str">
        <f aca="false">IF(RoadmapPhases[[#This Row],[_Task]]="","",INDEX(tsk_Name,RoadmapPhases[[#This Row],[_Task]])&amp;"")</f>
        <v/>
      </c>
      <c r="E16" s="46" t="str">
        <f aca="false">IF(RoadmapPhases[[#This Row],[_Task]]="","",IF(N(INDEX(tsk_PlanStart,RoadmapPhases[[#This Row],[_Task]]))=0,"",INDEX(tsk_PlanStart,RoadmapPhases[[#This Row],[_Task]])))</f>
        <v/>
      </c>
      <c r="F16" s="46" t="str">
        <f aca="false">IF(RoadmapPhases[[#This Row],[_Task]]="","",IF(N(INDEX(tsk_PlanFinish,RoadmapPhases[[#This Row],[_Task]]))=0,"",INDEX(tsk_PlanFinish,RoadmapPhases[[#This Row],[_Task]])))</f>
        <v/>
      </c>
      <c r="G16" s="46" t="str">
        <f aca="false">IF(RoadmapPhases[[#This Row],[_Task]]="","",IF(N(INDEX(tsk_FcStart,RoadmapPhases[[#This Row],[_Task]]))=0,"",INDEX(tsk_FcStart,RoadmapPhases[[#This Row],[_Task]])))</f>
        <v/>
      </c>
      <c r="H16" s="46" t="str">
        <f aca="false">IF(RoadmapPhases[[#This Row],[_Task]]="","",IF(N(INDEX(tsk_FcFinish,RoadmapPhases[[#This Row],[_Task]]))=0,"",INDEX(tsk_FcFinish,RoadmapPhases[[#This Row],[_Task]])))</f>
        <v/>
      </c>
      <c r="I16" s="47" t="str">
        <f aca="false">IF(RoadmapPhases[[#This Row],[_Task]]="","",INDEX(tsk_Progress,RoadmapPhases[[#This Row],[_Task]]))</f>
        <v/>
      </c>
      <c r="J16" s="48" t="str">
        <f aca="false">IF(RoadmapPhases[[#This Row],[_Task]]="","",INDEX(tsk_Variance,RoadmapPhases[[#This Row],[_Task]]))</f>
        <v/>
      </c>
    </row>
    <row r="17" customFormat="false" ht="15" hidden="false" customHeight="false" outlineLevel="0" collapsed="false">
      <c r="B17" s="45" t="str">
        <f aca="false">IFERROR(MATCH(SMALL(tsk_PhaseKey,ROW()-ROW(RoadmapPhases[[#Headers],[_Task]])),tsk_PhaseKey,0),"")</f>
        <v/>
      </c>
      <c r="C17" s="19" t="str">
        <f aca="false">IF(RoadmapPhases[[#This Row],[_Task]]="","",INDEX(tsk_WBS,RoadmapPhases[[#This Row],[_Task]])&amp;"")</f>
        <v/>
      </c>
      <c r="D17" s="19" t="str">
        <f aca="false">IF(RoadmapPhases[[#This Row],[_Task]]="","",INDEX(tsk_Name,RoadmapPhases[[#This Row],[_Task]])&amp;"")</f>
        <v/>
      </c>
      <c r="E17" s="46" t="str">
        <f aca="false">IF(RoadmapPhases[[#This Row],[_Task]]="","",IF(N(INDEX(tsk_PlanStart,RoadmapPhases[[#This Row],[_Task]]))=0,"",INDEX(tsk_PlanStart,RoadmapPhases[[#This Row],[_Task]])))</f>
        <v/>
      </c>
      <c r="F17" s="46" t="str">
        <f aca="false">IF(RoadmapPhases[[#This Row],[_Task]]="","",IF(N(INDEX(tsk_PlanFinish,RoadmapPhases[[#This Row],[_Task]]))=0,"",INDEX(tsk_PlanFinish,RoadmapPhases[[#This Row],[_Task]])))</f>
        <v/>
      </c>
      <c r="G17" s="46" t="str">
        <f aca="false">IF(RoadmapPhases[[#This Row],[_Task]]="","",IF(N(INDEX(tsk_FcStart,RoadmapPhases[[#This Row],[_Task]]))=0,"",INDEX(tsk_FcStart,RoadmapPhases[[#This Row],[_Task]])))</f>
        <v/>
      </c>
      <c r="H17" s="46" t="str">
        <f aca="false">IF(RoadmapPhases[[#This Row],[_Task]]="","",IF(N(INDEX(tsk_FcFinish,RoadmapPhases[[#This Row],[_Task]]))=0,"",INDEX(tsk_FcFinish,RoadmapPhases[[#This Row],[_Task]])))</f>
        <v/>
      </c>
      <c r="I17" s="47" t="str">
        <f aca="false">IF(RoadmapPhases[[#This Row],[_Task]]="","",INDEX(tsk_Progress,RoadmapPhases[[#This Row],[_Task]]))</f>
        <v/>
      </c>
      <c r="J17" s="48" t="str">
        <f aca="false">IF(RoadmapPhases[[#This Row],[_Task]]="","",INDEX(tsk_Variance,RoadmapPhases[[#This Row],[_Task]]))</f>
        <v/>
      </c>
    </row>
    <row r="19" customFormat="false" ht="15" hidden="false" customHeight="false" outlineLevel="0" collapsed="false">
      <c r="C19" s="26" t="str">
        <f aca="false">"Milestones (in planned order)"&amp;": "&amp;COUNT(tsk_MilestoneOrder)&amp;IF(COUNT(tsk_MilestoneOrder)&gt;ROWS(RoadmapMilestones[_Task])," (showing the first "&amp;ROWS(RoadmapMilestones[_Task])&amp;")","")</f>
        <v>Milestones (in planned order): 5</v>
      </c>
    </row>
    <row r="20" customFormat="false" ht="23.85" hidden="false" customHeight="false" outlineLevel="0" collapsed="false">
      <c r="B20" s="44" t="s">
        <v>155</v>
      </c>
      <c r="C20" s="16" t="s">
        <v>156</v>
      </c>
      <c r="D20" s="16" t="s">
        <v>164</v>
      </c>
      <c r="E20" s="16" t="s">
        <v>165</v>
      </c>
      <c r="F20" s="16" t="s">
        <v>166</v>
      </c>
      <c r="G20" s="16" t="s">
        <v>167</v>
      </c>
      <c r="H20" s="16" t="s">
        <v>168</v>
      </c>
      <c r="I20" s="16" t="s">
        <v>121</v>
      </c>
      <c r="J20" s="16" t="s">
        <v>163</v>
      </c>
    </row>
    <row r="21" customFormat="false" ht="15" hidden="false" customHeight="false" outlineLevel="0" collapsed="false">
      <c r="B21" s="45" t="n">
        <f aca="false">IFERROR(MATCH(SMALL(tsk_MilestoneOrder,ROW()-ROW(RoadmapMilestones[[#Headers],[_Task]])),tsk_MilestoneOrder,0),"")</f>
        <v>4</v>
      </c>
      <c r="C21" s="19" t="str">
        <f aca="false">IF(RoadmapMilestones[[#This Row],[_Task]]="","",INDEX(tsk_WBS,RoadmapMilestones[[#This Row],[_Task]])&amp;"")</f>
        <v>1.3</v>
      </c>
      <c r="D21" s="19" t="str">
        <f aca="false">IF(RoadmapMilestones[[#This Row],[_Task]]="","",INDEX(tsk_Name,RoadmapMilestones[[#This Row],[_Task]])&amp;"")</f>
        <v>Kickoff complete</v>
      </c>
      <c r="E21" s="46" t="n">
        <f aca="false">IF(RoadmapMilestones[[#This Row],[_Task]]="","",IF(N(INDEX(tsk_PlanFinish,RoadmapMilestones[[#This Row],[_Task]]))=0,"",INDEX(tsk_PlanFinish,RoadmapMilestones[[#This Row],[_Task]])))</f>
        <v>46276</v>
      </c>
      <c r="F21" s="46" t="str">
        <f aca="false">IF(RoadmapMilestones[[#This Row],[_Task]]="","",IF(N(INDEX(tsk_Deadline,RoadmapMilestones[[#This Row],[_Task]]))=0,"",INDEX(tsk_Deadline,RoadmapMilestones[[#This Row],[_Task]])))</f>
        <v/>
      </c>
      <c r="G21" s="46" t="n">
        <f aca="false">IF(RoadmapMilestones[[#This Row],[_Task]]="","",IF(N(INDEX(tsk_FcFinish,RoadmapMilestones[[#This Row],[_Task]]))=0,"",INDEX(tsk_FcFinish,RoadmapMilestones[[#This Row],[_Task]])))</f>
        <v>46279</v>
      </c>
      <c r="H21" s="19" t="str">
        <f aca="false">IF(RoadmapMilestones[[#This Row],[_Task]]="","",INDEX(tsk_DeadlineCheck,RoadmapMilestones[[#This Row],[_Task]])&amp;"")</f>
        <v/>
      </c>
      <c r="I21" s="19" t="str">
        <f aca="false">IF(RoadmapMilestones[[#This Row],[_Task]]="","",INDEX(tsk_Status,RoadmapMilestones[[#This Row],[_Task]])&amp;"")</f>
        <v>Complete</v>
      </c>
      <c r="J21" s="48" t="n">
        <f aca="false">IF(RoadmapMilestones[[#This Row],[_Task]]="","",INDEX(tsk_Variance,RoadmapMilestones[[#This Row],[_Task]]))</f>
        <v>1</v>
      </c>
    </row>
    <row r="22" customFormat="false" ht="15" hidden="false" customHeight="false" outlineLevel="0" collapsed="false">
      <c r="B22" s="45" t="n">
        <f aca="false">IFERROR(MATCH(SMALL(tsk_MilestoneOrder,ROW()-ROW(RoadmapMilestones[[#Headers],[_Task]])),tsk_MilestoneOrder,0),"")</f>
        <v>9</v>
      </c>
      <c r="C22" s="19" t="str">
        <f aca="false">IF(RoadmapMilestones[[#This Row],[_Task]]="","",INDEX(tsk_WBS,RoadmapMilestones[[#This Row],[_Task]])&amp;"")</f>
        <v>2.4</v>
      </c>
      <c r="D22" s="19" t="str">
        <f aca="false">IF(RoadmapMilestones[[#This Row],[_Task]]="","",INDEX(tsk_Name,RoadmapMilestones[[#This Row],[_Task]])&amp;"")</f>
        <v>Design sign-off</v>
      </c>
      <c r="E22" s="46" t="n">
        <f aca="false">IF(RoadmapMilestones[[#This Row],[_Task]]="","",IF(N(INDEX(tsk_PlanFinish,RoadmapMilestones[[#This Row],[_Task]]))=0,"",INDEX(tsk_PlanFinish,RoadmapMilestones[[#This Row],[_Task]])))</f>
        <v>46296</v>
      </c>
      <c r="F22" s="46" t="str">
        <f aca="false">IF(RoadmapMilestones[[#This Row],[_Task]]="","",IF(N(INDEX(tsk_Deadline,RoadmapMilestones[[#This Row],[_Task]]))=0,"",INDEX(tsk_Deadline,RoadmapMilestones[[#This Row],[_Task]])))</f>
        <v/>
      </c>
      <c r="G22" s="46" t="n">
        <f aca="false">IF(RoadmapMilestones[[#This Row],[_Task]]="","",IF(N(INDEX(tsk_FcFinish,RoadmapMilestones[[#This Row],[_Task]]))=0,"",INDEX(tsk_FcFinish,RoadmapMilestones[[#This Row],[_Task]])))</f>
        <v>46301</v>
      </c>
      <c r="H22" s="19" t="str">
        <f aca="false">IF(RoadmapMilestones[[#This Row],[_Task]]="","",INDEX(tsk_DeadlineCheck,RoadmapMilestones[[#This Row],[_Task]])&amp;"")</f>
        <v/>
      </c>
      <c r="I22" s="19" t="str">
        <f aca="false">IF(RoadmapMilestones[[#This Row],[_Task]]="","",INDEX(tsk_Status,RoadmapMilestones[[#This Row],[_Task]])&amp;"")</f>
        <v>Complete</v>
      </c>
      <c r="J22" s="48" t="n">
        <f aca="false">IF(RoadmapMilestones[[#This Row],[_Task]]="","",INDEX(tsk_Variance,RoadmapMilestones[[#This Row],[_Task]]))</f>
        <v>3</v>
      </c>
    </row>
    <row r="23" customFormat="false" ht="15" hidden="false" customHeight="false" outlineLevel="0" collapsed="false">
      <c r="B23" s="45" t="n">
        <f aca="false">IFERROR(MATCH(SMALL(tsk_MilestoneOrder,ROW()-ROW(RoadmapMilestones[[#Headers],[_Task]])),tsk_MilestoneOrder,0),"")</f>
        <v>19</v>
      </c>
      <c r="C23" s="19" t="str">
        <f aca="false">IF(RoadmapMilestones[[#This Row],[_Task]]="","",INDEX(tsk_WBS,RoadmapMilestones[[#This Row],[_Task]])&amp;"")</f>
        <v>3.3</v>
      </c>
      <c r="D23" s="19" t="str">
        <f aca="false">IF(RoadmapMilestones[[#This Row],[_Task]]="","",INDEX(tsk_Name,RoadmapMilestones[[#This Row],[_Task]])&amp;"")</f>
        <v>Build complete</v>
      </c>
      <c r="E23" s="46" t="n">
        <f aca="false">IF(RoadmapMilestones[[#This Row],[_Task]]="","",IF(N(INDEX(tsk_PlanFinish,RoadmapMilestones[[#This Row],[_Task]]))=0,"",INDEX(tsk_PlanFinish,RoadmapMilestones[[#This Row],[_Task]])))</f>
        <v>46325</v>
      </c>
      <c r="F23" s="46" t="n">
        <f aca="false">IF(RoadmapMilestones[[#This Row],[_Task]]="","",IF(N(INDEX(tsk_Deadline,RoadmapMilestones[[#This Row],[_Task]]))=0,"",INDEX(tsk_Deadline,RoadmapMilestones[[#This Row],[_Task]])))</f>
        <v>46332</v>
      </c>
      <c r="G23" s="46" t="n">
        <f aca="false">IF(RoadmapMilestones[[#This Row],[_Task]]="","",IF(N(INDEX(tsk_FcFinish,RoadmapMilestones[[#This Row],[_Task]]))=0,"",INDEX(tsk_FcFinish,RoadmapMilestones[[#This Row],[_Task]])))</f>
        <v>46335</v>
      </c>
      <c r="H23" s="19" t="str">
        <f aca="false">IF(RoadmapMilestones[[#This Row],[_Task]]="","",INDEX(tsk_DeadlineCheck,RoadmapMilestones[[#This Row],[_Task]])&amp;"")</f>
        <v>Late by 1d</v>
      </c>
      <c r="I23" s="19" t="str">
        <f aca="false">IF(RoadmapMilestones[[#This Row],[_Task]]="","",INDEX(tsk_Status,RoadmapMilestones[[#This Row],[_Task]])&amp;"")</f>
        <v>Not Started</v>
      </c>
      <c r="J23" s="48" t="n">
        <f aca="false">IF(RoadmapMilestones[[#This Row],[_Task]]="","",INDEX(tsk_Variance,RoadmapMilestones[[#This Row],[_Task]]))</f>
        <v>6</v>
      </c>
    </row>
    <row r="24" customFormat="false" ht="15" hidden="false" customHeight="false" outlineLevel="0" collapsed="false">
      <c r="B24" s="45" t="n">
        <f aca="false">IFERROR(MATCH(SMALL(tsk_MilestoneOrder,ROW()-ROW(RoadmapMilestones[[#Headers],[_Task]])),tsk_MilestoneOrder,0),"")</f>
        <v>25</v>
      </c>
      <c r="C24" s="19" t="str">
        <f aca="false">IF(RoadmapMilestones[[#This Row],[_Task]]="","",INDEX(tsk_WBS,RoadmapMilestones[[#This Row],[_Task]])&amp;"")</f>
        <v>4.5</v>
      </c>
      <c r="D24" s="19" t="str">
        <f aca="false">IF(RoadmapMilestones[[#This Row],[_Task]]="","",INDEX(tsk_Name,RoadmapMilestones[[#This Row],[_Task]])&amp;"")</f>
        <v>Go-live</v>
      </c>
      <c r="E24" s="46" t="n">
        <f aca="false">IF(RoadmapMilestones[[#This Row],[_Task]]="","",IF(N(INDEX(tsk_PlanFinish,RoadmapMilestones[[#This Row],[_Task]]))=0,"",INDEX(tsk_PlanFinish,RoadmapMilestones[[#This Row],[_Task]])))</f>
        <v>46371</v>
      </c>
      <c r="F24" s="46" t="n">
        <f aca="false">IF(RoadmapMilestones[[#This Row],[_Task]]="","",IF(N(INDEX(tsk_Deadline,RoadmapMilestones[[#This Row],[_Task]]))=0,"",INDEX(tsk_Deadline,RoadmapMilestones[[#This Row],[_Task]])))</f>
        <v>46374</v>
      </c>
      <c r="G24" s="46" t="n">
        <f aca="false">IF(RoadmapMilestones[[#This Row],[_Task]]="","",IF(N(INDEX(tsk_FcFinish,RoadmapMilestones[[#This Row],[_Task]]))=0,"",INDEX(tsk_FcFinish,RoadmapMilestones[[#This Row],[_Task]])))</f>
        <v>46371</v>
      </c>
      <c r="H24" s="19" t="str">
        <f aca="false">IF(RoadmapMilestones[[#This Row],[_Task]]="","",INDEX(tsk_DeadlineCheck,RoadmapMilestones[[#This Row],[_Task]])&amp;"")</f>
        <v>OK</v>
      </c>
      <c r="I24" s="19" t="str">
        <f aca="false">IF(RoadmapMilestones[[#This Row],[_Task]]="","",INDEX(tsk_Status,RoadmapMilestones[[#This Row],[_Task]])&amp;"")</f>
        <v>Not Started</v>
      </c>
      <c r="J24" s="48" t="n">
        <f aca="false">IF(RoadmapMilestones[[#This Row],[_Task]]="","",INDEX(tsk_Variance,RoadmapMilestones[[#This Row],[_Task]]))</f>
        <v>0</v>
      </c>
    </row>
    <row r="25" customFormat="false" ht="15" hidden="false" customHeight="false" outlineLevel="0" collapsed="false">
      <c r="B25" s="45" t="n">
        <f aca="false">IFERROR(MATCH(SMALL(tsk_MilestoneOrder,ROW()-ROW(RoadmapMilestones[[#Headers],[_Task]])),tsk_MilestoneOrder,0),"")</f>
        <v>30</v>
      </c>
      <c r="C25" s="19" t="str">
        <f aca="false">IF(RoadmapMilestones[[#This Row],[_Task]]="","",INDEX(tsk_WBS,RoadmapMilestones[[#This Row],[_Task]])&amp;"")</f>
        <v>5.3</v>
      </c>
      <c r="D25" s="19" t="str">
        <f aca="false">IF(RoadmapMilestones[[#This Row],[_Task]]="","",INDEX(tsk_Name,RoadmapMilestones[[#This Row],[_Task]])&amp;"")</f>
        <v>Project closed</v>
      </c>
      <c r="E25" s="46" t="n">
        <f aca="false">IF(RoadmapMilestones[[#This Row],[_Task]]="","",IF(N(INDEX(tsk_PlanFinish,RoadmapMilestones[[#This Row],[_Task]]))=0,"",INDEX(tsk_PlanFinish,RoadmapMilestones[[#This Row],[_Task]])))</f>
        <v>46393</v>
      </c>
      <c r="F25" s="46" t="str">
        <f aca="false">IF(RoadmapMilestones[[#This Row],[_Task]]="","",IF(N(INDEX(tsk_Deadline,RoadmapMilestones[[#This Row],[_Task]]))=0,"",INDEX(tsk_Deadline,RoadmapMilestones[[#This Row],[_Task]])))</f>
        <v/>
      </c>
      <c r="G25" s="46" t="n">
        <f aca="false">IF(RoadmapMilestones[[#This Row],[_Task]]="","",IF(N(INDEX(tsk_FcFinish,RoadmapMilestones[[#This Row],[_Task]]))=0,"",INDEX(tsk_FcFinish,RoadmapMilestones[[#This Row],[_Task]])))</f>
        <v>46393</v>
      </c>
      <c r="H25" s="19" t="str">
        <f aca="false">IF(RoadmapMilestones[[#This Row],[_Task]]="","",INDEX(tsk_DeadlineCheck,RoadmapMilestones[[#This Row],[_Task]])&amp;"")</f>
        <v/>
      </c>
      <c r="I25" s="19" t="str">
        <f aca="false">IF(RoadmapMilestones[[#This Row],[_Task]]="","",INDEX(tsk_Status,RoadmapMilestones[[#This Row],[_Task]])&amp;"")</f>
        <v>Not Started</v>
      </c>
      <c r="J25" s="48" t="n">
        <f aca="false">IF(RoadmapMilestones[[#This Row],[_Task]]="","",INDEX(tsk_Variance,RoadmapMilestones[[#This Row],[_Task]]))</f>
        <v>0</v>
      </c>
    </row>
    <row r="26" customFormat="false" ht="15" hidden="false" customHeight="false" outlineLevel="0" collapsed="false">
      <c r="B26" s="45" t="str">
        <f aca="false">IFERROR(MATCH(SMALL(tsk_MilestoneOrder,ROW()-ROW(RoadmapMilestones[[#Headers],[_Task]])),tsk_MilestoneOrder,0),"")</f>
        <v/>
      </c>
      <c r="C26" s="19" t="str">
        <f aca="false">IF(RoadmapMilestones[[#This Row],[_Task]]="","",INDEX(tsk_WBS,RoadmapMilestones[[#This Row],[_Task]])&amp;"")</f>
        <v/>
      </c>
      <c r="D26" s="19" t="str">
        <f aca="false">IF(RoadmapMilestones[[#This Row],[_Task]]="","",INDEX(tsk_Name,RoadmapMilestones[[#This Row],[_Task]])&amp;"")</f>
        <v/>
      </c>
      <c r="E26" s="46" t="str">
        <f aca="false">IF(RoadmapMilestones[[#This Row],[_Task]]="","",IF(N(INDEX(tsk_PlanFinish,RoadmapMilestones[[#This Row],[_Task]]))=0,"",INDEX(tsk_PlanFinish,RoadmapMilestones[[#This Row],[_Task]])))</f>
        <v/>
      </c>
      <c r="F26" s="46" t="str">
        <f aca="false">IF(RoadmapMilestones[[#This Row],[_Task]]="","",IF(N(INDEX(tsk_Deadline,RoadmapMilestones[[#This Row],[_Task]]))=0,"",INDEX(tsk_Deadline,RoadmapMilestones[[#This Row],[_Task]])))</f>
        <v/>
      </c>
      <c r="G26" s="46" t="str">
        <f aca="false">IF(RoadmapMilestones[[#This Row],[_Task]]="","",IF(N(INDEX(tsk_FcFinish,RoadmapMilestones[[#This Row],[_Task]]))=0,"",INDEX(tsk_FcFinish,RoadmapMilestones[[#This Row],[_Task]])))</f>
        <v/>
      </c>
      <c r="H26" s="19" t="str">
        <f aca="false">IF(RoadmapMilestones[[#This Row],[_Task]]="","",INDEX(tsk_DeadlineCheck,RoadmapMilestones[[#This Row],[_Task]])&amp;"")</f>
        <v/>
      </c>
      <c r="I26" s="19" t="str">
        <f aca="false">IF(RoadmapMilestones[[#This Row],[_Task]]="","",INDEX(tsk_Status,RoadmapMilestones[[#This Row],[_Task]])&amp;"")</f>
        <v/>
      </c>
      <c r="J26" s="48" t="str">
        <f aca="false">IF(RoadmapMilestones[[#This Row],[_Task]]="","",INDEX(tsk_Variance,RoadmapMilestones[[#This Row],[_Task]]))</f>
        <v/>
      </c>
    </row>
    <row r="27" customFormat="false" ht="15" hidden="false" customHeight="false" outlineLevel="0" collapsed="false">
      <c r="B27" s="45" t="str">
        <f aca="false">IFERROR(MATCH(SMALL(tsk_MilestoneOrder,ROW()-ROW(RoadmapMilestones[[#Headers],[_Task]])),tsk_MilestoneOrder,0),"")</f>
        <v/>
      </c>
      <c r="C27" s="19" t="str">
        <f aca="false">IF(RoadmapMilestones[[#This Row],[_Task]]="","",INDEX(tsk_WBS,RoadmapMilestones[[#This Row],[_Task]])&amp;"")</f>
        <v/>
      </c>
      <c r="D27" s="19" t="str">
        <f aca="false">IF(RoadmapMilestones[[#This Row],[_Task]]="","",INDEX(tsk_Name,RoadmapMilestones[[#This Row],[_Task]])&amp;"")</f>
        <v/>
      </c>
      <c r="E27" s="46" t="str">
        <f aca="false">IF(RoadmapMilestones[[#This Row],[_Task]]="","",IF(N(INDEX(tsk_PlanFinish,RoadmapMilestones[[#This Row],[_Task]]))=0,"",INDEX(tsk_PlanFinish,RoadmapMilestones[[#This Row],[_Task]])))</f>
        <v/>
      </c>
      <c r="F27" s="46" t="str">
        <f aca="false">IF(RoadmapMilestones[[#This Row],[_Task]]="","",IF(N(INDEX(tsk_Deadline,RoadmapMilestones[[#This Row],[_Task]]))=0,"",INDEX(tsk_Deadline,RoadmapMilestones[[#This Row],[_Task]])))</f>
        <v/>
      </c>
      <c r="G27" s="46" t="str">
        <f aca="false">IF(RoadmapMilestones[[#This Row],[_Task]]="","",IF(N(INDEX(tsk_FcFinish,RoadmapMilestones[[#This Row],[_Task]]))=0,"",INDEX(tsk_FcFinish,RoadmapMilestones[[#This Row],[_Task]])))</f>
        <v/>
      </c>
      <c r="H27" s="19" t="str">
        <f aca="false">IF(RoadmapMilestones[[#This Row],[_Task]]="","",INDEX(tsk_DeadlineCheck,RoadmapMilestones[[#This Row],[_Task]])&amp;"")</f>
        <v/>
      </c>
      <c r="I27" s="19" t="str">
        <f aca="false">IF(RoadmapMilestones[[#This Row],[_Task]]="","",INDEX(tsk_Status,RoadmapMilestones[[#This Row],[_Task]])&amp;"")</f>
        <v/>
      </c>
      <c r="J27" s="48" t="str">
        <f aca="false">IF(RoadmapMilestones[[#This Row],[_Task]]="","",INDEX(tsk_Variance,RoadmapMilestones[[#This Row],[_Task]]))</f>
        <v/>
      </c>
    </row>
    <row r="28" customFormat="false" ht="15" hidden="false" customHeight="false" outlineLevel="0" collapsed="false">
      <c r="B28" s="45" t="str">
        <f aca="false">IFERROR(MATCH(SMALL(tsk_MilestoneOrder,ROW()-ROW(RoadmapMilestones[[#Headers],[_Task]])),tsk_MilestoneOrder,0),"")</f>
        <v/>
      </c>
      <c r="C28" s="19" t="str">
        <f aca="false">IF(RoadmapMilestones[[#This Row],[_Task]]="","",INDEX(tsk_WBS,RoadmapMilestones[[#This Row],[_Task]])&amp;"")</f>
        <v/>
      </c>
      <c r="D28" s="19" t="str">
        <f aca="false">IF(RoadmapMilestones[[#This Row],[_Task]]="","",INDEX(tsk_Name,RoadmapMilestones[[#This Row],[_Task]])&amp;"")</f>
        <v/>
      </c>
      <c r="E28" s="46" t="str">
        <f aca="false">IF(RoadmapMilestones[[#This Row],[_Task]]="","",IF(N(INDEX(tsk_PlanFinish,RoadmapMilestones[[#This Row],[_Task]]))=0,"",INDEX(tsk_PlanFinish,RoadmapMilestones[[#This Row],[_Task]])))</f>
        <v/>
      </c>
      <c r="F28" s="46" t="str">
        <f aca="false">IF(RoadmapMilestones[[#This Row],[_Task]]="","",IF(N(INDEX(tsk_Deadline,RoadmapMilestones[[#This Row],[_Task]]))=0,"",INDEX(tsk_Deadline,RoadmapMilestones[[#This Row],[_Task]])))</f>
        <v/>
      </c>
      <c r="G28" s="46" t="str">
        <f aca="false">IF(RoadmapMilestones[[#This Row],[_Task]]="","",IF(N(INDEX(tsk_FcFinish,RoadmapMilestones[[#This Row],[_Task]]))=0,"",INDEX(tsk_FcFinish,RoadmapMilestones[[#This Row],[_Task]])))</f>
        <v/>
      </c>
      <c r="H28" s="19" t="str">
        <f aca="false">IF(RoadmapMilestones[[#This Row],[_Task]]="","",INDEX(tsk_DeadlineCheck,RoadmapMilestones[[#This Row],[_Task]])&amp;"")</f>
        <v/>
      </c>
      <c r="I28" s="19" t="str">
        <f aca="false">IF(RoadmapMilestones[[#This Row],[_Task]]="","",INDEX(tsk_Status,RoadmapMilestones[[#This Row],[_Task]])&amp;"")</f>
        <v/>
      </c>
      <c r="J28" s="48" t="str">
        <f aca="false">IF(RoadmapMilestones[[#This Row],[_Task]]="","",INDEX(tsk_Variance,RoadmapMilestones[[#This Row],[_Task]]))</f>
        <v/>
      </c>
    </row>
    <row r="29" customFormat="false" ht="15" hidden="false" customHeight="false" outlineLevel="0" collapsed="false">
      <c r="B29" s="45" t="str">
        <f aca="false">IFERROR(MATCH(SMALL(tsk_MilestoneOrder,ROW()-ROW(RoadmapMilestones[[#Headers],[_Task]])),tsk_MilestoneOrder,0),"")</f>
        <v/>
      </c>
      <c r="C29" s="19" t="str">
        <f aca="false">IF(RoadmapMilestones[[#This Row],[_Task]]="","",INDEX(tsk_WBS,RoadmapMilestones[[#This Row],[_Task]])&amp;"")</f>
        <v/>
      </c>
      <c r="D29" s="19" t="str">
        <f aca="false">IF(RoadmapMilestones[[#This Row],[_Task]]="","",INDEX(tsk_Name,RoadmapMilestones[[#This Row],[_Task]])&amp;"")</f>
        <v/>
      </c>
      <c r="E29" s="46" t="str">
        <f aca="false">IF(RoadmapMilestones[[#This Row],[_Task]]="","",IF(N(INDEX(tsk_PlanFinish,RoadmapMilestones[[#This Row],[_Task]]))=0,"",INDEX(tsk_PlanFinish,RoadmapMilestones[[#This Row],[_Task]])))</f>
        <v/>
      </c>
      <c r="F29" s="46" t="str">
        <f aca="false">IF(RoadmapMilestones[[#This Row],[_Task]]="","",IF(N(INDEX(tsk_Deadline,RoadmapMilestones[[#This Row],[_Task]]))=0,"",INDEX(tsk_Deadline,RoadmapMilestones[[#This Row],[_Task]])))</f>
        <v/>
      </c>
      <c r="G29" s="46" t="str">
        <f aca="false">IF(RoadmapMilestones[[#This Row],[_Task]]="","",IF(N(INDEX(tsk_FcFinish,RoadmapMilestones[[#This Row],[_Task]]))=0,"",INDEX(tsk_FcFinish,RoadmapMilestones[[#This Row],[_Task]])))</f>
        <v/>
      </c>
      <c r="H29" s="19" t="str">
        <f aca="false">IF(RoadmapMilestones[[#This Row],[_Task]]="","",INDEX(tsk_DeadlineCheck,RoadmapMilestones[[#This Row],[_Task]])&amp;"")</f>
        <v/>
      </c>
      <c r="I29" s="19" t="str">
        <f aca="false">IF(RoadmapMilestones[[#This Row],[_Task]]="","",INDEX(tsk_Status,RoadmapMilestones[[#This Row],[_Task]])&amp;"")</f>
        <v/>
      </c>
      <c r="J29" s="48" t="str">
        <f aca="false">IF(RoadmapMilestones[[#This Row],[_Task]]="","",INDEX(tsk_Variance,RoadmapMilestones[[#This Row],[_Task]]))</f>
        <v/>
      </c>
    </row>
    <row r="30" customFormat="false" ht="15" hidden="false" customHeight="false" outlineLevel="0" collapsed="false">
      <c r="B30" s="45" t="str">
        <f aca="false">IFERROR(MATCH(SMALL(tsk_MilestoneOrder,ROW()-ROW(RoadmapMilestones[[#Headers],[_Task]])),tsk_MilestoneOrder,0),"")</f>
        <v/>
      </c>
      <c r="C30" s="19" t="str">
        <f aca="false">IF(RoadmapMilestones[[#This Row],[_Task]]="","",INDEX(tsk_WBS,RoadmapMilestones[[#This Row],[_Task]])&amp;"")</f>
        <v/>
      </c>
      <c r="D30" s="19" t="str">
        <f aca="false">IF(RoadmapMilestones[[#This Row],[_Task]]="","",INDEX(tsk_Name,RoadmapMilestones[[#This Row],[_Task]])&amp;"")</f>
        <v/>
      </c>
      <c r="E30" s="46" t="str">
        <f aca="false">IF(RoadmapMilestones[[#This Row],[_Task]]="","",IF(N(INDEX(tsk_PlanFinish,RoadmapMilestones[[#This Row],[_Task]]))=0,"",INDEX(tsk_PlanFinish,RoadmapMilestones[[#This Row],[_Task]])))</f>
        <v/>
      </c>
      <c r="F30" s="46" t="str">
        <f aca="false">IF(RoadmapMilestones[[#This Row],[_Task]]="","",IF(N(INDEX(tsk_Deadline,RoadmapMilestones[[#This Row],[_Task]]))=0,"",INDEX(tsk_Deadline,RoadmapMilestones[[#This Row],[_Task]])))</f>
        <v/>
      </c>
      <c r="G30" s="46" t="str">
        <f aca="false">IF(RoadmapMilestones[[#This Row],[_Task]]="","",IF(N(INDEX(tsk_FcFinish,RoadmapMilestones[[#This Row],[_Task]]))=0,"",INDEX(tsk_FcFinish,RoadmapMilestones[[#This Row],[_Task]])))</f>
        <v/>
      </c>
      <c r="H30" s="19" t="str">
        <f aca="false">IF(RoadmapMilestones[[#This Row],[_Task]]="","",INDEX(tsk_DeadlineCheck,RoadmapMilestones[[#This Row],[_Task]])&amp;"")</f>
        <v/>
      </c>
      <c r="I30" s="19" t="str">
        <f aca="false">IF(RoadmapMilestones[[#This Row],[_Task]]="","",INDEX(tsk_Status,RoadmapMilestones[[#This Row],[_Task]])&amp;"")</f>
        <v/>
      </c>
      <c r="J30" s="48" t="str">
        <f aca="false">IF(RoadmapMilestones[[#This Row],[_Task]]="","",INDEX(tsk_Variance,RoadmapMilestones[[#This Row],[_Task]]))</f>
        <v/>
      </c>
    </row>
    <row r="31" customFormat="false" ht="15" hidden="false" customHeight="false" outlineLevel="0" collapsed="false">
      <c r="B31" s="45" t="str">
        <f aca="false">IFERROR(MATCH(SMALL(tsk_MilestoneOrder,ROW()-ROW(RoadmapMilestones[[#Headers],[_Task]])),tsk_MilestoneOrder,0),"")</f>
        <v/>
      </c>
      <c r="C31" s="19" t="str">
        <f aca="false">IF(RoadmapMilestones[[#This Row],[_Task]]="","",INDEX(tsk_WBS,RoadmapMilestones[[#This Row],[_Task]])&amp;"")</f>
        <v/>
      </c>
      <c r="D31" s="19" t="str">
        <f aca="false">IF(RoadmapMilestones[[#This Row],[_Task]]="","",INDEX(tsk_Name,RoadmapMilestones[[#This Row],[_Task]])&amp;"")</f>
        <v/>
      </c>
      <c r="E31" s="46" t="str">
        <f aca="false">IF(RoadmapMilestones[[#This Row],[_Task]]="","",IF(N(INDEX(tsk_PlanFinish,RoadmapMilestones[[#This Row],[_Task]]))=0,"",INDEX(tsk_PlanFinish,RoadmapMilestones[[#This Row],[_Task]])))</f>
        <v/>
      </c>
      <c r="F31" s="46" t="str">
        <f aca="false">IF(RoadmapMilestones[[#This Row],[_Task]]="","",IF(N(INDEX(tsk_Deadline,RoadmapMilestones[[#This Row],[_Task]]))=0,"",INDEX(tsk_Deadline,RoadmapMilestones[[#This Row],[_Task]])))</f>
        <v/>
      </c>
      <c r="G31" s="46" t="str">
        <f aca="false">IF(RoadmapMilestones[[#This Row],[_Task]]="","",IF(N(INDEX(tsk_FcFinish,RoadmapMilestones[[#This Row],[_Task]]))=0,"",INDEX(tsk_FcFinish,RoadmapMilestones[[#This Row],[_Task]])))</f>
        <v/>
      </c>
      <c r="H31" s="19" t="str">
        <f aca="false">IF(RoadmapMilestones[[#This Row],[_Task]]="","",INDEX(tsk_DeadlineCheck,RoadmapMilestones[[#This Row],[_Task]])&amp;"")</f>
        <v/>
      </c>
      <c r="I31" s="19" t="str">
        <f aca="false">IF(RoadmapMilestones[[#This Row],[_Task]]="","",INDEX(tsk_Status,RoadmapMilestones[[#This Row],[_Task]])&amp;"")</f>
        <v/>
      </c>
      <c r="J31" s="48" t="str">
        <f aca="false">IF(RoadmapMilestones[[#This Row],[_Task]]="","",INDEX(tsk_Variance,RoadmapMilestones[[#This Row],[_Task]]))</f>
        <v/>
      </c>
    </row>
    <row r="32" customFormat="false" ht="15" hidden="false" customHeight="false" outlineLevel="0" collapsed="false">
      <c r="B32" s="45" t="str">
        <f aca="false">IFERROR(MATCH(SMALL(tsk_MilestoneOrder,ROW()-ROW(RoadmapMilestones[[#Headers],[_Task]])),tsk_MilestoneOrder,0),"")</f>
        <v/>
      </c>
      <c r="C32" s="19" t="str">
        <f aca="false">IF(RoadmapMilestones[[#This Row],[_Task]]="","",INDEX(tsk_WBS,RoadmapMilestones[[#This Row],[_Task]])&amp;"")</f>
        <v/>
      </c>
      <c r="D32" s="19" t="str">
        <f aca="false">IF(RoadmapMilestones[[#This Row],[_Task]]="","",INDEX(tsk_Name,RoadmapMilestones[[#This Row],[_Task]])&amp;"")</f>
        <v/>
      </c>
      <c r="E32" s="46" t="str">
        <f aca="false">IF(RoadmapMilestones[[#This Row],[_Task]]="","",IF(N(INDEX(tsk_PlanFinish,RoadmapMilestones[[#This Row],[_Task]]))=0,"",INDEX(tsk_PlanFinish,RoadmapMilestones[[#This Row],[_Task]])))</f>
        <v/>
      </c>
      <c r="F32" s="46" t="str">
        <f aca="false">IF(RoadmapMilestones[[#This Row],[_Task]]="","",IF(N(INDEX(tsk_Deadline,RoadmapMilestones[[#This Row],[_Task]]))=0,"",INDEX(tsk_Deadline,RoadmapMilestones[[#This Row],[_Task]])))</f>
        <v/>
      </c>
      <c r="G32" s="46" t="str">
        <f aca="false">IF(RoadmapMilestones[[#This Row],[_Task]]="","",IF(N(INDEX(tsk_FcFinish,RoadmapMilestones[[#This Row],[_Task]]))=0,"",INDEX(tsk_FcFinish,RoadmapMilestones[[#This Row],[_Task]])))</f>
        <v/>
      </c>
      <c r="H32" s="19" t="str">
        <f aca="false">IF(RoadmapMilestones[[#This Row],[_Task]]="","",INDEX(tsk_DeadlineCheck,RoadmapMilestones[[#This Row],[_Task]])&amp;"")</f>
        <v/>
      </c>
      <c r="I32" s="19" t="str">
        <f aca="false">IF(RoadmapMilestones[[#This Row],[_Task]]="","",INDEX(tsk_Status,RoadmapMilestones[[#This Row],[_Task]])&amp;"")</f>
        <v/>
      </c>
      <c r="J32" s="48" t="str">
        <f aca="false">IF(RoadmapMilestones[[#This Row],[_Task]]="","",INDEX(tsk_Variance,RoadmapMilestones[[#This Row],[_Task]]))</f>
        <v/>
      </c>
    </row>
    <row r="33" customFormat="false" ht="15" hidden="false" customHeight="false" outlineLevel="0" collapsed="false">
      <c r="B33" s="45" t="str">
        <f aca="false">IFERROR(MATCH(SMALL(tsk_MilestoneOrder,ROW()-ROW(RoadmapMilestones[[#Headers],[_Task]])),tsk_MilestoneOrder,0),"")</f>
        <v/>
      </c>
      <c r="C33" s="19" t="str">
        <f aca="false">IF(RoadmapMilestones[[#This Row],[_Task]]="","",INDEX(tsk_WBS,RoadmapMilestones[[#This Row],[_Task]])&amp;"")</f>
        <v/>
      </c>
      <c r="D33" s="19" t="str">
        <f aca="false">IF(RoadmapMilestones[[#This Row],[_Task]]="","",INDEX(tsk_Name,RoadmapMilestones[[#This Row],[_Task]])&amp;"")</f>
        <v/>
      </c>
      <c r="E33" s="46" t="str">
        <f aca="false">IF(RoadmapMilestones[[#This Row],[_Task]]="","",IF(N(INDEX(tsk_PlanFinish,RoadmapMilestones[[#This Row],[_Task]]))=0,"",INDEX(tsk_PlanFinish,RoadmapMilestones[[#This Row],[_Task]])))</f>
        <v/>
      </c>
      <c r="F33" s="46" t="str">
        <f aca="false">IF(RoadmapMilestones[[#This Row],[_Task]]="","",IF(N(INDEX(tsk_Deadline,RoadmapMilestones[[#This Row],[_Task]]))=0,"",INDEX(tsk_Deadline,RoadmapMilestones[[#This Row],[_Task]])))</f>
        <v/>
      </c>
      <c r="G33" s="46" t="str">
        <f aca="false">IF(RoadmapMilestones[[#This Row],[_Task]]="","",IF(N(INDEX(tsk_FcFinish,RoadmapMilestones[[#This Row],[_Task]]))=0,"",INDEX(tsk_FcFinish,RoadmapMilestones[[#This Row],[_Task]])))</f>
        <v/>
      </c>
      <c r="H33" s="19" t="str">
        <f aca="false">IF(RoadmapMilestones[[#This Row],[_Task]]="","",INDEX(tsk_DeadlineCheck,RoadmapMilestones[[#This Row],[_Task]])&amp;"")</f>
        <v/>
      </c>
      <c r="I33" s="19" t="str">
        <f aca="false">IF(RoadmapMilestones[[#This Row],[_Task]]="","",INDEX(tsk_Status,RoadmapMilestones[[#This Row],[_Task]])&amp;"")</f>
        <v/>
      </c>
      <c r="J33" s="48" t="str">
        <f aca="false">IF(RoadmapMilestones[[#This Row],[_Task]]="","",INDEX(tsk_Variance,RoadmapMilestones[[#This Row],[_Task]]))</f>
        <v/>
      </c>
    </row>
    <row r="34" customFormat="false" ht="15" hidden="false" customHeight="false" outlineLevel="0" collapsed="false">
      <c r="B34" s="45" t="str">
        <f aca="false">IFERROR(MATCH(SMALL(tsk_MilestoneOrder,ROW()-ROW(RoadmapMilestones[[#Headers],[_Task]])),tsk_MilestoneOrder,0),"")</f>
        <v/>
      </c>
      <c r="C34" s="19" t="str">
        <f aca="false">IF(RoadmapMilestones[[#This Row],[_Task]]="","",INDEX(tsk_WBS,RoadmapMilestones[[#This Row],[_Task]])&amp;"")</f>
        <v/>
      </c>
      <c r="D34" s="19" t="str">
        <f aca="false">IF(RoadmapMilestones[[#This Row],[_Task]]="","",INDEX(tsk_Name,RoadmapMilestones[[#This Row],[_Task]])&amp;"")</f>
        <v/>
      </c>
      <c r="E34" s="46" t="str">
        <f aca="false">IF(RoadmapMilestones[[#This Row],[_Task]]="","",IF(N(INDEX(tsk_PlanFinish,RoadmapMilestones[[#This Row],[_Task]]))=0,"",INDEX(tsk_PlanFinish,RoadmapMilestones[[#This Row],[_Task]])))</f>
        <v/>
      </c>
      <c r="F34" s="46" t="str">
        <f aca="false">IF(RoadmapMilestones[[#This Row],[_Task]]="","",IF(N(INDEX(tsk_Deadline,RoadmapMilestones[[#This Row],[_Task]]))=0,"",INDEX(tsk_Deadline,RoadmapMilestones[[#This Row],[_Task]])))</f>
        <v/>
      </c>
      <c r="G34" s="46" t="str">
        <f aca="false">IF(RoadmapMilestones[[#This Row],[_Task]]="","",IF(N(INDEX(tsk_FcFinish,RoadmapMilestones[[#This Row],[_Task]]))=0,"",INDEX(tsk_FcFinish,RoadmapMilestones[[#This Row],[_Task]])))</f>
        <v/>
      </c>
      <c r="H34" s="19" t="str">
        <f aca="false">IF(RoadmapMilestones[[#This Row],[_Task]]="","",INDEX(tsk_DeadlineCheck,RoadmapMilestones[[#This Row],[_Task]])&amp;"")</f>
        <v/>
      </c>
      <c r="I34" s="19" t="str">
        <f aca="false">IF(RoadmapMilestones[[#This Row],[_Task]]="","",INDEX(tsk_Status,RoadmapMilestones[[#This Row],[_Task]])&amp;"")</f>
        <v/>
      </c>
      <c r="J34" s="48" t="str">
        <f aca="false">IF(RoadmapMilestones[[#This Row],[_Task]]="","",INDEX(tsk_Variance,RoadmapMilestones[[#This Row],[_Task]]))</f>
        <v/>
      </c>
    </row>
    <row r="35" customFormat="false" ht="15" hidden="false" customHeight="false" outlineLevel="0" collapsed="false">
      <c r="B35" s="45" t="str">
        <f aca="false">IFERROR(MATCH(SMALL(tsk_MilestoneOrder,ROW()-ROW(RoadmapMilestones[[#Headers],[_Task]])),tsk_MilestoneOrder,0),"")</f>
        <v/>
      </c>
      <c r="C35" s="19" t="str">
        <f aca="false">IF(RoadmapMilestones[[#This Row],[_Task]]="","",INDEX(tsk_WBS,RoadmapMilestones[[#This Row],[_Task]])&amp;"")</f>
        <v/>
      </c>
      <c r="D35" s="19" t="str">
        <f aca="false">IF(RoadmapMilestones[[#This Row],[_Task]]="","",INDEX(tsk_Name,RoadmapMilestones[[#This Row],[_Task]])&amp;"")</f>
        <v/>
      </c>
      <c r="E35" s="46" t="str">
        <f aca="false">IF(RoadmapMilestones[[#This Row],[_Task]]="","",IF(N(INDEX(tsk_PlanFinish,RoadmapMilestones[[#This Row],[_Task]]))=0,"",INDEX(tsk_PlanFinish,RoadmapMilestones[[#This Row],[_Task]])))</f>
        <v/>
      </c>
      <c r="F35" s="46" t="str">
        <f aca="false">IF(RoadmapMilestones[[#This Row],[_Task]]="","",IF(N(INDEX(tsk_Deadline,RoadmapMilestones[[#This Row],[_Task]]))=0,"",INDEX(tsk_Deadline,RoadmapMilestones[[#This Row],[_Task]])))</f>
        <v/>
      </c>
      <c r="G35" s="46" t="str">
        <f aca="false">IF(RoadmapMilestones[[#This Row],[_Task]]="","",IF(N(INDEX(tsk_FcFinish,RoadmapMilestones[[#This Row],[_Task]]))=0,"",INDEX(tsk_FcFinish,RoadmapMilestones[[#This Row],[_Task]])))</f>
        <v/>
      </c>
      <c r="H35" s="19" t="str">
        <f aca="false">IF(RoadmapMilestones[[#This Row],[_Task]]="","",INDEX(tsk_DeadlineCheck,RoadmapMilestones[[#This Row],[_Task]])&amp;"")</f>
        <v/>
      </c>
      <c r="I35" s="19" t="str">
        <f aca="false">IF(RoadmapMilestones[[#This Row],[_Task]]="","",INDEX(tsk_Status,RoadmapMilestones[[#This Row],[_Task]])&amp;"")</f>
        <v/>
      </c>
      <c r="J35" s="48" t="str">
        <f aca="false">IF(RoadmapMilestones[[#This Row],[_Task]]="","",INDEX(tsk_Variance,RoadmapMilestones[[#This Row],[_Task]]))</f>
        <v/>
      </c>
    </row>
    <row r="37" customFormat="false" ht="15" hidden="false" customHeight="false" outlineLevel="0" collapsed="false">
      <c r="C37" s="49"/>
      <c r="D37" s="50" t="s">
        <v>167</v>
      </c>
      <c r="E37" s="51"/>
      <c r="F37" s="50" t="s">
        <v>169</v>
      </c>
      <c r="G37" s="52"/>
      <c r="H37" s="50" t="s">
        <v>170</v>
      </c>
      <c r="I37" s="53"/>
      <c r="J37" s="50" t="s">
        <v>171</v>
      </c>
    </row>
    <row r="38" customFormat="false" ht="15" hidden="false" customHeight="false" outlineLevel="0" collapsed="false">
      <c r="C38" s="54"/>
      <c r="D38" s="50" t="s">
        <v>164</v>
      </c>
      <c r="E38" s="55"/>
      <c r="F38" s="50" t="s">
        <v>172</v>
      </c>
      <c r="G38" s="56"/>
      <c r="H38" s="50" t="s">
        <v>173</v>
      </c>
    </row>
    <row r="39" customFormat="false" ht="15" hidden="false" customHeight="false" outlineLevel="0" collapsed="false">
      <c r="C39" s="2" t="s">
        <v>174</v>
      </c>
    </row>
  </sheetData>
  <conditionalFormatting sqref="L8:AC17">
    <cfRule type="expression" priority="2" aboveAverage="0" equalAverage="0" bottom="0" percent="0" rank="0" text="" dxfId="25">
      <formula>AND(AND(ISNUMBER($G8),ISNUMBER($H8),L$5&lt;=$H8,EDATE(L$5,1)&gt;$G8),N($I8)&gt;0,L$5&lt;$G8+($H8-$G8+1)*N($I8))</formula>
    </cfRule>
    <cfRule type="expression" priority="3" aboveAverage="0" equalAverage="0" bottom="0" percent="0" rank="0" text="" dxfId="26">
      <formula>AND(AND(ISNUMBER($G8),ISNUMBER($H8),L$5&lt;=$H8,EDATE(L$5,1)&gt;$G8),N($J8)&gt;0)</formula>
    </cfRule>
    <cfRule type="expression" priority="4" aboveAverage="0" equalAverage="0" bottom="0" percent="0" rank="0" text="" dxfId="27">
      <formula>AND(ISNUMBER($G8),ISNUMBER($H8),L$5&lt;=$H8,EDATE(L$5,1)&gt;$G8)</formula>
    </cfRule>
    <cfRule type="expression" priority="5" aboveAverage="0" equalAverage="0" bottom="0" percent="0" rank="0" text="" dxfId="28">
      <formula>AND(ISNUMBER($E8),ISNUMBER($F8),L$5&lt;=$F8,EDATE(L$5,1)&gt;$E8)</formula>
    </cfRule>
    <cfRule type="expression" priority="6" aboveAverage="0" equalAverage="0" bottom="0" percent="0" rank="0" text="" dxfId="29">
      <formula>AND(StatusDate&gt;=L$5,StatusDate&lt;EDATE(L$5,1))</formula>
    </cfRule>
  </conditionalFormatting>
  <conditionalFormatting sqref="L21:AC35">
    <cfRule type="expression" priority="7" aboveAverage="0" equalAverage="0" bottom="0" percent="0" rank="0" text="" dxfId="30">
      <formula>AND(AND(ISNUMBER($G21),$G21&gt;=L$5,$G21&lt;EDATE(L$5,1)),LEFT($H21,4)="Late")</formula>
    </cfRule>
    <cfRule type="expression" priority="8" aboveAverage="0" equalAverage="0" bottom="0" percent="0" rank="0" text="" dxfId="31">
      <formula>AND(ISNUMBER($G21),$G21&gt;=L$5,$G21&lt;EDATE(L$5,1))</formula>
    </cfRule>
    <cfRule type="expression" priority="9" aboveAverage="0" equalAverage="0" bottom="0" percent="0" rank="0" text="" dxfId="28">
      <formula>AND(ISNUMBER($E21),$E21&gt;=L$5,$E21&lt;EDATE(L$5,1))</formula>
    </cfRule>
    <cfRule type="expression" priority="10" aboveAverage="0" equalAverage="0" bottom="0" percent="0" rank="0" text="" dxfId="32">
      <formula>AND(ISNUMBER($F21),$F21&gt;=L$5,$F21&lt;EDATE(L$5,1))</formula>
    </cfRule>
    <cfRule type="expression" priority="11" aboveAverage="0" equalAverage="0" bottom="0" percent="0" rank="0" text="" dxfId="29">
      <formula>AND(StatusDate&gt;=L$5,StatusDate&lt;EDATE(L$5,1))</formula>
    </cfRule>
  </conditionalFormatting>
  <conditionalFormatting sqref="H21:H35">
    <cfRule type="expression" priority="12" aboveAverage="0" equalAverage="0" bottom="0" percent="0" rank="0" text="" dxfId="33">
      <formula>LEFT($H21,4)="Late"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C1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 collapsed="false" customWidth="true" hidden="false" outlineLevel="0" max="6" min="6" style="0" width="18"/>
    <col collapsed="false" customWidth="true" hidden="true" outlineLevel="1" max="7" min="7" style="0" width="16"/>
    <col collapsed="false" customWidth="true" hidden="true" outlineLevel="1" max="8" min="8" style="0" width="13"/>
    <col collapsed="false" customWidth="true" hidden="true" outlineLevel="1" max="9" min="9" style="0" width="16"/>
    <col collapsed="false" customWidth="true" hidden="true" outlineLevel="1" max="10" min="10" style="0" width="13"/>
    <col collapsed="false" customWidth="true" hidden="true" outlineLevel="1" max="11" min="11" style="0" width="16"/>
    <col collapsed="false" customWidth="true" hidden="true" outlineLevel="1" max="12" min="12" style="0" width="13"/>
    <col collapsed="false" customWidth="true" hidden="true" outlineLevel="1" max="13" min="13" style="0" width="16"/>
    <col collapsed="false" customWidth="true" hidden="true" outlineLevel="1" max="14" min="14" style="0" width="13"/>
    <col collapsed="false" customWidth="true" hidden="true" outlineLevel="1" max="15" min="15" style="0" width="16"/>
    <col collapsed="false" customWidth="true" hidden="true" outlineLevel="1" max="16" min="16" style="0" width="13"/>
    <col collapsed="false" customWidth="true" hidden="true" outlineLevel="1" max="17" min="17" style="0" width="16"/>
    <col collapsed="false" customWidth="true" hidden="true" outlineLevel="1" max="18" min="18" style="0" width="13"/>
    <col collapsed="false" customWidth="true" hidden="true" outlineLevel="1" max="19" min="19" style="0" width="16"/>
    <col collapsed="false" customWidth="true" hidden="true" outlineLevel="1" max="20" min="20" style="0" width="13"/>
    <col collapsed="false" customWidth="true" hidden="true" outlineLevel="1" max="21" min="21" style="0" width="16"/>
    <col collapsed="false" customWidth="true" hidden="true" outlineLevel="1" max="22" min="22" style="0" width="13"/>
    <col collapsed="false" customWidth="true" hidden="true" outlineLevel="1" max="23" min="23" style="0" width="16"/>
    <col collapsed="false" customWidth="true" hidden="true" outlineLevel="1" max="24" min="24" style="0" width="13"/>
    <col collapsed="false" customWidth="true" hidden="true" outlineLevel="1" max="25" min="25" style="0" width="16"/>
    <col collapsed="false" customWidth="true" hidden="true" outlineLevel="1" max="26" min="26" style="0" width="13"/>
    <col collapsed="false" customWidth="true" hidden="true" outlineLevel="1" max="27" min="27" style="0" width="16"/>
    <col collapsed="false" customWidth="true" hidden="true" outlineLevel="1" max="28" min="28" style="0" width="13"/>
    <col collapsed="false" customWidth="true" hidden="true" outlineLevel="1" max="29" min="29" style="0" width="16"/>
    <col collapsed="false" customWidth="true" hidden="true" outlineLevel="1" max="30" min="30" style="0" width="13"/>
  </cols>
  <sheetData>
    <row r="1" customFormat="false" ht="19.7" hidden="false" customHeight="false" outlineLevel="0" collapsed="false">
      <c r="A1" s="15" t="s">
        <v>175</v>
      </c>
    </row>
    <row r="2" customFormat="false" ht="15" hidden="false" customHeight="false" outlineLevel="0" collapsed="false">
      <c r="A2" s="2" t="s">
        <v>176</v>
      </c>
    </row>
    <row r="4" customFormat="false" ht="23.85" hidden="false" customHeight="false" outlineLevel="0" collapsed="false">
      <c r="B4" s="16" t="s">
        <v>177</v>
      </c>
      <c r="C4" s="16" t="s">
        <v>105</v>
      </c>
      <c r="D4" s="16" t="s">
        <v>178</v>
      </c>
      <c r="E4" s="16" t="s">
        <v>148</v>
      </c>
      <c r="F4" s="26" t="s">
        <v>179</v>
      </c>
      <c r="G4" s="17" t="s">
        <v>180</v>
      </c>
      <c r="I4" s="17" t="s">
        <v>181</v>
      </c>
      <c r="K4" s="17" t="s">
        <v>182</v>
      </c>
      <c r="M4" s="17" t="s">
        <v>183</v>
      </c>
      <c r="O4" s="17" t="s">
        <v>184</v>
      </c>
      <c r="Q4" s="17" t="s">
        <v>185</v>
      </c>
      <c r="S4" s="17" t="s">
        <v>186</v>
      </c>
      <c r="U4" s="17" t="s">
        <v>108</v>
      </c>
      <c r="W4" s="17" t="s">
        <v>187</v>
      </c>
      <c r="Y4" s="17" t="s">
        <v>188</v>
      </c>
      <c r="AA4" s="17" t="s">
        <v>189</v>
      </c>
      <c r="AC4" s="17" t="s">
        <v>190</v>
      </c>
    </row>
    <row r="5" customFormat="false" ht="15" hidden="false" customHeight="false" outlineLevel="0" collapsed="false">
      <c r="B5" s="57" t="s">
        <v>191</v>
      </c>
      <c r="C5" s="58" t="n">
        <f aca="false">MAX(1,N(ProjectStartDate))</f>
        <v>46272</v>
      </c>
      <c r="D5" s="59" t="s">
        <v>192</v>
      </c>
      <c r="E5" s="2" t="s">
        <v>193</v>
      </c>
      <c r="G5" s="22" t="s">
        <v>194</v>
      </c>
      <c r="I5" s="22" t="s">
        <v>195</v>
      </c>
      <c r="K5" s="22" t="s">
        <v>9</v>
      </c>
      <c r="M5" s="22" t="s">
        <v>196</v>
      </c>
      <c r="O5" s="22" t="s">
        <v>197</v>
      </c>
      <c r="Q5" s="22" t="s">
        <v>198</v>
      </c>
      <c r="S5" s="22" t="n">
        <v>1</v>
      </c>
      <c r="U5" s="22" t="s">
        <v>199</v>
      </c>
      <c r="W5" s="22" t="s">
        <v>200</v>
      </c>
      <c r="Y5" s="22" t="s">
        <v>201</v>
      </c>
      <c r="AA5" s="22" t="s">
        <v>202</v>
      </c>
      <c r="AC5" s="22" t="s">
        <v>203</v>
      </c>
    </row>
    <row r="6" customFormat="false" ht="15" hidden="false" customHeight="false" outlineLevel="0" collapsed="false">
      <c r="B6" s="57" t="s">
        <v>204</v>
      </c>
      <c r="C6" s="58" t="n">
        <f aca="false">IF(N(StatusDateInput)&gt;0,StatusDateInput,ProjectStart)</f>
        <v>46320</v>
      </c>
      <c r="D6" s="59" t="s">
        <v>205</v>
      </c>
      <c r="E6" s="2" t="s">
        <v>206</v>
      </c>
      <c r="G6" s="22" t="s">
        <v>207</v>
      </c>
      <c r="I6" s="22" t="s">
        <v>208</v>
      </c>
      <c r="K6" s="22" t="s">
        <v>209</v>
      </c>
      <c r="M6" s="22" t="s">
        <v>210</v>
      </c>
      <c r="O6" s="22" t="s">
        <v>211</v>
      </c>
      <c r="Q6" s="22" t="s">
        <v>212</v>
      </c>
      <c r="S6" s="22" t="n">
        <v>7</v>
      </c>
      <c r="U6" s="22" t="s">
        <v>213</v>
      </c>
      <c r="W6" s="22" t="s">
        <v>214</v>
      </c>
      <c r="Y6" s="22" t="s">
        <v>128</v>
      </c>
      <c r="AA6" s="22" t="s">
        <v>215</v>
      </c>
      <c r="AC6" s="22" t="s">
        <v>216</v>
      </c>
    </row>
    <row r="7" customFormat="false" ht="15" hidden="false" customHeight="false" outlineLevel="0" collapsed="false">
      <c r="B7" s="57" t="s">
        <v>217</v>
      </c>
      <c r="C7" s="58" t="n">
        <f aca="false">WORKDAY.INTL(StatusDate-1,1,WorkWeek,Holidays)</f>
        <v>46321</v>
      </c>
      <c r="D7" s="59" t="s">
        <v>218</v>
      </c>
      <c r="E7" s="2"/>
      <c r="G7" s="22" t="s">
        <v>219</v>
      </c>
      <c r="K7" s="22" t="s">
        <v>220</v>
      </c>
      <c r="M7" s="22" t="s">
        <v>221</v>
      </c>
      <c r="Q7" s="22" t="s">
        <v>222</v>
      </c>
      <c r="S7" s="22" t="n">
        <v>30</v>
      </c>
      <c r="U7" s="22" t="s">
        <v>223</v>
      </c>
      <c r="W7" s="22" t="s">
        <v>224</v>
      </c>
      <c r="Y7" s="22" t="s">
        <v>225</v>
      </c>
      <c r="AA7" s="22" t="s">
        <v>226</v>
      </c>
      <c r="AC7" s="22" t="s">
        <v>215</v>
      </c>
    </row>
    <row r="8" customFormat="false" ht="15" hidden="false" customHeight="false" outlineLevel="0" collapsed="false">
      <c r="B8" s="57" t="s">
        <v>227</v>
      </c>
      <c r="C8" s="6" t="s">
        <v>197</v>
      </c>
      <c r="D8" s="59" t="s">
        <v>228</v>
      </c>
      <c r="E8" s="2" t="s">
        <v>229</v>
      </c>
      <c r="G8" s="22" t="s">
        <v>230</v>
      </c>
      <c r="K8" s="22" t="s">
        <v>231</v>
      </c>
      <c r="M8" s="22" t="s">
        <v>232</v>
      </c>
      <c r="S8" s="22" t="n">
        <v>91</v>
      </c>
      <c r="W8" s="22" t="s">
        <v>233</v>
      </c>
      <c r="AA8" s="22" t="s">
        <v>234</v>
      </c>
      <c r="AC8" s="22" t="s">
        <v>226</v>
      </c>
    </row>
    <row r="9" customFormat="false" ht="15" hidden="false" customHeight="false" outlineLevel="0" collapsed="false">
      <c r="B9" s="57" t="s">
        <v>235</v>
      </c>
      <c r="C9" s="60" t="n">
        <v>1</v>
      </c>
      <c r="D9" s="59" t="s">
        <v>236</v>
      </c>
      <c r="E9" s="2" t="s">
        <v>237</v>
      </c>
      <c r="M9" s="22" t="s">
        <v>238</v>
      </c>
      <c r="W9" s="22" t="s">
        <v>239</v>
      </c>
      <c r="AC9" s="22" t="s">
        <v>240</v>
      </c>
    </row>
    <row r="10" customFormat="false" ht="15" hidden="false" customHeight="false" outlineLevel="0" collapsed="false">
      <c r="B10" s="57" t="s">
        <v>241</v>
      </c>
      <c r="C10" s="6" t="s">
        <v>197</v>
      </c>
      <c r="D10" s="59" t="s">
        <v>242</v>
      </c>
      <c r="E10" s="2" t="s">
        <v>243</v>
      </c>
      <c r="M10" s="22" t="s">
        <v>244</v>
      </c>
      <c r="W10" s="22" t="s">
        <v>245</v>
      </c>
    </row>
    <row r="11" customFormat="false" ht="15" hidden="false" customHeight="false" outlineLevel="0" collapsed="false">
      <c r="B11" s="57" t="s">
        <v>246</v>
      </c>
      <c r="C11" s="6" t="s">
        <v>197</v>
      </c>
      <c r="D11" s="59" t="s">
        <v>247</v>
      </c>
      <c r="E11" s="2"/>
      <c r="M11" s="22" t="s">
        <v>248</v>
      </c>
    </row>
    <row r="12" customFormat="false" ht="15" hidden="false" customHeight="false" outlineLevel="0" collapsed="false">
      <c r="B12" s="57" t="s">
        <v>249</v>
      </c>
      <c r="C12" s="6" t="s">
        <v>197</v>
      </c>
      <c r="D12" s="59" t="s">
        <v>250</v>
      </c>
      <c r="E12" s="2"/>
      <c r="M12" s="22" t="s">
        <v>251</v>
      </c>
    </row>
    <row r="13" customFormat="false" ht="15" hidden="false" customHeight="false" outlineLevel="0" collapsed="false">
      <c r="B13" s="57" t="s">
        <v>252</v>
      </c>
      <c r="C13" s="6" t="s">
        <v>197</v>
      </c>
      <c r="D13" s="59" t="s">
        <v>253</v>
      </c>
      <c r="E13" s="2"/>
    </row>
    <row r="14" customFormat="false" ht="15" hidden="false" customHeight="false" outlineLevel="0" collapsed="false">
      <c r="B14" s="57" t="s">
        <v>254</v>
      </c>
      <c r="C14" s="6" t="s">
        <v>197</v>
      </c>
      <c r="D14" s="59" t="s">
        <v>255</v>
      </c>
      <c r="E14" s="2"/>
      <c r="G14" s="2" t="s">
        <v>256</v>
      </c>
    </row>
    <row r="15" customFormat="false" ht="15" hidden="false" customHeight="false" outlineLevel="0" collapsed="false">
      <c r="B15" s="57" t="s">
        <v>257</v>
      </c>
      <c r="C15" s="6" t="s">
        <v>211</v>
      </c>
      <c r="D15" s="59" t="s">
        <v>258</v>
      </c>
      <c r="E15" s="2"/>
    </row>
    <row r="16" customFormat="false" ht="15" hidden="false" customHeight="false" outlineLevel="0" collapsed="false">
      <c r="B16" s="57" t="s">
        <v>259</v>
      </c>
      <c r="C16" s="6" t="s">
        <v>211</v>
      </c>
      <c r="D16" s="59" t="s">
        <v>260</v>
      </c>
      <c r="E16" s="2"/>
    </row>
    <row r="17" customFormat="false" ht="15" hidden="false" customHeight="false" outlineLevel="0" collapsed="false">
      <c r="B17" s="57" t="s">
        <v>261</v>
      </c>
      <c r="C17" s="61" t="str">
        <f aca="false">IF(WorkingWeek="Mon-Fri","0000011",IF(WorkingWeek="Sun-Thu","0000110",IF(WorkingWeek="Mon-Sat","0000001",IF(WorkMon="Yes","0","1")&amp;IF(WorkTue="Yes","0","1")&amp;IF(WorkWed="Yes","0","1")&amp;IF(WorkThu="Yes","0","1")&amp;IF(WorkFri="Yes","0","1")&amp;IF(WorkSat="Yes","0","1")&amp;IF(WorkSun="Yes","0","1"))))</f>
        <v>0000011</v>
      </c>
      <c r="D17" s="59" t="s">
        <v>262</v>
      </c>
      <c r="E17" s="2" t="s">
        <v>263</v>
      </c>
    </row>
    <row r="18" customFormat="false" ht="15" hidden="false" customHeight="false" outlineLevel="0" collapsed="false">
      <c r="B18" s="57" t="s">
        <v>264</v>
      </c>
      <c r="C18" s="7" t="n">
        <f aca="false">MAX(ProjectStart,StatusDate-14)</f>
        <v>46306</v>
      </c>
      <c r="D18" s="59" t="s">
        <v>265</v>
      </c>
      <c r="E18" s="2" t="s">
        <v>266</v>
      </c>
    </row>
    <row r="19" customFormat="false" ht="15" hidden="false" customHeight="false" outlineLevel="0" collapsed="false">
      <c r="B19" s="57" t="s">
        <v>267</v>
      </c>
      <c r="C19" s="7" t="n">
        <f aca="false">ViewFrom-WEEKDAY(ViewFrom,3)</f>
        <v>46300</v>
      </c>
      <c r="D19" s="59" t="s">
        <v>268</v>
      </c>
      <c r="E19" s="2" t="s">
        <v>269</v>
      </c>
    </row>
    <row r="20" customFormat="false" ht="15" hidden="false" customHeight="false" outlineLevel="0" collapsed="false">
      <c r="B20" s="57" t="s">
        <v>270</v>
      </c>
      <c r="C20" s="62" t="n">
        <v>1</v>
      </c>
      <c r="D20" s="59" t="s">
        <v>271</v>
      </c>
      <c r="E20" s="2" t="s">
        <v>272</v>
      </c>
    </row>
    <row r="21" customFormat="false" ht="15" hidden="false" customHeight="false" outlineLevel="0" collapsed="false">
      <c r="B21" s="57" t="s">
        <v>273</v>
      </c>
      <c r="C21" s="62" t="n">
        <v>9</v>
      </c>
      <c r="D21" s="59" t="s">
        <v>274</v>
      </c>
      <c r="E21" s="2" t="s">
        <v>275</v>
      </c>
    </row>
    <row r="22" customFormat="false" ht="15" hidden="false" customHeight="false" outlineLevel="0" collapsed="false">
      <c r="B22" s="57" t="s">
        <v>276</v>
      </c>
      <c r="C22" s="63" t="n">
        <f aca="false">DATE(YEAR(ProjectStart),MONTH(ProjectStart),1)</f>
        <v>46266</v>
      </c>
      <c r="D22" s="59" t="s">
        <v>277</v>
      </c>
      <c r="E22" s="2" t="s">
        <v>278</v>
      </c>
    </row>
    <row r="23" customFormat="false" ht="15" hidden="false" customHeight="false" outlineLevel="0" collapsed="false">
      <c r="B23" s="57" t="s">
        <v>279</v>
      </c>
      <c r="C23" s="64" t="n">
        <f aca="false">MAX(tsk_People)</f>
        <v>2</v>
      </c>
      <c r="D23" s="59" t="s">
        <v>280</v>
      </c>
      <c r="E23" s="2" t="s">
        <v>281</v>
      </c>
    </row>
    <row r="24" customFormat="false" ht="15" hidden="false" customHeight="false" outlineLevel="0" collapsed="false">
      <c r="B24" s="57" t="s">
        <v>282</v>
      </c>
      <c r="C24" s="62" t="n">
        <v>0</v>
      </c>
      <c r="D24" s="59" t="s">
        <v>283</v>
      </c>
      <c r="E24" s="2" t="s">
        <v>284</v>
      </c>
    </row>
    <row r="25" customFormat="false" ht="15" hidden="false" customHeight="false" outlineLevel="0" collapsed="false">
      <c r="B25" s="57" t="s">
        <v>285</v>
      </c>
      <c r="C25" s="58" t="n">
        <f aca="false">MAX(tsk_LeafFcstFinish)</f>
        <v>46393</v>
      </c>
      <c r="D25" s="59" t="s">
        <v>286</v>
      </c>
      <c r="E25" s="2" t="s">
        <v>287</v>
      </c>
    </row>
    <row r="26" customFormat="false" ht="15" hidden="false" customHeight="false" outlineLevel="0" collapsed="false">
      <c r="B26" s="57" t="s">
        <v>288</v>
      </c>
      <c r="C26" s="58" t="n">
        <f aca="false">MAX(tsk_PlanFinish)</f>
        <v>46393</v>
      </c>
      <c r="D26" s="59" t="s">
        <v>289</v>
      </c>
      <c r="E26" s="2" t="s">
        <v>290</v>
      </c>
    </row>
    <row r="27" customFormat="false" ht="15" hidden="false" customHeight="false" outlineLevel="0" collapsed="false">
      <c r="B27" s="57" t="s">
        <v>291</v>
      </c>
      <c r="C27" s="65" t="n">
        <f aca="false">IF(ProjectFinish&gt;=PlannedFinish,NETWORKDAYS.INTL(PlannedFinish,ProjectFinish,WorkWeek,Holidays)-1,1-NETWORKDAYS.INTL(ProjectFinish,PlannedFinish,WorkWeek,Holidays))</f>
        <v>0</v>
      </c>
      <c r="D27" s="59" t="s">
        <v>292</v>
      </c>
      <c r="E27" s="2" t="s">
        <v>293</v>
      </c>
    </row>
    <row r="28" customFormat="false" ht="15" hidden="false" customHeight="false" outlineLevel="0" collapsed="false">
      <c r="B28" s="57" t="s">
        <v>294</v>
      </c>
      <c r="C28" s="62" t="n">
        <v>10</v>
      </c>
      <c r="D28" s="59" t="s">
        <v>295</v>
      </c>
      <c r="E28" s="2" t="s">
        <v>296</v>
      </c>
    </row>
    <row r="29" customFormat="false" ht="15" hidden="false" customHeight="false" outlineLevel="0" collapsed="false">
      <c r="B29" s="57" t="s">
        <v>297</v>
      </c>
      <c r="C29" s="58" t="n">
        <f aca="false">WORKDAY.INTL(StatusDate-1,LookaheadDays,WorkWeek,Holidays)</f>
        <v>46332</v>
      </c>
      <c r="D29" s="59" t="s">
        <v>298</v>
      </c>
      <c r="E29" s="2"/>
    </row>
    <row r="30" customFormat="false" ht="15" hidden="false" customHeight="false" outlineLevel="0" collapsed="false">
      <c r="B30" s="57" t="s">
        <v>299</v>
      </c>
      <c r="C30" s="62" t="n">
        <v>3</v>
      </c>
      <c r="D30" s="59" t="s">
        <v>300</v>
      </c>
      <c r="E30" s="2" t="s">
        <v>301</v>
      </c>
    </row>
    <row r="31" customFormat="false" ht="15" hidden="false" customHeight="false" outlineLevel="0" collapsed="false">
      <c r="B31" s="57" t="s">
        <v>302</v>
      </c>
      <c r="C31" s="62" t="n">
        <v>10</v>
      </c>
      <c r="D31" s="59" t="s">
        <v>303</v>
      </c>
      <c r="E31" s="2"/>
    </row>
    <row r="32" customFormat="false" ht="15" hidden="false" customHeight="false" outlineLevel="0" collapsed="false">
      <c r="B32" s="57" t="s">
        <v>304</v>
      </c>
      <c r="C32" s="66" t="n">
        <v>0.95</v>
      </c>
      <c r="D32" s="59" t="s">
        <v>305</v>
      </c>
      <c r="E32" s="2" t="s">
        <v>306</v>
      </c>
    </row>
    <row r="33" customFormat="false" ht="15" hidden="false" customHeight="false" outlineLevel="0" collapsed="false">
      <c r="B33" s="57" t="s">
        <v>307</v>
      </c>
      <c r="C33" s="66" t="n">
        <v>0.85</v>
      </c>
      <c r="D33" s="59" t="s">
        <v>308</v>
      </c>
      <c r="E33" s="2"/>
    </row>
    <row r="34" customFormat="false" ht="15" hidden="false" customHeight="false" outlineLevel="0" collapsed="false">
      <c r="B34" s="57" t="s">
        <v>309</v>
      </c>
      <c r="C34" s="64" t="n">
        <f aca="false">MAX(tsk_UID)+1</f>
        <v>201</v>
      </c>
      <c r="D34" s="59" t="s">
        <v>310</v>
      </c>
      <c r="E34" s="2" t="s">
        <v>311</v>
      </c>
    </row>
    <row r="36" customFormat="false" ht="15" hidden="false" customHeight="false" outlineLevel="0" collapsed="false">
      <c r="B36" s="26" t="s">
        <v>312</v>
      </c>
    </row>
    <row r="37" customFormat="false" ht="15" hidden="false" customHeight="false" outlineLevel="0" collapsed="false">
      <c r="B37" s="17" t="s">
        <v>313</v>
      </c>
      <c r="C37" s="17" t="s">
        <v>314</v>
      </c>
    </row>
    <row r="38" customFormat="false" ht="15" hidden="false" customHeight="false" outlineLevel="0" collapsed="false">
      <c r="B38" s="22" t="s">
        <v>134</v>
      </c>
      <c r="C38" s="60" t="n">
        <v>0</v>
      </c>
    </row>
    <row r="39" customFormat="false" ht="15" hidden="false" customHeight="false" outlineLevel="0" collapsed="false">
      <c r="B39" s="22" t="s">
        <v>315</v>
      </c>
      <c r="C39" s="60" t="n">
        <v>0.15</v>
      </c>
    </row>
    <row r="40" customFormat="false" ht="15" hidden="false" customHeight="false" outlineLevel="0" collapsed="false">
      <c r="B40" s="22" t="s">
        <v>316</v>
      </c>
      <c r="C40" s="60" t="n">
        <v>0.4</v>
      </c>
    </row>
    <row r="41" customFormat="false" ht="15" hidden="false" customHeight="false" outlineLevel="0" collapsed="false">
      <c r="B41" s="22" t="s">
        <v>317</v>
      </c>
      <c r="C41" s="60" t="n">
        <v>0.7</v>
      </c>
    </row>
    <row r="42" customFormat="false" ht="15" hidden="false" customHeight="false" outlineLevel="0" collapsed="false">
      <c r="B42" s="22" t="s">
        <v>318</v>
      </c>
      <c r="C42" s="60" t="n">
        <v>0.85</v>
      </c>
    </row>
    <row r="43" customFormat="false" ht="15" hidden="false" customHeight="false" outlineLevel="0" collapsed="false">
      <c r="B43" s="22" t="s">
        <v>125</v>
      </c>
      <c r="C43" s="60" t="n">
        <v>1</v>
      </c>
    </row>
    <row r="45" customFormat="false" ht="15" hidden="false" customHeight="false" outlineLevel="0" collapsed="false">
      <c r="B45" s="26" t="s">
        <v>319</v>
      </c>
    </row>
    <row r="46" customFormat="false" ht="15" hidden="false" customHeight="false" outlineLevel="0" collapsed="false">
      <c r="B46" s="17" t="s">
        <v>320</v>
      </c>
      <c r="C46" s="17" t="s">
        <v>321</v>
      </c>
    </row>
    <row r="47" customFormat="false" ht="15" hidden="false" customHeight="false" outlineLevel="0" collapsed="false">
      <c r="B47" s="7" t="n">
        <v>46380</v>
      </c>
      <c r="C47" s="22" t="s">
        <v>322</v>
      </c>
    </row>
    <row r="48" customFormat="false" ht="15" hidden="false" customHeight="false" outlineLevel="0" collapsed="false">
      <c r="B48" s="7" t="n">
        <v>46381</v>
      </c>
      <c r="C48" s="22" t="s">
        <v>323</v>
      </c>
    </row>
    <row r="49" customFormat="false" ht="15" hidden="false" customHeight="false" outlineLevel="0" collapsed="false">
      <c r="B49" s="7" t="n">
        <v>46387</v>
      </c>
      <c r="C49" s="22" t="s">
        <v>324</v>
      </c>
    </row>
    <row r="50" customFormat="false" ht="15" hidden="false" customHeight="false" outlineLevel="0" collapsed="false">
      <c r="B50" s="7" t="n">
        <v>46388</v>
      </c>
      <c r="C50" s="22" t="s">
        <v>325</v>
      </c>
    </row>
    <row r="51" customFormat="false" ht="15" hidden="false" customHeight="false" outlineLevel="0" collapsed="false">
      <c r="B51" s="7"/>
      <c r="C51" s="22"/>
    </row>
    <row r="52" customFormat="false" ht="15" hidden="false" customHeight="false" outlineLevel="0" collapsed="false">
      <c r="B52" s="7"/>
      <c r="C52" s="22"/>
    </row>
    <row r="53" customFormat="false" ht="15" hidden="false" customHeight="false" outlineLevel="0" collapsed="false">
      <c r="B53" s="7"/>
      <c r="C53" s="22"/>
    </row>
    <row r="54" customFormat="false" ht="15" hidden="false" customHeight="false" outlineLevel="0" collapsed="false">
      <c r="B54" s="7"/>
      <c r="C54" s="22"/>
    </row>
    <row r="55" customFormat="false" ht="15" hidden="false" customHeight="false" outlineLevel="0" collapsed="false">
      <c r="B55" s="7"/>
      <c r="C55" s="22"/>
    </row>
    <row r="56" customFormat="false" ht="15" hidden="false" customHeight="false" outlineLevel="0" collapsed="false">
      <c r="B56" s="7"/>
      <c r="C56" s="22"/>
    </row>
    <row r="57" customFormat="false" ht="15" hidden="false" customHeight="false" outlineLevel="0" collapsed="false">
      <c r="B57" s="7"/>
      <c r="C57" s="22"/>
    </row>
    <row r="58" customFormat="false" ht="15" hidden="false" customHeight="false" outlineLevel="0" collapsed="false">
      <c r="B58" s="7"/>
      <c r="C58" s="22"/>
    </row>
    <row r="59" customFormat="false" ht="15" hidden="false" customHeight="false" outlineLevel="0" collapsed="false">
      <c r="B59" s="7"/>
      <c r="C59" s="22"/>
    </row>
    <row r="60" customFormat="false" ht="15" hidden="false" customHeight="false" outlineLevel="0" collapsed="false">
      <c r="B60" s="7"/>
      <c r="C60" s="22"/>
    </row>
    <row r="61" customFormat="false" ht="15" hidden="false" customHeight="false" outlineLevel="0" collapsed="false">
      <c r="B61" s="7"/>
      <c r="C61" s="22"/>
    </row>
    <row r="62" customFormat="false" ht="15" hidden="false" customHeight="false" outlineLevel="0" collapsed="false">
      <c r="B62" s="7"/>
      <c r="C62" s="22"/>
    </row>
    <row r="63" customFormat="false" ht="15" hidden="false" customHeight="false" outlineLevel="0" collapsed="false">
      <c r="B63" s="7"/>
      <c r="C63" s="22"/>
    </row>
    <row r="64" customFormat="false" ht="15" hidden="false" customHeight="false" outlineLevel="0" collapsed="false">
      <c r="B64" s="7"/>
      <c r="C64" s="22"/>
    </row>
    <row r="65" customFormat="false" ht="15" hidden="false" customHeight="false" outlineLevel="0" collapsed="false">
      <c r="B65" s="7"/>
      <c r="C65" s="22"/>
    </row>
    <row r="66" customFormat="false" ht="15" hidden="false" customHeight="false" outlineLevel="0" collapsed="false">
      <c r="B66" s="7"/>
      <c r="C66" s="22"/>
    </row>
    <row r="67" customFormat="false" ht="15" hidden="false" customHeight="false" outlineLevel="0" collapsed="false">
      <c r="B67" s="7"/>
      <c r="C67" s="22"/>
    </row>
    <row r="68" customFormat="false" ht="15" hidden="false" customHeight="false" outlineLevel="0" collapsed="false">
      <c r="B68" s="7"/>
      <c r="C68" s="22"/>
    </row>
    <row r="69" customFormat="false" ht="15" hidden="false" customHeight="false" outlineLevel="0" collapsed="false">
      <c r="B69" s="7"/>
      <c r="C69" s="22"/>
    </row>
    <row r="70" customFormat="false" ht="15" hidden="false" customHeight="false" outlineLevel="0" collapsed="false">
      <c r="B70" s="7"/>
      <c r="C70" s="22"/>
    </row>
    <row r="71" customFormat="false" ht="15" hidden="false" customHeight="false" outlineLevel="0" collapsed="false">
      <c r="B71" s="7"/>
      <c r="C71" s="22"/>
    </row>
    <row r="72" customFormat="false" ht="15" hidden="false" customHeight="false" outlineLevel="0" collapsed="false">
      <c r="B72" s="7"/>
      <c r="C72" s="22"/>
    </row>
    <row r="73" customFormat="false" ht="15" hidden="false" customHeight="false" outlineLevel="0" collapsed="false">
      <c r="B73" s="7"/>
      <c r="C73" s="22"/>
    </row>
    <row r="74" customFormat="false" ht="15" hidden="false" customHeight="false" outlineLevel="0" collapsed="false">
      <c r="B74" s="7"/>
      <c r="C74" s="22"/>
    </row>
    <row r="75" customFormat="false" ht="15" hidden="false" customHeight="false" outlineLevel="0" collapsed="false">
      <c r="B75" s="7"/>
      <c r="C75" s="22"/>
    </row>
    <row r="76" customFormat="false" ht="15" hidden="false" customHeight="false" outlineLevel="0" collapsed="false">
      <c r="B76" s="7"/>
      <c r="C76" s="22"/>
    </row>
    <row r="77" customFormat="false" ht="15" hidden="false" customHeight="false" outlineLevel="0" collapsed="false">
      <c r="B77" s="7"/>
      <c r="C77" s="22"/>
    </row>
    <row r="78" customFormat="false" ht="15" hidden="false" customHeight="false" outlineLevel="0" collapsed="false">
      <c r="B78" s="7"/>
      <c r="C78" s="22"/>
    </row>
    <row r="79" customFormat="false" ht="15" hidden="false" customHeight="false" outlineLevel="0" collapsed="false">
      <c r="B79" s="7"/>
      <c r="C79" s="22"/>
    </row>
    <row r="80" customFormat="false" ht="15" hidden="false" customHeight="false" outlineLevel="0" collapsed="false">
      <c r="B80" s="7"/>
      <c r="C80" s="22"/>
    </row>
    <row r="81" customFormat="false" ht="15" hidden="false" customHeight="false" outlineLevel="0" collapsed="false">
      <c r="B81" s="7"/>
      <c r="C81" s="22"/>
    </row>
    <row r="82" customFormat="false" ht="15" hidden="false" customHeight="false" outlineLevel="0" collapsed="false">
      <c r="B82" s="7"/>
      <c r="C82" s="22"/>
    </row>
    <row r="83" customFormat="false" ht="15" hidden="false" customHeight="false" outlineLevel="0" collapsed="false">
      <c r="B83" s="7"/>
      <c r="C83" s="22"/>
    </row>
    <row r="84" customFormat="false" ht="15" hidden="false" customHeight="false" outlineLevel="0" collapsed="false">
      <c r="B84" s="7"/>
      <c r="C84" s="22"/>
    </row>
    <row r="85" customFormat="false" ht="15" hidden="false" customHeight="false" outlineLevel="0" collapsed="false">
      <c r="B85" s="7"/>
      <c r="C85" s="22"/>
    </row>
    <row r="86" customFormat="false" ht="15" hidden="false" customHeight="false" outlineLevel="0" collapsed="false">
      <c r="B86" s="7"/>
      <c r="C86" s="22"/>
    </row>
    <row r="87" customFormat="false" ht="15" hidden="false" customHeight="false" outlineLevel="0" collapsed="false">
      <c r="B87" s="7"/>
      <c r="C87" s="22"/>
    </row>
    <row r="88" customFormat="false" ht="15" hidden="false" customHeight="false" outlineLevel="0" collapsed="false">
      <c r="B88" s="7"/>
      <c r="C88" s="22"/>
    </row>
    <row r="89" customFormat="false" ht="15" hidden="false" customHeight="false" outlineLevel="0" collapsed="false">
      <c r="B89" s="7"/>
      <c r="C89" s="22"/>
    </row>
    <row r="90" customFormat="false" ht="15" hidden="false" customHeight="false" outlineLevel="0" collapsed="false">
      <c r="B90" s="7"/>
      <c r="C90" s="22"/>
    </row>
    <row r="91" customFormat="false" ht="15" hidden="false" customHeight="false" outlineLevel="0" collapsed="false">
      <c r="B91" s="7"/>
      <c r="C91" s="22"/>
    </row>
    <row r="92" customFormat="false" ht="15" hidden="false" customHeight="false" outlineLevel="0" collapsed="false">
      <c r="B92" s="7"/>
      <c r="C92" s="22"/>
    </row>
    <row r="93" customFormat="false" ht="15" hidden="false" customHeight="false" outlineLevel="0" collapsed="false">
      <c r="B93" s="7"/>
      <c r="C93" s="22"/>
    </row>
    <row r="94" customFormat="false" ht="15" hidden="false" customHeight="false" outlineLevel="0" collapsed="false">
      <c r="B94" s="7"/>
      <c r="C94" s="22"/>
    </row>
    <row r="95" customFormat="false" ht="15" hidden="false" customHeight="false" outlineLevel="0" collapsed="false">
      <c r="B95" s="7"/>
      <c r="C95" s="22"/>
    </row>
    <row r="96" customFormat="false" ht="15" hidden="false" customHeight="false" outlineLevel="0" collapsed="false">
      <c r="B96" s="7"/>
      <c r="C96" s="22"/>
    </row>
    <row r="97" customFormat="false" ht="15" hidden="false" customHeight="false" outlineLevel="0" collapsed="false">
      <c r="B97" s="7"/>
      <c r="C97" s="22"/>
    </row>
    <row r="98" customFormat="false" ht="15" hidden="false" customHeight="false" outlineLevel="0" collapsed="false">
      <c r="B98" s="7"/>
      <c r="C98" s="22"/>
    </row>
    <row r="99" customFormat="false" ht="15" hidden="false" customHeight="false" outlineLevel="0" collapsed="false">
      <c r="B99" s="7"/>
      <c r="C99" s="22"/>
    </row>
    <row r="100" customFormat="false" ht="15" hidden="false" customHeight="false" outlineLevel="0" collapsed="false">
      <c r="B100" s="7"/>
      <c r="C100" s="22"/>
    </row>
    <row r="101" customFormat="false" ht="15" hidden="false" customHeight="false" outlineLevel="0" collapsed="false">
      <c r="B101" s="7"/>
      <c r="C101" s="22"/>
    </row>
    <row r="102" customFormat="false" ht="15" hidden="false" customHeight="false" outlineLevel="0" collapsed="false">
      <c r="B102" s="7"/>
      <c r="C102" s="22"/>
    </row>
    <row r="103" customFormat="false" ht="15" hidden="false" customHeight="false" outlineLevel="0" collapsed="false">
      <c r="B103" s="7"/>
      <c r="C103" s="22"/>
    </row>
    <row r="104" customFormat="false" ht="15" hidden="false" customHeight="false" outlineLevel="0" collapsed="false">
      <c r="B104" s="7"/>
      <c r="C104" s="22"/>
    </row>
    <row r="105" customFormat="false" ht="15" hidden="false" customHeight="false" outlineLevel="0" collapsed="false">
      <c r="B105" s="7"/>
      <c r="C105" s="22"/>
    </row>
    <row r="106" customFormat="false" ht="15" hidden="false" customHeight="false" outlineLevel="0" collapsed="false">
      <c r="B106" s="7"/>
      <c r="C106" s="22"/>
    </row>
    <row r="107" customFormat="false" ht="15" hidden="false" customHeight="false" outlineLevel="0" collapsed="false">
      <c r="B107" s="7"/>
      <c r="C107" s="22"/>
    </row>
    <row r="108" customFormat="false" ht="15" hidden="false" customHeight="false" outlineLevel="0" collapsed="false">
      <c r="B108" s="7"/>
      <c r="C108" s="22"/>
    </row>
    <row r="109" customFormat="false" ht="15" hidden="false" customHeight="false" outlineLevel="0" collapsed="false">
      <c r="B109" s="7"/>
      <c r="C109" s="22"/>
    </row>
    <row r="110" customFormat="false" ht="15" hidden="false" customHeight="false" outlineLevel="0" collapsed="false">
      <c r="B110" s="7"/>
      <c r="C110" s="22"/>
    </row>
    <row r="111" customFormat="false" ht="15" hidden="false" customHeight="false" outlineLevel="0" collapsed="false">
      <c r="B111" s="7"/>
      <c r="C111" s="22"/>
    </row>
    <row r="112" customFormat="false" ht="15" hidden="false" customHeight="false" outlineLevel="0" collapsed="false">
      <c r="B112" s="7"/>
      <c r="C112" s="22"/>
    </row>
    <row r="113" customFormat="false" ht="15" hidden="false" customHeight="false" outlineLevel="0" collapsed="false">
      <c r="B113" s="7"/>
      <c r="C113" s="22"/>
    </row>
    <row r="114" customFormat="false" ht="15" hidden="false" customHeight="false" outlineLevel="0" collapsed="false">
      <c r="B114" s="7"/>
      <c r="C114" s="22"/>
    </row>
    <row r="115" customFormat="false" ht="15" hidden="false" customHeight="false" outlineLevel="0" collapsed="false">
      <c r="B115" s="7"/>
      <c r="C115" s="22"/>
    </row>
    <row r="116" customFormat="false" ht="15" hidden="false" customHeight="false" outlineLevel="0" collapsed="false">
      <c r="B116" s="7"/>
      <c r="C116" s="22"/>
    </row>
    <row r="117" customFormat="false" ht="15" hidden="false" customHeight="false" outlineLevel="0" collapsed="false">
      <c r="B117" s="7"/>
      <c r="C117" s="22"/>
    </row>
    <row r="118" customFormat="false" ht="15" hidden="false" customHeight="false" outlineLevel="0" collapsed="false">
      <c r="B118" s="7"/>
      <c r="C118" s="22"/>
    </row>
    <row r="119" customFormat="false" ht="15" hidden="false" customHeight="false" outlineLevel="0" collapsed="false">
      <c r="B119" s="7"/>
      <c r="C119" s="22"/>
    </row>
    <row r="120" customFormat="false" ht="15" hidden="false" customHeight="false" outlineLevel="0" collapsed="false">
      <c r="B120" s="7"/>
      <c r="C120" s="22"/>
    </row>
    <row r="121" customFormat="false" ht="15" hidden="false" customHeight="false" outlineLevel="0" collapsed="false">
      <c r="B121" s="7"/>
      <c r="C121" s="22"/>
    </row>
    <row r="122" customFormat="false" ht="15" hidden="false" customHeight="false" outlineLevel="0" collapsed="false">
      <c r="B122" s="7"/>
      <c r="C122" s="22"/>
    </row>
    <row r="123" customFormat="false" ht="15" hidden="false" customHeight="false" outlineLevel="0" collapsed="false">
      <c r="B123" s="7"/>
      <c r="C123" s="22"/>
    </row>
    <row r="124" customFormat="false" ht="15" hidden="false" customHeight="false" outlineLevel="0" collapsed="false">
      <c r="B124" s="7"/>
      <c r="C124" s="22"/>
    </row>
    <row r="125" customFormat="false" ht="15" hidden="false" customHeight="false" outlineLevel="0" collapsed="false">
      <c r="B125" s="7"/>
      <c r="C125" s="22"/>
    </row>
    <row r="126" customFormat="false" ht="15" hidden="false" customHeight="false" outlineLevel="0" collapsed="false">
      <c r="B126" s="7"/>
      <c r="C126" s="22"/>
    </row>
    <row r="127" customFormat="false" ht="15" hidden="false" customHeight="false" outlineLevel="0" collapsed="false">
      <c r="B127" s="7"/>
      <c r="C127" s="22"/>
    </row>
    <row r="128" customFormat="false" ht="15" hidden="false" customHeight="false" outlineLevel="0" collapsed="false">
      <c r="B128" s="7"/>
      <c r="C128" s="22"/>
    </row>
    <row r="129" customFormat="false" ht="15" hidden="false" customHeight="false" outlineLevel="0" collapsed="false">
      <c r="B129" s="7"/>
      <c r="C129" s="22"/>
    </row>
    <row r="130" customFormat="false" ht="15" hidden="false" customHeight="false" outlineLevel="0" collapsed="false">
      <c r="B130" s="7"/>
      <c r="C130" s="22"/>
    </row>
    <row r="131" customFormat="false" ht="15" hidden="false" customHeight="false" outlineLevel="0" collapsed="false">
      <c r="B131" s="7"/>
      <c r="C131" s="22"/>
    </row>
    <row r="132" customFormat="false" ht="15" hidden="false" customHeight="false" outlineLevel="0" collapsed="false">
      <c r="B132" s="7"/>
      <c r="C132" s="22"/>
    </row>
    <row r="133" customFormat="false" ht="15" hidden="false" customHeight="false" outlineLevel="0" collapsed="false">
      <c r="B133" s="7"/>
      <c r="C133" s="22"/>
    </row>
    <row r="134" customFormat="false" ht="15" hidden="false" customHeight="false" outlineLevel="0" collapsed="false">
      <c r="B134" s="7"/>
      <c r="C134" s="22"/>
    </row>
    <row r="135" customFormat="false" ht="15" hidden="false" customHeight="false" outlineLevel="0" collapsed="false">
      <c r="B135" s="7"/>
      <c r="C135" s="22"/>
    </row>
    <row r="136" customFormat="false" ht="15" hidden="false" customHeight="false" outlineLevel="0" collapsed="false">
      <c r="B136" s="7"/>
      <c r="C136" s="22"/>
    </row>
    <row r="137" customFormat="false" ht="15" hidden="false" customHeight="false" outlineLevel="0" collapsed="false">
      <c r="B137" s="7"/>
      <c r="C137" s="22"/>
    </row>
    <row r="138" customFormat="false" ht="15" hidden="false" customHeight="false" outlineLevel="0" collapsed="false">
      <c r="B138" s="7"/>
      <c r="C138" s="22"/>
    </row>
    <row r="139" customFormat="false" ht="15" hidden="false" customHeight="false" outlineLevel="0" collapsed="false">
      <c r="B139" s="7"/>
      <c r="C139" s="22"/>
    </row>
    <row r="140" customFormat="false" ht="15" hidden="false" customHeight="false" outlineLevel="0" collapsed="false">
      <c r="B140" s="7"/>
      <c r="C140" s="22"/>
    </row>
    <row r="141" customFormat="false" ht="15" hidden="false" customHeight="false" outlineLevel="0" collapsed="false">
      <c r="B141" s="7"/>
      <c r="C141" s="22"/>
    </row>
    <row r="142" customFormat="false" ht="15" hidden="false" customHeight="false" outlineLevel="0" collapsed="false">
      <c r="B142" s="7"/>
      <c r="C142" s="22"/>
    </row>
    <row r="143" customFormat="false" ht="15" hidden="false" customHeight="false" outlineLevel="0" collapsed="false">
      <c r="B143" s="7"/>
      <c r="C143" s="22"/>
    </row>
    <row r="144" customFormat="false" ht="15" hidden="false" customHeight="false" outlineLevel="0" collapsed="false">
      <c r="B144" s="7"/>
      <c r="C144" s="22"/>
    </row>
    <row r="145" customFormat="false" ht="15" hidden="false" customHeight="false" outlineLevel="0" collapsed="false">
      <c r="B145" s="7"/>
      <c r="C145" s="22"/>
    </row>
    <row r="146" customFormat="false" ht="15" hidden="false" customHeight="false" outlineLevel="0" collapsed="false">
      <c r="B146" s="7"/>
      <c r="C146" s="22"/>
    </row>
  </sheetData>
  <dataValidations count="3">
    <dataValidation allowBlank="false" errorStyle="stop" operator="between" showDropDown="false" showErrorMessage="false" showInputMessage="false" sqref="C8 C10:C16" type="list">
      <formula1>L_YesNo</formula1>
      <formula2>0</formula2>
    </dataValidation>
    <dataValidation allowBlank="false" errorStyle="stop" operator="between" showDropDown="false" showErrorMessage="false" showInputMessage="false" sqref="C20" type="list">
      <formula1>L_Period</formula1>
      <formula2>0</formula2>
    </dataValidation>
    <dataValidation allowBlank="false" errorStyle="stop" operator="between" showDropDown="false" showErrorMessage="false" showInputMessage="false" sqref="C21" type="whole">
      <formula1>1</formula1>
      <formula2>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GB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2" outlineLevelCol="2"/>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4" min="4" style="0" width="6"/>
    <col collapsed="false" customWidth="true" hidden="false" outlineLevel="0" max="5" min="5" style="0" width="36"/>
    <col collapsed="false" customWidth="true" hidden="false" outlineLevel="0" max="6" min="6" style="0" width="9"/>
    <col collapsed="false" customWidth="true" hidden="false" outlineLevel="0" max="7" min="7" style="0" width="16"/>
    <col collapsed="false" customWidth="true" hidden="false" outlineLevel="0" max="8" min="8" style="0" width="20"/>
    <col collapsed="false" customWidth="true" hidden="false" outlineLevel="0" max="9" min="9" style="0" width="14"/>
    <col collapsed="false" customWidth="true" hidden="false" outlineLevel="0" max="11" min="10" style="0" width="15"/>
    <col collapsed="false" customWidth="true" hidden="false" outlineLevel="0" max="12" min="12" style="0" width="40"/>
    <col collapsed="false" customWidth="true" hidden="false" outlineLevel="0" max="14" min="13" style="0" width="15"/>
    <col collapsed="false" customWidth="true" hidden="false" outlineLevel="0" max="15" min="15" style="0" width="12"/>
    <col collapsed="false" customWidth="true" hidden="false" outlineLevel="0" max="16" min="16" style="0" width="8"/>
    <col collapsed="false" customWidth="true" hidden="false" outlineLevel="0" max="17" min="17" style="0" width="34"/>
    <col collapsed="false" customWidth="true" hidden="false" outlineLevel="0" max="18" min="18" style="0" width="6"/>
    <col collapsed="false" customWidth="true" hidden="false" outlineLevel="0" max="19" min="19" style="0" width="15"/>
    <col collapsed="false" customWidth="true" hidden="true" outlineLevel="1" max="20" min="20" style="0" width="8"/>
    <col collapsed="false" customWidth="true" hidden="true" outlineLevel="1" max="21" min="21" style="0" width="20"/>
    <col collapsed="false" customWidth="true" hidden="true" outlineLevel="1" max="22" min="22" style="0" width="15"/>
    <col collapsed="false" customWidth="true" hidden="false" outlineLevel="0" max="23" min="23" style="0" width="8"/>
    <col collapsed="false" customWidth="true" hidden="true" outlineLevel="1" max="25" min="24" style="0" width="15"/>
    <col collapsed="false" customWidth="true" hidden="true" outlineLevel="1" max="26" min="26" style="0" width="8"/>
    <col collapsed="false" customWidth="true" hidden="true" outlineLevel="1" max="28" min="27" style="0" width="15"/>
    <col collapsed="false" customWidth="true" hidden="true" outlineLevel="1" max="30" min="29" style="0" width="8"/>
    <col collapsed="false" customWidth="true" hidden="true" outlineLevel="1" max="31" min="31" style="0" width="12"/>
    <col collapsed="false" customWidth="true" hidden="true" outlineLevel="1" max="32" min="32" style="0" width="24"/>
    <col collapsed="false" customWidth="true" hidden="true" outlineLevel="1" max="34" min="33" style="0" width="9"/>
    <col collapsed="false" customWidth="true" hidden="true" outlineLevel="1" max="35" min="35" style="0" width="14"/>
    <col collapsed="false" customWidth="true" hidden="false" outlineLevel="0" max="36" min="36" style="0" width="9"/>
    <col collapsed="false" customWidth="true" hidden="true" outlineLevel="1" max="37" min="37" style="0" width="22"/>
    <col collapsed="false" customWidth="true" hidden="true" outlineLevel="1" max="39" min="38" style="0" width="11"/>
    <col collapsed="false" customWidth="true" hidden="false" outlineLevel="0" max="40" min="40" style="0" width="9"/>
    <col collapsed="false" customWidth="true" hidden="true" outlineLevel="1" max="41" min="41" style="0" width="9"/>
    <col collapsed="false" customWidth="true" hidden="true" outlineLevel="1" max="42" min="42" style="0" width="11"/>
    <col collapsed="false" customWidth="true" hidden="true" outlineLevel="1" max="44" min="43" style="0" width="15"/>
    <col collapsed="false" customWidth="true" hidden="true" outlineLevel="1" max="46" min="45" style="0" width="9"/>
    <col collapsed="false" customWidth="true" hidden="true" outlineLevel="1" max="47" min="47" style="0" width="11"/>
    <col collapsed="false" customWidth="true" hidden="true" outlineLevel="1" max="49" min="48" style="0" width="15"/>
    <col collapsed="false" customWidth="true" hidden="true" outlineLevel="1" max="51" min="50" style="0" width="9"/>
    <col collapsed="false" customWidth="true" hidden="true" outlineLevel="1" max="52" min="52" style="0" width="11"/>
    <col collapsed="false" customWidth="true" hidden="false" outlineLevel="0" max="53" min="53" style="0" width="11"/>
    <col collapsed="false" customWidth="true" hidden="true" outlineLevel="1" max="56" min="54" style="0" width="11"/>
    <col collapsed="false" customWidth="true" hidden="true" outlineLevel="2" max="184" min="57" style="0" width="11"/>
  </cols>
  <sheetData>
    <row r="1" customFormat="false" ht="19.7" hidden="false" customHeight="false" outlineLevel="0" collapsed="false">
      <c r="A1" s="15" t="str">
        <f aca="false">ProjectName&amp;"  -  Task Entry"</f>
        <v>Customer Portal Implementation  -  Task Entry</v>
      </c>
    </row>
    <row r="2" customFormat="false" ht="15" hidden="false" customHeight="false" outlineLevel="0" collapsed="false">
      <c r="A2" s="2" t="s">
        <v>326</v>
      </c>
    </row>
    <row r="3" customFormat="false" ht="15" hidden="false" customHeight="false" outlineLevel="0" collapsed="false">
      <c r="A3" s="26" t="str">
        <f aca="false">"Next free UID for a new row: "&amp;NextFreeUID</f>
        <v>Next free UID for a new row: 201</v>
      </c>
    </row>
    <row r="4" customFormat="false" ht="15" hidden="false" customHeight="false" outlineLevel="0" collapsed="false">
      <c r="A4" s="26" t="s">
        <v>327</v>
      </c>
      <c r="S4" s="26" t="s">
        <v>328</v>
      </c>
      <c r="W4" s="26" t="s">
        <v>329</v>
      </c>
      <c r="AJ4" s="26" t="s">
        <v>330</v>
      </c>
      <c r="AN4" s="26" t="s">
        <v>331</v>
      </c>
      <c r="BA4" s="26" t="s">
        <v>332</v>
      </c>
      <c r="BE4" s="26" t="s">
        <v>333</v>
      </c>
    </row>
    <row r="5" customFormat="false" ht="42" hidden="false" customHeight="true" outlineLevel="0" collapsed="false">
      <c r="A5" s="16" t="s">
        <v>334</v>
      </c>
      <c r="B5" s="17" t="s">
        <v>335</v>
      </c>
      <c r="C5" s="16" t="s">
        <v>156</v>
      </c>
      <c r="D5" s="17" t="s">
        <v>336</v>
      </c>
      <c r="E5" s="17" t="s">
        <v>337</v>
      </c>
      <c r="F5" s="17" t="s">
        <v>338</v>
      </c>
      <c r="G5" s="17" t="s">
        <v>63</v>
      </c>
      <c r="H5" s="17" t="s">
        <v>339</v>
      </c>
      <c r="I5" s="17" t="s">
        <v>313</v>
      </c>
      <c r="J5" s="17" t="s">
        <v>340</v>
      </c>
      <c r="K5" s="17" t="s">
        <v>341</v>
      </c>
      <c r="L5" s="17" t="s">
        <v>148</v>
      </c>
      <c r="M5" s="16" t="s">
        <v>160</v>
      </c>
      <c r="N5" s="16" t="s">
        <v>161</v>
      </c>
      <c r="O5" s="16" t="s">
        <v>121</v>
      </c>
      <c r="P5" s="16" t="s">
        <v>342</v>
      </c>
      <c r="Q5" s="16" t="s">
        <v>343</v>
      </c>
      <c r="R5" s="16" t="s">
        <v>344</v>
      </c>
      <c r="S5" s="17" t="s">
        <v>166</v>
      </c>
      <c r="T5" s="17" t="s">
        <v>65</v>
      </c>
      <c r="U5" s="17" t="s">
        <v>183</v>
      </c>
      <c r="V5" s="17" t="s">
        <v>345</v>
      </c>
      <c r="W5" s="16" t="s">
        <v>163</v>
      </c>
      <c r="X5" s="16" t="s">
        <v>158</v>
      </c>
      <c r="Y5" s="16" t="s">
        <v>159</v>
      </c>
      <c r="Z5" s="16" t="s">
        <v>346</v>
      </c>
      <c r="AA5" s="16" t="s">
        <v>132</v>
      </c>
      <c r="AB5" s="16" t="s">
        <v>347</v>
      </c>
      <c r="AC5" s="16" t="s">
        <v>348</v>
      </c>
      <c r="AD5" s="16" t="s">
        <v>349</v>
      </c>
      <c r="AE5" s="16" t="s">
        <v>168</v>
      </c>
      <c r="AF5" s="16" t="s">
        <v>350</v>
      </c>
      <c r="AG5" s="17" t="s">
        <v>314</v>
      </c>
      <c r="AH5" s="16" t="s">
        <v>162</v>
      </c>
      <c r="AI5" s="16" t="s">
        <v>351</v>
      </c>
      <c r="AJ5" s="16" t="s">
        <v>198</v>
      </c>
      <c r="AK5" s="16" t="s">
        <v>352</v>
      </c>
      <c r="AL5" s="16" t="s">
        <v>222</v>
      </c>
      <c r="AM5" s="17" t="s">
        <v>353</v>
      </c>
      <c r="AN5" s="16" t="s">
        <v>354</v>
      </c>
      <c r="AO5" s="16" t="s">
        <v>355</v>
      </c>
      <c r="AP5" s="16" t="s">
        <v>356</v>
      </c>
      <c r="AQ5" s="16" t="s">
        <v>357</v>
      </c>
      <c r="AR5" s="16" t="s">
        <v>358</v>
      </c>
      <c r="AS5" s="16" t="s">
        <v>359</v>
      </c>
      <c r="AT5" s="16" t="s">
        <v>360</v>
      </c>
      <c r="AU5" s="16" t="s">
        <v>361</v>
      </c>
      <c r="AV5" s="17" t="s">
        <v>362</v>
      </c>
      <c r="AW5" s="17" t="s">
        <v>363</v>
      </c>
      <c r="AX5" s="17" t="s">
        <v>364</v>
      </c>
      <c r="AY5" s="17" t="s">
        <v>365</v>
      </c>
      <c r="AZ5" s="17" t="s">
        <v>366</v>
      </c>
      <c r="BA5" s="16" t="s">
        <v>367</v>
      </c>
      <c r="BB5" s="16" t="s">
        <v>368</v>
      </c>
      <c r="BC5" s="16" t="s">
        <v>369</v>
      </c>
      <c r="BD5" s="16" t="s">
        <v>370</v>
      </c>
      <c r="BE5" s="44" t="s">
        <v>371</v>
      </c>
      <c r="BF5" s="44" t="s">
        <v>372</v>
      </c>
      <c r="BG5" s="44" t="s">
        <v>373</v>
      </c>
      <c r="BH5" s="44" t="s">
        <v>374</v>
      </c>
      <c r="BI5" s="44" t="s">
        <v>375</v>
      </c>
      <c r="BJ5" s="44" t="s">
        <v>376</v>
      </c>
      <c r="BK5" s="44" t="s">
        <v>377</v>
      </c>
      <c r="BL5" s="44" t="s">
        <v>378</v>
      </c>
      <c r="BM5" s="44" t="s">
        <v>379</v>
      </c>
      <c r="BN5" s="44" t="s">
        <v>380</v>
      </c>
      <c r="BO5" s="44" t="s">
        <v>381</v>
      </c>
      <c r="BP5" s="44" t="s">
        <v>382</v>
      </c>
      <c r="BQ5" s="44" t="s">
        <v>383</v>
      </c>
      <c r="BR5" s="44" t="s">
        <v>384</v>
      </c>
      <c r="BS5" s="44" t="s">
        <v>385</v>
      </c>
      <c r="BT5" s="44" t="s">
        <v>386</v>
      </c>
      <c r="BU5" s="44" t="s">
        <v>387</v>
      </c>
      <c r="BV5" s="44" t="s">
        <v>388</v>
      </c>
      <c r="BW5" s="44" t="s">
        <v>389</v>
      </c>
      <c r="BX5" s="44" t="s">
        <v>390</v>
      </c>
      <c r="BY5" s="44" t="s">
        <v>391</v>
      </c>
      <c r="BZ5" s="44" t="s">
        <v>392</v>
      </c>
      <c r="CA5" s="44" t="s">
        <v>393</v>
      </c>
      <c r="CB5" s="44" t="s">
        <v>394</v>
      </c>
      <c r="CC5" s="44" t="s">
        <v>395</v>
      </c>
      <c r="CD5" s="44" t="s">
        <v>396</v>
      </c>
      <c r="CE5" s="44" t="s">
        <v>397</v>
      </c>
      <c r="CF5" s="44" t="s">
        <v>398</v>
      </c>
      <c r="CG5" s="44" t="s">
        <v>399</v>
      </c>
      <c r="CH5" s="44" t="s">
        <v>400</v>
      </c>
      <c r="CI5" s="44" t="s">
        <v>401</v>
      </c>
      <c r="CJ5" s="44" t="s">
        <v>402</v>
      </c>
      <c r="CK5" s="44" t="s">
        <v>403</v>
      </c>
      <c r="CL5" s="44" t="s">
        <v>404</v>
      </c>
      <c r="CM5" s="44" t="s">
        <v>405</v>
      </c>
      <c r="CN5" s="44" t="s">
        <v>406</v>
      </c>
      <c r="CO5" s="44" t="s">
        <v>407</v>
      </c>
      <c r="CP5" s="44" t="s">
        <v>408</v>
      </c>
      <c r="CQ5" s="44" t="s">
        <v>409</v>
      </c>
      <c r="CR5" s="44" t="s">
        <v>410</v>
      </c>
      <c r="CS5" s="44" t="s">
        <v>411</v>
      </c>
      <c r="CT5" s="44" t="s">
        <v>412</v>
      </c>
      <c r="CU5" s="44" t="s">
        <v>413</v>
      </c>
      <c r="CV5" s="44" t="s">
        <v>414</v>
      </c>
      <c r="CW5" s="44" t="s">
        <v>415</v>
      </c>
      <c r="CX5" s="44" t="s">
        <v>416</v>
      </c>
      <c r="CY5" s="44" t="s">
        <v>417</v>
      </c>
      <c r="CZ5" s="44" t="s">
        <v>418</v>
      </c>
      <c r="DA5" s="44" t="s">
        <v>419</v>
      </c>
      <c r="DB5" s="44" t="s">
        <v>420</v>
      </c>
      <c r="DC5" s="44" t="s">
        <v>421</v>
      </c>
      <c r="DD5" s="44" t="s">
        <v>422</v>
      </c>
      <c r="DE5" s="44" t="s">
        <v>423</v>
      </c>
      <c r="DF5" s="44" t="s">
        <v>424</v>
      </c>
      <c r="DG5" s="44" t="s">
        <v>425</v>
      </c>
      <c r="DH5" s="44" t="s">
        <v>426</v>
      </c>
      <c r="DI5" s="44" t="s">
        <v>427</v>
      </c>
      <c r="DJ5" s="44" t="s">
        <v>428</v>
      </c>
      <c r="DK5" s="44" t="s">
        <v>429</v>
      </c>
      <c r="DL5" s="44" t="s">
        <v>430</v>
      </c>
      <c r="DM5" s="44" t="s">
        <v>431</v>
      </c>
      <c r="DN5" s="44" t="s">
        <v>432</v>
      </c>
      <c r="DO5" s="44" t="s">
        <v>433</v>
      </c>
      <c r="DP5" s="44" t="s">
        <v>434</v>
      </c>
      <c r="DQ5" s="44" t="s">
        <v>435</v>
      </c>
      <c r="DR5" s="44" t="s">
        <v>436</v>
      </c>
      <c r="DS5" s="44" t="s">
        <v>437</v>
      </c>
      <c r="DT5" s="44" t="s">
        <v>438</v>
      </c>
      <c r="DU5" s="44" t="s">
        <v>439</v>
      </c>
      <c r="DV5" s="44" t="s">
        <v>440</v>
      </c>
      <c r="DW5" s="44" t="s">
        <v>441</v>
      </c>
      <c r="DX5" s="44" t="s">
        <v>442</v>
      </c>
      <c r="DY5" s="44" t="s">
        <v>443</v>
      </c>
      <c r="DZ5" s="44" t="s">
        <v>444</v>
      </c>
      <c r="EA5" s="44" t="s">
        <v>445</v>
      </c>
      <c r="EB5" s="44" t="s">
        <v>446</v>
      </c>
      <c r="EC5" s="44" t="s">
        <v>447</v>
      </c>
      <c r="ED5" s="44" t="s">
        <v>448</v>
      </c>
      <c r="EE5" s="44" t="s">
        <v>449</v>
      </c>
      <c r="EF5" s="44" t="s">
        <v>450</v>
      </c>
      <c r="EG5" s="44" t="s">
        <v>451</v>
      </c>
      <c r="EH5" s="44" t="s">
        <v>452</v>
      </c>
      <c r="EI5" s="44" t="s">
        <v>453</v>
      </c>
      <c r="EJ5" s="44" t="s">
        <v>454</v>
      </c>
      <c r="EK5" s="44" t="s">
        <v>455</v>
      </c>
      <c r="EL5" s="44" t="s">
        <v>456</v>
      </c>
      <c r="EM5" s="44" t="s">
        <v>457</v>
      </c>
      <c r="EN5" s="44" t="s">
        <v>458</v>
      </c>
      <c r="EO5" s="44" t="s">
        <v>459</v>
      </c>
      <c r="EP5" s="44" t="s">
        <v>460</v>
      </c>
      <c r="EQ5" s="44" t="s">
        <v>461</v>
      </c>
      <c r="ER5" s="44" t="s">
        <v>462</v>
      </c>
      <c r="ES5" s="44" t="s">
        <v>463</v>
      </c>
      <c r="ET5" s="44" t="s">
        <v>464</v>
      </c>
      <c r="EU5" s="44" t="s">
        <v>465</v>
      </c>
      <c r="EV5" s="44" t="s">
        <v>466</v>
      </c>
      <c r="EW5" s="44" t="s">
        <v>467</v>
      </c>
      <c r="EX5" s="44" t="s">
        <v>468</v>
      </c>
      <c r="EY5" s="44" t="s">
        <v>469</v>
      </c>
      <c r="EZ5" s="44" t="s">
        <v>470</v>
      </c>
      <c r="FA5" s="44" t="s">
        <v>471</v>
      </c>
      <c r="FB5" s="44" t="s">
        <v>472</v>
      </c>
      <c r="FC5" s="44" t="s">
        <v>473</v>
      </c>
      <c r="FD5" s="44" t="s">
        <v>474</v>
      </c>
      <c r="FE5" s="44" t="s">
        <v>475</v>
      </c>
      <c r="FF5" s="44" t="s">
        <v>476</v>
      </c>
      <c r="FG5" s="44" t="s">
        <v>477</v>
      </c>
      <c r="FH5" s="44" t="s">
        <v>478</v>
      </c>
      <c r="FI5" s="44" t="s">
        <v>479</v>
      </c>
      <c r="FJ5" s="44" t="s">
        <v>480</v>
      </c>
      <c r="FK5" s="44" t="s">
        <v>481</v>
      </c>
      <c r="FL5" s="44" t="s">
        <v>482</v>
      </c>
      <c r="FM5" s="44" t="s">
        <v>483</v>
      </c>
      <c r="FN5" s="44" t="s">
        <v>484</v>
      </c>
      <c r="FO5" s="44" t="s">
        <v>485</v>
      </c>
      <c r="FP5" s="44" t="s">
        <v>486</v>
      </c>
      <c r="FQ5" s="44" t="s">
        <v>487</v>
      </c>
      <c r="FR5" s="44" t="s">
        <v>488</v>
      </c>
      <c r="FS5" s="44" t="s">
        <v>489</v>
      </c>
      <c r="FT5" s="44" t="s">
        <v>490</v>
      </c>
      <c r="FU5" s="44" t="s">
        <v>491</v>
      </c>
      <c r="FV5" s="44" t="s">
        <v>492</v>
      </c>
      <c r="FW5" s="44" t="s">
        <v>493</v>
      </c>
      <c r="FX5" s="44" t="s">
        <v>494</v>
      </c>
      <c r="FY5" s="44" t="s">
        <v>495</v>
      </c>
      <c r="FZ5" s="44" t="s">
        <v>496</v>
      </c>
      <c r="GA5" s="44" t="s">
        <v>497</v>
      </c>
      <c r="GB5" s="44" t="s">
        <v>498</v>
      </c>
    </row>
    <row r="6" customFormat="false" ht="15" hidden="false" customHeight="false" outlineLevel="0" collapsed="false">
      <c r="A6" s="67" t="n">
        <f aca="false">IF(Tasks[[#This Row],[Task Name]]="","",COUNTA(Tasks[[#Headers],[Task Name]]:Tasks[[#This Row],[Task Name]])-1)</f>
        <v>1</v>
      </c>
      <c r="B6" s="21" t="n">
        <v>1</v>
      </c>
      <c r="C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D6" s="21" t="n">
        <v>1</v>
      </c>
      <c r="E6" s="22" t="s">
        <v>499</v>
      </c>
      <c r="F6" s="21"/>
      <c r="G6" s="22"/>
      <c r="H6" s="22"/>
      <c r="I6" s="22"/>
      <c r="J6" s="7"/>
      <c r="K6" s="7"/>
      <c r="L6" s="22" t="s">
        <v>500</v>
      </c>
      <c r="M6" s="58" t="n">
        <f aca="false">IF(Tasks[[#This Row],[Task Name]]="","",IF(Tasks[[#This Row],[_IsSummary]],MIN(INDEX(Tasks[_ShownFcstStart],Tasks[[#This Row],[_Row]]+1):INDEX(Tasks[_ShownFcstStart],Tasks[[#This Row],[_Row]]+Tasks[[#This Row],[_Descendants]])),Tasks[[#This Row],[_ShownFcstStart]]))</f>
        <v>46272</v>
      </c>
      <c r="N6" s="58" t="n">
        <f aca="false">IF(Tasks[[#This Row],[Task Name]]="","",IF(Tasks[[#This Row],[_IsSummary]],MAX(INDEX(Tasks[_ShownFcstFinish],Tasks[[#This Row],[_Row]]+1):INDEX(Tasks[_ShownFcstFinish],Tasks[[#This Row],[_Row]]+Tasks[[#This Row],[_Descendants]])),Tasks[[#This Row],[_ShownFcstFinish]]))</f>
        <v>46279</v>
      </c>
      <c r="O6" s="20" t="str">
        <f aca="false">IF(Tasks[[#This Row],[Task Name]]="","",IF(Tasks[[#This Row],[Progress]]&gt;=1,"Complete",IF(OR(N(Tasks[[#This Row],[Actual Start]])&gt;0,Tasks[[#This Row],[Progress]]&gt;0),IF(Tasks[[#This Row],[Finish Var]]&gt;0,"Behind","In Progress"),IF(Tasks[[#This Row],[Planned Start]]&lt;StatusDate,"Late Start","Not Started"))))</f>
        <v>Complete</v>
      </c>
      <c r="P6" s="20" t="str">
        <f aca="false">IF(Tasks[[#This Row],[Task Name]]="","",IF(IF(Tasks[[#This Row],[_IsSummary]],COUNTIF(INDEX(Tasks[_LeafCritical],Tasks[[#This Row],[_Row]]+1):INDEX(Tasks[_LeafCritical],Tasks[[#This Row],[_Row]]+Tasks[[#This Row],[_Descendants]]),TRUE())&gt;0,Tasks[[#This Row],[_LeafCritical]]),"Yes",""))</f>
        <v/>
      </c>
      <c r="Q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6" s="67" t="str">
        <f aca="false">IF(Tasks[[#This Row],[Task Name]]="","",IF(Tasks[[#This Row],[_Level]]&lt;=OutlineShowLevel,"Yes","No"))</f>
        <v>Yes</v>
      </c>
      <c r="S6" s="7"/>
      <c r="T6" s="21" t="s">
        <v>195</v>
      </c>
      <c r="U6" s="22"/>
      <c r="V6" s="7"/>
      <c r="W6" s="67" t="n">
        <f aca="false">IF(Tasks[[#This Row],[Task Name]]="","",IF(Tasks[[#This Row],[Finish]]&gt;=Tasks[[#This Row],[Planned Finish]],NETWORKDAYS.INTL(Tasks[[#This Row],[Planned Finish]],Tasks[[#This Row],[Finish]],WorkWeek,Holidays)-1,1-NETWORKDAYS.INTL(Tasks[[#This Row],[Finish]],Tasks[[#This Row],[Planned Finish]],WorkWeek,Holidays)))</f>
        <v>1</v>
      </c>
      <c r="X6" s="58" t="n">
        <f aca="false">IF(Tasks[[#This Row],[Task Name]]="","",IF(N(Tasks[[#This Row],[Baseline Start]])&gt;0,Tasks[[#This Row],[Baseline Start]],Tasks[[#This Row],[_CalcStart]]))</f>
        <v>46272</v>
      </c>
      <c r="Y6" s="58" t="n">
        <f aca="false">IF(Tasks[[#This Row],[Task Name]]="","",IF(N(Tasks[[#This Row],[Baseline Finish]])&gt;0,Tasks[[#This Row],[Baseline Finish]],Tasks[[#This Row],[_CalcFinish]]))</f>
        <v>46276</v>
      </c>
      <c r="Z6" s="67" t="n">
        <f aca="false">IF(Tasks[[#This Row],[Task Name]]="","",IF(Tasks[[#This Row],[Start]]&gt;=Tasks[[#This Row],[Planned Start]],NETWORKDAYS.INTL(Tasks[[#This Row],[Planned Start]],Tasks[[#This Row],[Start]],WorkWeek,Holidays)-1,1-NETWORKDAYS.INTL(Tasks[[#This Row],[Start]],Tasks[[#This Row],[Planned Start]],WorkWeek,Holidays)))</f>
        <v>0</v>
      </c>
      <c r="AA6" s="58" t="n">
        <f aca="false">IF(Tasks[[#This Row],[Task Name]]="","",IF(Tasks[[#This Row],[_IsSummary]],MIN(INDEX(Tasks[_LeafLateStart],Tasks[[#This Row],[_Row]]+1):INDEX(Tasks[_LeafLateStart],Tasks[[#This Row],[_Row]]+Tasks[[#This Row],[_Descendants]])),Tasks[[#This Row],[_LeafLateStart]]))</f>
        <v>46279</v>
      </c>
      <c r="AB6" s="58" t="n">
        <f aca="false">IF(Tasks[[#This Row],[Task Name]]="","",IF(Tasks[[#This Row],[_IsSummary]],MAX(INDEX(Tasks[_LeafLateFinish],Tasks[[#This Row],[_Row]]+1):INDEX(Tasks[_LeafLateFinish],Tasks[[#This Row],[_Row]]+Tasks[[#This Row],[_Descendants]])),Tasks[[#This Row],[_LeafLateFinish]]))</f>
        <v>46283</v>
      </c>
      <c r="AC6" s="67" t="n">
        <f aca="false">IF(Tasks[[#This Row],[Task Name]]="","",IF(Tasks[[#This Row],[_IsSummary]],MIN(INDEX(Tasks[_LeafTotalSlack],Tasks[[#This Row],[_Row]]+1):INDEX(Tasks[_LeafTotalSlack],Tasks[[#This Row],[_Row]]+Tasks[[#This Row],[_Descendants]])),Tasks[[#This Row],[_LeafTotalSlack]]))</f>
        <v>4</v>
      </c>
      <c r="AD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6" s="60"/>
      <c r="AH6"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I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6" s="69" t="n">
        <f aca="false">IF(Tasks[[#This Row],[Task Name]]="","",IF(Tasks[[#This Row],[_IsSummary]],SUM(INDEX(Tasks[_LeafTotalWork],Tasks[[#This Row],[_Row]]+1):INDEX(Tasks[_LeafTotalWork],Tasks[[#This Row],[_Row]]+Tasks[[#This Row],[_Descendants]])),Tasks[[#This Row],[_LeafTotalWork]]))</f>
        <v>40</v>
      </c>
      <c r="AK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6" s="70" t="n">
        <f aca="false">IF(Tasks[[#This Row],[Task Name]]="","",IF(Tasks[[#This Row],[_IsSummary]],SUM(INDEX(Tasks[_LeafTotalCost],Tasks[[#This Row],[_Row]]+1):INDEX(Tasks[_LeafTotalCost],Tasks[[#This Row],[_Row]]+Tasks[[#This Row],[_Descendants]])),Tasks[[#This Row],[_LeafTotalCost]]))</f>
        <v>3400</v>
      </c>
      <c r="AM6" s="71"/>
      <c r="AN6" s="20" t="str">
        <f aca="false">IF(OR(Tasks[[#This Row],[Task Name]]="",Tasks[[#This Row],[Baseline Duration]]=""),"",Tasks[[#This Row],[BL Source Duration]]-N(Tasks[[#This Row],[Baseline Duration]]))</f>
        <v/>
      </c>
      <c r="AO6" s="69" t="str">
        <f aca="false">IF(OR(Tasks[[#This Row],[Task Name]]="",Tasks[[#This Row],[Baseline Work]]=""),"",Tasks[[#This Row],[Work]]-N(Tasks[[#This Row],[Baseline Work]]))</f>
        <v/>
      </c>
      <c r="AP6" s="70" t="str">
        <f aca="false">IF(OR(Tasks[[#This Row],[Task Name]]="",Tasks[[#This Row],[Baseline Cost]]=""),"",Tasks[[#This Row],[Cost]]-N(Tasks[[#This Row],[Baseline Cost]]))</f>
        <v/>
      </c>
      <c r="AQ6" s="58" t="n">
        <f aca="false">IF(Tasks[[#This Row],[Task Name]]="","",Tasks[[#This Row],[Start]])</f>
        <v>46272</v>
      </c>
      <c r="AR6" s="58" t="n">
        <f aca="false">IF(Tasks[[#This Row],[Task Name]]="","",Tasks[[#This Row],[Finish]])</f>
        <v>46279</v>
      </c>
      <c r="AS6" s="67" t="n">
        <f aca="false">IF(Tasks[[#This Row],[Task Name]]="","",IF(Tasks[[#This Row],[_IsSummary]],NETWORKDAYS.INTL(Tasks[[#This Row],[Start]],Tasks[[#This Row],[Finish]],WorkWeek,Holidays),N(Tasks[[#This Row],[Duration]])))</f>
        <v>6</v>
      </c>
      <c r="AT6" s="69" t="n">
        <f aca="false">IF(Tasks[[#This Row],[Task Name]]="","",Tasks[[#This Row],[Work]])</f>
        <v>40</v>
      </c>
      <c r="AU6" s="70" t="n">
        <f aca="false">IF(Tasks[[#This Row],[Task Name]]="","",Tasks[[#This Row],[Cost]])</f>
        <v>3400</v>
      </c>
      <c r="AV6" s="7"/>
      <c r="AW6" s="7"/>
      <c r="AX6" s="21"/>
      <c r="AY6" s="72"/>
      <c r="AZ6" s="71"/>
      <c r="BA6" s="70" t="n">
        <f aca="false">IF(Tasks[[#This Row],[Task Name]]="","",IF(Tasks[[#This Row],[_IsSummary]],SUM(INDEX(Tasks[_LeafEV],Tasks[[#This Row],[_Row]]+1):INDEX(Tasks[_LeafEV],Tasks[[#This Row],[_Row]]+Tasks[[#This Row],[_Descendants]])),Tasks[[#This Row],[_LeafEV]]))</f>
        <v>3400</v>
      </c>
      <c r="BB6" s="70" t="n">
        <f aca="false">IF(Tasks[[#This Row],[Task Name]]="","",IF(Tasks[[#This Row],[_IsSummary]],SUM(INDEX(Tasks[_LeafBudget],Tasks[[#This Row],[_Row]]+1):INDEX(Tasks[_LeafBudget],Tasks[[#This Row],[_Row]]+Tasks[[#This Row],[_Descendants]])),Tasks[[#This Row],[_LeafBudget]]))</f>
        <v>3400</v>
      </c>
      <c r="BC6" s="70" t="n">
        <f aca="false">IF(Tasks[[#This Row],[Task Name]]="","",IF(Tasks[[#This Row],[_IsSummary]],SUM(INDEX(Tasks[_LeafPV],Tasks[[#This Row],[_Row]]+1):INDEX(Tasks[_LeafPV],Tasks[[#This Row],[_Row]]+Tasks[[#This Row],[_Descendants]])),Tasks[[#This Row],[_LeafPV]]))</f>
        <v>3400</v>
      </c>
      <c r="BD6" s="70" t="n">
        <f aca="false">IF(Tasks[[#This Row],[Task Name]]="","",IF(Tasks[[#This Row],[_IsSummary]],SUM(INDEX(Tasks[_LeafAC],Tasks[[#This Row],[_Row]]+1):INDEX(Tasks[_LeafAC],Tasks[[#This Row],[_Row]]+Tasks[[#This Row],[_Descendants]])),Tasks[[#This Row],[_LeafAC]]))</f>
        <v>4160</v>
      </c>
      <c r="BE6" s="45" t="n">
        <f aca="false">IF(Tasks[[#This Row],[Task Name]]="","",MAX(1,N(Tasks[[#This Row],[Level]])))</f>
        <v>1</v>
      </c>
      <c r="BF6" s="45" t="n">
        <f aca="false">ROW()-ROW(Tasks[[#Headers],[ID]])</f>
        <v>1</v>
      </c>
      <c r="BG6" s="45" t="n">
        <f aca="false">IF(OR(Tasks[[#This Row],[Task Name]]="",Tasks[[#This Row],[_Level]]&lt;=1),0,IFERROR(LOOKUP(2,1/(Tasks[[#Headers],[_Level]]:Tasks[[#This Row],[_Level]]=Tasks[[#This Row],[_Level]]-1),ROW(Tasks[[#Headers],[_Level]]:Tasks[[#This Row],[_Level]])),0))</f>
        <v>0</v>
      </c>
      <c r="BH6" s="45" t="n">
        <f aca="false">IFERROR(N(INDEX(Tasks[_Level],Tasks[[#This Row],[_Row]]+1)),0)</f>
        <v>2</v>
      </c>
      <c r="BI6" s="73" t="b">
        <f aca="false">AND(Tasks[[#This Row],[Task Name]]&lt;&gt;"",Tasks[[#This Row],[_NextLevel]]&gt;Tasks[[#This Row],[_Level]])</f>
        <v>1</v>
      </c>
      <c r="BJ6" s="45" t="n">
        <f aca="false">IF(Tasks[[#This Row],[_IsSummary]],COUNTIF(Tasks[WBS],Tasks[[#This Row],[WBS]]&amp;".*"),0)</f>
        <v>3</v>
      </c>
      <c r="BK6" s="45" t="n">
        <f aca="false">IF(AND(Tasks[[#This Row],[Task Name]]&lt;&gt;"",NOT(Tasks[[#This Row],[_IsSummary]])),1,0)</f>
        <v>0</v>
      </c>
      <c r="BL6" s="45" t="n">
        <f aca="false">IF(N(Tasks[[#This Row],[_Pred1UID]])=0,0,IFERROR(MATCH(Tasks[[#This Row],[_Pred1UID]],Tasks[UID],0),-1))</f>
        <v>0</v>
      </c>
      <c r="BM6" s="45" t="n">
        <f aca="false">IF(N(Tasks[[#This Row],[_Pred2UID]])=0,0,IFERROR(MATCH(Tasks[[#This Row],[_Pred2UID]],Tasks[UID],0),-1))</f>
        <v>0</v>
      </c>
      <c r="BN6" s="45" t="n">
        <f aca="false">IF(N(Tasks[[#This Row],[_Pred3UID]])=0,0,IFERROR(MATCH(Tasks[[#This Row],[_Pred3UID]],Tasks[UID],0),-1))</f>
        <v>0</v>
      </c>
      <c r="BO6" s="45" t="n">
        <f aca="false">IF(N(Tasks[[#This Row],[_Pred4UID]])=0,0,IFERROR(MATCH(Tasks[[#This Row],[_Pred4UID]],Tasks[UID],0),-1))</f>
        <v>0</v>
      </c>
      <c r="BP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6" s="74" t="n">
        <f aca="false">IF(OR(Tasks[[#This Row],[_ConstraintCode]]=2,Tasks[[#This Row],[_ConstraintCode]]=3,Tasks[[#This Row],[_ConstraintCode]]=4,Tasks[[#This Row],[_ConstraintCode]]=6),Tasks[[#This Row],[_ConstraintStart]],0)</f>
        <v>0</v>
      </c>
      <c r="BS6" s="74" t="n">
        <f aca="false">IF(OR(Tasks[[#This Row],[_ConstraintCode]]=2,Tasks[[#This Row],[_ConstraintCode]]=3,Tasks[[#This Row],[_ConstraintCode]]=5,Tasks[[#This Row],[_ConstraintCode]]=7),Tasks[[#This Row],[_ConstraintStart]],2958465)</f>
        <v>2958465</v>
      </c>
      <c r="BT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6" s="74" t="str">
        <f aca="false">IF(NOT(Tasks[[#This Row],[_IsLeaf]]=1),"",IF(N(Tasks[[#This Row],[Duration]])&lt;=0,Tasks[[#This Row],[_LeafCalcStart]],WORKDAY.INTL(Tasks[[#This Row],[_LeafCalcStart]],Tasks[[#This Row],[Duration]]-1,WorkWeek,Holidays)))</f>
        <v/>
      </c>
      <c r="BV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6" s="45" t="str">
        <f aca="false">IF(Tasks[[#This Row],[Predecessors]]="","",TRIM(MID(SUBSTITUTE(SUBSTITUTE(SUBSTITUTE(UPPER(Tasks[[#This Row],[Predecessors]]),";",",")," ",""),",",REPT(" ",99)),1,99)))</f>
        <v/>
      </c>
      <c r="BY6" s="45" t="str">
        <f aca="false">IF(Tasks[[#This Row],[_Pred1Text]]="","",IFERROR(VALUE(LEFT(Tasks[[#This Row],[_Pred1Text]],MIN(FIND("F",Tasks[[#This Row],[_Pred1Text]]&amp;"F"),FIND("S",Tasks[[#This Row],[_Pred1Text]]&amp;"S"),FIND("+",Tasks[[#This Row],[_Pred1Text]]&amp;"+"),FIND("-",Tasks[[#This Row],[_Pred1Text]]&amp;"-"))-1)),""))</f>
        <v/>
      </c>
      <c r="BZ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6" s="45" t="str">
        <f aca="false">IF(Tasks[[#This Row],[_Pred1Text]]="","",TRIM(MID(SUBSTITUTE(SUBSTITUTE(SUBSTITUTE(UPPER(Tasks[[#This Row],[Predecessors]]),";",",")," ",""),",",REPT(" ",99)),100,99)))</f>
        <v/>
      </c>
      <c r="CC6" s="45" t="str">
        <f aca="false">IF(Tasks[[#This Row],[_Pred2Text]]="","",IFERROR(VALUE(LEFT(Tasks[[#This Row],[_Pred2Text]],MIN(FIND("F",Tasks[[#This Row],[_Pred2Text]]&amp;"F"),FIND("S",Tasks[[#This Row],[_Pred2Text]]&amp;"S"),FIND("+",Tasks[[#This Row],[_Pred2Text]]&amp;"+"),FIND("-",Tasks[[#This Row],[_Pred2Text]]&amp;"-"))-1)),""))</f>
        <v/>
      </c>
      <c r="CD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6" s="45" t="str">
        <f aca="false">IF(Tasks[[#This Row],[_Pred2Text]]="","",TRIM(MID(SUBSTITUTE(SUBSTITUTE(SUBSTITUTE(UPPER(Tasks[[#This Row],[Predecessors]]),";",",")," ",""),",",REPT(" ",99)),199,99)))</f>
        <v/>
      </c>
      <c r="CG6" s="45" t="str">
        <f aca="false">IF(Tasks[[#This Row],[_Pred3Text]]="","",IFERROR(VALUE(LEFT(Tasks[[#This Row],[_Pred3Text]],MIN(FIND("F",Tasks[[#This Row],[_Pred3Text]]&amp;"F"),FIND("S",Tasks[[#This Row],[_Pred3Text]]&amp;"S"),FIND("+",Tasks[[#This Row],[_Pred3Text]]&amp;"+"),FIND("-",Tasks[[#This Row],[_Pred3Text]]&amp;"-"))-1)),""))</f>
        <v/>
      </c>
      <c r="CH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6" s="45" t="str">
        <f aca="false">IF(Tasks[[#This Row],[_Pred3Text]]="","",TRIM(MID(SUBSTITUTE(SUBSTITUTE(SUBSTITUTE(UPPER(Tasks[[#This Row],[Predecessors]]),";",",")," ",""),",",REPT(" ",99)),298,99)))</f>
        <v/>
      </c>
      <c r="CK6" s="45" t="str">
        <f aca="false">IF(Tasks[[#This Row],[_Pred4Text]]="","",IFERROR(VALUE(LEFT(Tasks[[#This Row],[_Pred4Text]],MIN(FIND("F",Tasks[[#This Row],[_Pred4Text]]&amp;"F"),FIND("S",Tasks[[#This Row],[_Pred4Text]]&amp;"S"),FIND("+",Tasks[[#This Row],[_Pred4Text]]&amp;"+"),FIND("-",Tasks[[#This Row],[_Pred4Text]]&amp;"-"))-1)),""))</f>
        <v/>
      </c>
      <c r="CL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6" s="45" t="str">
        <f aca="false">IF(OR(Tasks[[#This Row],[Task Name]]="",Tasks[[#This Row],[Resources]]=""),"",TRIM(MID(SUBSTITUTE(Tasks[[#This Row],[Resources]],",",REPT(" ",99)),1,99)))</f>
        <v/>
      </c>
      <c r="CO6" s="45" t="str">
        <f aca="false">IF(Tasks[[#This Row],[_Res1Text]]="","",TRIM(MID(SUBSTITUTE(Tasks[[#This Row],[Resources]],",",REPT(" ",99)),100,99)))</f>
        <v/>
      </c>
      <c r="CP6" s="45" t="str">
        <f aca="false">IF(Tasks[[#This Row],[_Res2Text]]="","",TRIM(MID(SUBSTITUTE(Tasks[[#This Row],[Resources]],",",REPT(" ",99)),199,99)))</f>
        <v/>
      </c>
      <c r="CQ6" s="45" t="str">
        <f aca="false">IF(Tasks[[#This Row],[_Res3Text]]="","",TRIM(MID(SUBSTITUTE(Tasks[[#This Row],[Resources]],",",REPT(" ",99)),298,99)))</f>
        <v/>
      </c>
      <c r="CR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 s="45" t="n">
        <f aca="false">IF(NOT(Tasks[[#This Row],[_IsLeaf]]=1),0,(Tasks[[#This Row],[_Resource1]]&lt;&gt;"")+(Tasks[[#This Row],[_Res2]]&lt;&gt;"")+(Tasks[[#This Row],[_Res3]]&lt;&gt;"")+(Tasks[[#This Row],[_Res4]]&lt;&gt;""))</f>
        <v>0</v>
      </c>
      <c r="CU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 s="45" t="n">
        <f aca="false">IF(OR(NOT(Tasks[[#This Row],[_IsLeaf]]=1),Tasks[[#This Row],[_Res2]]=""),0,IF(ISNA(MATCH(Tasks[[#This Row],[_Res2]],res_Name,0)),0,N(Tasks[[#This Row],[Duration]])*HoursPerDay*IF(Tasks[[#This Row],[_Res2Units]]="",DefaultUnits,Tasks[[#This Row],[_Res2Units]])))</f>
        <v>0</v>
      </c>
      <c r="CX6" s="45" t="n">
        <f aca="false">IF(Tasks[[#This Row],[_Res2Work]]=0,0,Tasks[[#This Row],[_Res2Work]]*IFERROR(INDEX(res_Rate,MATCH(Tasks[[#This Row],[_Res2]],res_Name,0)),0))</f>
        <v>0</v>
      </c>
      <c r="CY6" s="45" t="n">
        <f aca="false">IF(AND(AND(Tasks[[#This Row],[_IsLeaf]]=1,Tasks[[#This Row],[_LeafTotalWork]]&gt;0),Tasks[[#This Row],[_Res2Work]]&gt;0),Tasks[[#This Row],[_Res2Work]]/(Tasks[[#This Row],[_FinishWorkday]]-Tasks[[#This Row],[_StartWorkday]]+1),0)</f>
        <v>0</v>
      </c>
      <c r="CZ6" s="45" t="n">
        <f aca="false">Tasks[[#This Row],[_Res2WorkPerWD]]*MAX(0,Tasks[[#This Row],[_StartWorkday]]-1)</f>
        <v>0</v>
      </c>
      <c r="DA6" s="45" t="n">
        <f aca="false">Tasks[[#This Row],[_Res2Work]]*Tasks[[#This Row],[_LeafProgress]]</f>
        <v>0</v>
      </c>
      <c r="DB6" s="45" t="n">
        <f aca="false">IF(Tasks[[#This Row],[_LeafTotalCost]]=0,0,Tasks[[#This Row],[_LeafAC]]*Tasks[[#This Row],[_Res2Cost]]/Tasks[[#This Row],[_LeafTotalCost]])</f>
        <v>0</v>
      </c>
      <c r="DC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6" s="45" t="n">
        <f aca="false">IF(OR(NOT(Tasks[[#This Row],[_IsLeaf]]=1),Tasks[[#This Row],[_Res3]]=""),0,IF(ISNA(MATCH(Tasks[[#This Row],[_Res3]],res_Name,0)),0,N(Tasks[[#This Row],[Duration]])*HoursPerDay*IF(Tasks[[#This Row],[_Res3Units]]="",DefaultUnits,Tasks[[#This Row],[_Res3Units]])))</f>
        <v>0</v>
      </c>
      <c r="DF6" s="45" t="n">
        <f aca="false">IF(Tasks[[#This Row],[_Res3Work]]=0,0,Tasks[[#This Row],[_Res3Work]]*IFERROR(INDEX(res_Rate,MATCH(Tasks[[#This Row],[_Res3]],res_Name,0)),0))</f>
        <v>0</v>
      </c>
      <c r="DG6" s="45" t="n">
        <f aca="false">IF(AND(AND(Tasks[[#This Row],[_IsLeaf]]=1,Tasks[[#This Row],[_LeafTotalWork]]&gt;0),Tasks[[#This Row],[_Res3Work]]&gt;0),Tasks[[#This Row],[_Res3Work]]/(Tasks[[#This Row],[_FinishWorkday]]-Tasks[[#This Row],[_StartWorkday]]+1),0)</f>
        <v>0</v>
      </c>
      <c r="DH6" s="45" t="n">
        <f aca="false">Tasks[[#This Row],[_Res3WorkPerWD]]*MAX(0,Tasks[[#This Row],[_StartWorkday]]-1)</f>
        <v>0</v>
      </c>
      <c r="DI6" s="45" t="n">
        <f aca="false">Tasks[[#This Row],[_Res3Work]]*Tasks[[#This Row],[_LeafProgress]]</f>
        <v>0</v>
      </c>
      <c r="DJ6" s="45" t="n">
        <f aca="false">IF(Tasks[[#This Row],[_LeafTotalCost]]=0,0,Tasks[[#This Row],[_LeafAC]]*Tasks[[#This Row],[_Res3Cost]]/Tasks[[#This Row],[_LeafTotalCost]])</f>
        <v>0</v>
      </c>
      <c r="DK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6" s="45" t="n">
        <f aca="false">IF(OR(NOT(Tasks[[#This Row],[_IsLeaf]]=1),Tasks[[#This Row],[_Res4]]=""),0,IF(ISNA(MATCH(Tasks[[#This Row],[_Res4]],res_Name,0)),0,N(Tasks[[#This Row],[Duration]])*HoursPerDay*IF(Tasks[[#This Row],[_Res4Units]]="",DefaultUnits,Tasks[[#This Row],[_Res4Units]])))</f>
        <v>0</v>
      </c>
      <c r="DN6" s="45" t="n">
        <f aca="false">IF(Tasks[[#This Row],[_Res4Work]]=0,0,Tasks[[#This Row],[_Res4Work]]*IFERROR(INDEX(res_Rate,MATCH(Tasks[[#This Row],[_Res4]],res_Name,0)),0))</f>
        <v>0</v>
      </c>
      <c r="DO6" s="45" t="n">
        <f aca="false">IF(AND(AND(Tasks[[#This Row],[_IsLeaf]]=1,Tasks[[#This Row],[_LeafTotalWork]]&gt;0),Tasks[[#This Row],[_Res4Work]]&gt;0),Tasks[[#This Row],[_Res4Work]]/(Tasks[[#This Row],[_FinishWorkday]]-Tasks[[#This Row],[_StartWorkday]]+1),0)</f>
        <v>0</v>
      </c>
      <c r="DP6" s="45" t="n">
        <f aca="false">Tasks[[#This Row],[_Res4WorkPerWD]]*MAX(0,Tasks[[#This Row],[_StartWorkday]]-1)</f>
        <v>0</v>
      </c>
      <c r="DQ6" s="45" t="n">
        <f aca="false">Tasks[[#This Row],[_Res4Work]]*Tasks[[#This Row],[_LeafProgress]]</f>
        <v>0</v>
      </c>
      <c r="DR6" s="45" t="n">
        <f aca="false">IF(Tasks[[#This Row],[_LeafTotalCost]]=0,0,Tasks[[#This Row],[_LeafAC]]*Tasks[[#This Row],[_Res4Cost]]/Tasks[[#This Row],[_LeafTotalCost]])</f>
        <v>0</v>
      </c>
      <c r="DS6" s="45" t="n">
        <f aca="false">IF(ISNUMBER(Tasks[[#This Row],[% Complete]]),Tasks[[#This Row],[% Complete]],IF(Tasks[[#This Row],[Stage]]="",0,IFERROR(INDEX(stg_Pct,MATCH(Tasks[[#This Row],[Stage]],stg_Name,0)),0)))</f>
        <v>0</v>
      </c>
      <c r="DT6" s="45" t="n">
        <f aca="false">IF(NOT(Tasks[[#This Row],[_IsLeaf]]=1),0,IF(N(Tasks[[#This Row],[Actual Finish]])&gt;0,1,MIN(1,Tasks[[#This Row],[_Pct]])))</f>
        <v>0</v>
      </c>
      <c r="DU6" s="45" t="n">
        <f aca="false">IF(OR(NOT(Tasks[[#This Row],[_IsLeaf]]=1),Tasks[[#This Row],[_Resource1]]=""),0,IF(ISNA(MATCH(Tasks[[#This Row],[_Resource1]],res_Name,0)),0,N(Tasks[[#This Row],[Duration]])*HoursPerDay*IF(Tasks[[#This Row],[_Units1]]="",DefaultUnits,Tasks[[#This Row],[_Units1]])))</f>
        <v>0</v>
      </c>
      <c r="DV6" s="45" t="n">
        <f aca="false">IF(Tasks[[#This Row],[_LeafWork]]=0,0,Tasks[[#This Row],[_LeafWork]]*IFERROR(INDEX(res_Rate,MATCH(Tasks[[#This Row],[_Resource1]],res_Name,0)),0))</f>
        <v>0</v>
      </c>
      <c r="DW6" s="45" t="n">
        <f aca="false">Tasks[[#This Row],[_LeafWork]]+Tasks[[#This Row],[_Res2Work]]+Tasks[[#This Row],[_Res3Work]]+Tasks[[#This Row],[_Res4Work]]</f>
        <v>0</v>
      </c>
      <c r="DX6" s="45" t="n">
        <f aca="false">Tasks[[#This Row],[_LeafCost]]+Tasks[[#This Row],[_Res2Cost]]+Tasks[[#This Row],[_Res3Cost]]+Tasks[[#This Row],[_Res4Cost]]</f>
        <v>0</v>
      </c>
      <c r="DY6" s="45" t="n">
        <f aca="false">IF(Tasks[[#This Row],[_LeafTotalCost]]=0,Tasks[[#This Row],[_LeafAC]],Tasks[[#This Row],[_LeafAC]]*Tasks[[#This Row],[_LeafCost]]/Tasks[[#This Row],[_LeafTotalCost]])</f>
        <v>0</v>
      </c>
      <c r="DZ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6" s="45" t="n">
        <f aca="false">IF(NOT(Tasks[[#This Row],[_IsLeaf]]=1),0,MAX(_xlfn.MAXIFS(Tasks[_Row],Tasks[_Pred1UID],Tasks[[#This Row],[UID]]),_xlfn.MAXIFS(Tasks[_Row],Tasks[_Pred2UID],Tasks[[#This Row],[UID]]),_xlfn.MAXIFS(Tasks[_Row],Tasks[_Pred3UID],Tasks[[#This Row],[UID]]),_xlfn.MAXIFS(Tasks[_Row],Tasks[_Pred4UID],Tasks[[#This Row],[UID]])))</f>
        <v>0</v>
      </c>
      <c r="EI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6" s="74" t="str">
        <f aca="false">IF(NOT(Tasks[[#This Row],[_IsLeaf]]=1),"",IF(N(Tasks[[#This Row],[Duration]])&lt;=0,Tasks[[#This Row],[_LeafLateFinish]],WORKDAY.INTL(Tasks[[#This Row],[_LeafLateFinish]],-(Tasks[[#This Row],[Duration]]-1),WorkWeek,Holidays)))</f>
        <v/>
      </c>
      <c r="EL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6" s="73" t="b">
        <f aca="false">AND(Tasks[[#This Row],[_IsLeaf]]=1,Tasks[[#This Row],[_LeafProgress]]&lt;1,N(Tasks[[#This Row],[_LeafTotalSlack]])&lt;=CriticalSlackDays)</f>
        <v>0</v>
      </c>
      <c r="EN6" s="45" t="n">
        <f aca="false">IF(AND(Tasks[[#This Row],[_IsLeaf]]=1,Tasks[[#This Row],[_ConstraintCode]]=1,Tasks[[#This Row],[Mode]]&lt;&gt;"Manual",N(Tasks[[#This Row],[Actual Start]])=0),MAX(0,N(Tasks[[#This Row],[Free Slack]])),0)</f>
        <v>0</v>
      </c>
      <c r="EO6" s="74" t="str">
        <f aca="false">IF(NOT(Tasks[[#This Row],[_IsLeaf]]=1),"",IF(Tasks[[#This Row],[_AlapShift]]=0,Tasks[[#This Row],[_LeafCalcStart]],WORKDAY.INTL(Tasks[[#This Row],[_LeafCalcStart]],Tasks[[#This Row],[_AlapShift]],WorkWeek,Holidays)))</f>
        <v/>
      </c>
      <c r="EP6" s="74" t="str">
        <f aca="false">IF(NOT(Tasks[[#This Row],[_IsLeaf]]=1),"",IF(Tasks[[#This Row],[_AlapShift]]=0,Tasks[[#This Row],[_LeafCalcFinish]],WORKDAY.INTL(Tasks[[#This Row],[_LeafCalcFinish]],Tasks[[#This Row],[_AlapShift]],WorkWeek,Holidays)))</f>
        <v/>
      </c>
      <c r="EQ6" s="74" t="str">
        <f aca="false">IF(NOT(Tasks[[#This Row],[_IsLeaf]]=1),"",IF(Tasks[[#This Row],[_AlapShift]]=0,Tasks[[#This Row],[_LeafFcstStart]],WORKDAY.INTL(Tasks[[#This Row],[_LeafFcstStart]],Tasks[[#This Row],[_AlapShift]],WorkWeek,Holidays)))</f>
        <v/>
      </c>
      <c r="ER6" s="74" t="str">
        <f aca="false">IF(NOT(Tasks[[#This Row],[_IsLeaf]]=1),"",IF(Tasks[[#This Row],[_AlapShift]]=0,Tasks[[#This Row],[_LeafFcstFinish]],WORKDAY.INTL(Tasks[[#This Row],[_LeafFcstFinish]],Tasks[[#This Row],[_AlapShift]],WorkWeek,Holidays)))</f>
        <v/>
      </c>
      <c r="ES6" s="74" t="n">
        <f aca="false">IF(Tasks[[#This Row],[Task Name]]="","",IF(Tasks[[#This Row],[_IsSummary]],MIN(INDEX(Tasks[_ShownCalcStart],Tasks[[#This Row],[_Row]]+1):INDEX(Tasks[_ShownCalcStart],Tasks[[#This Row],[_Row]]+Tasks[[#This Row],[_Descendants]])),Tasks[[#This Row],[_ShownCalcStart]]))</f>
        <v>46272</v>
      </c>
      <c r="ET6" s="74" t="n">
        <f aca="false">IF(Tasks[[#This Row],[Task Name]]="","",IF(Tasks[[#This Row],[_IsSummary]],MAX(INDEX(Tasks[_ShownCalcFinish],Tasks[[#This Row],[_Row]]+1):INDEX(Tasks[_ShownCalcFinish],Tasks[[#This Row],[_Row]]+Tasks[[#This Row],[_Descendants]])),Tasks[[#This Row],[_ShownCalcFinish]]))</f>
        <v>46276</v>
      </c>
      <c r="EU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6" s="45" t="n">
        <f aca="false">IF(AND(Tasks[[#This Row],[_IsLeaf]]=1,Tasks[[#This Row],[_LeafTotalWork]]&gt;0),NETWORKDAYS.INTL(ProjectStart,Tasks[[#This Row],[_ShownFcstStart]],WorkWeek,Holidays),0)</f>
        <v>0</v>
      </c>
      <c r="FH6" s="45" t="n">
        <f aca="false">IF(AND(Tasks[[#This Row],[_IsLeaf]]=1,Tasks[[#This Row],[_LeafTotalWork]]&gt;0),MAX(Tasks[[#This Row],[_StartWorkday]],NETWORKDAYS.INTL(ProjectStart,Tasks[[#This Row],[_ShownFcstFinish]],WorkWeek,Holidays)),0)</f>
        <v>0</v>
      </c>
      <c r="FI6" s="45" t="n">
        <f aca="false">IF(AND(Tasks[[#This Row],[_IsLeaf]]=1,Tasks[[#This Row],[_LeafTotalWork]]&gt;0),Tasks[[#This Row],[_LeafWork]]/(Tasks[[#This Row],[_FinishWorkday]]-Tasks[[#This Row],[_StartWorkday]]+1),0)</f>
        <v>0</v>
      </c>
      <c r="FJ6" s="45" t="n">
        <f aca="false">Tasks[[#This Row],[_WorkPerWorkday]]*(Tasks[[#This Row],[_StartWorkday]]-1)</f>
        <v>-0</v>
      </c>
      <c r="FK6" s="45" t="n">
        <f aca="false">IF(Tasks[[#This Row],[_IsLeaf]]=1,MAX(N(Tasks[[#This Row],[Duration]]),0.1),0)</f>
        <v>0</v>
      </c>
      <c r="FL6" s="45" t="n">
        <f aca="false">Tasks[[#This Row],[_WeightDur]]*Tasks[[#This Row],[_LeafProgress]]</f>
        <v>0</v>
      </c>
      <c r="FM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6" s="45" t="str">
        <f aca="false">IF(AND(Tasks[[#This Row],[_IsLeaf]]=1,N(Tasks[[#This Row],[Duration]])=0,Tasks[[#This Row],[_LeafProgress]]&lt;1),Tasks[[#This Row],[_ShownFcstFinish]]+Tasks[[#This Row],[_Row]]/100000,"")</f>
        <v/>
      </c>
      <c r="FO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6" s="45" t="n">
        <f aca="false">IF(NOT(Tasks[[#This Row],[_IsLeaf]]=1),0,IF(Tasks[[#This Row],[Baseline Cost]]="",Tasks[[#This Row],[_LeafTotalCost]],N(Tasks[[#This Row],[Baseline Cost]])))</f>
        <v>0</v>
      </c>
      <c r="FQ6" s="45" t="n">
        <f aca="false">Tasks[[#This Row],[_LeafBudget]]*Tasks[[#This Row],[_PlannedPct]]</f>
        <v>0</v>
      </c>
      <c r="FR6" s="45" t="n">
        <f aca="false">Tasks[[#This Row],[_LeafBudget]]*Tasks[[#This Row],[_LeafProgress]]</f>
        <v>0</v>
      </c>
      <c r="FS6" s="45" t="n">
        <f aca="false">IF(NOT(Tasks[[#This Row],[_IsLeaf]]=1),0,IF(Tasks[[#This Row],[Actual Cost]]="",Tasks[[#This Row],[_LeafTotalCost]]*Tasks[[#This Row],[_LeafProgress]],N(Tasks[[#This Row],[Actual Cost]])))</f>
        <v>0</v>
      </c>
      <c r="FT6" s="45" t="str">
        <f aca="false">IF(Tasks[[#This Row],[Task Name]]="","",LEFT(Tasks[[#This Row],[WBS]],FIND(".",Tasks[[#This Row],[WBS]]&amp;".")-1))</f>
        <v>1</v>
      </c>
      <c r="FU6" s="45" t="n">
        <f aca="false">IF(AND(Tasks[[#This Row],[Task Name]]&lt;&gt;"",Tasks[[#This Row],[_Level]]=1),Tasks[[#This Row],[_Row]],"")</f>
        <v>1</v>
      </c>
      <c r="FV6" s="45" t="str">
        <f aca="false">IF(AND(Tasks[[#This Row],[_IsLeaf]]=1,N(Tasks[[#This Row],[Duration]])=0),Tasks[[#This Row],[Planned Finish]]+Tasks[[#This Row],[_Row]]/100000,"")</f>
        <v/>
      </c>
      <c r="FW6" s="45" t="str">
        <f aca="false">IF(AND(Tasks[[#This Row],[_IsLeaf]]=1,Tasks[[#This Row],[_LeafProgress]]&lt;1,OR(N(Tasks[[#This Row],[Finish Var]])&gt;0,Tasks[[#This Row],[Status]]="Late Start")),MAX(0,Tasks[[#This Row],[Finish Var]])+1-Tasks[[#This Row],[_Row]]/1000000,"")</f>
        <v/>
      </c>
      <c r="FX6" s="45" t="str">
        <f aca="false">IF(AND(Tasks[[#This Row],[_IsLeaf]]=1,N(Tasks[[#This Row],[Actual Start]])=0,Tasks[[#This Row],[_ShownFcstStart]]&gt;=StatusDate,Tasks[[#This Row],[_ShownFcstStart]]&lt;=LookaheadEnd),Tasks[[#This Row],[_ShownFcstStart]]+Tasks[[#This Row],[_Row]]/100000,"")</f>
        <v/>
      </c>
      <c r="FY6" s="45" t="str">
        <f aca="false">IF(AND(Tasks[[#This Row],[_IsLeaf]]=1,Tasks[[#This Row],[_LeafProgress]]&lt;1,Tasks[[#This Row],[_ShownFcstFinish]]&gt;=StatusDate,Tasks[[#This Row],[_ShownFcstFinish]]&lt;=LookaheadEnd),Tasks[[#This Row],[_ShownFcstFinish]]+Tasks[[#This Row],[_Row]]/100000,"")</f>
        <v/>
      </c>
      <c r="FZ6" s="45" t="str">
        <f aca="false">IF(Tasks[[#This Row],[_LeafCritical]],Tasks[[#This Row],[_ShownFcstStart]]+Tasks[[#This Row],[_Row]]/100000,"")</f>
        <v/>
      </c>
      <c r="GA6" s="45" t="n">
        <f aca="false">Tasks[[#This Row],[_LeafWork]]*Tasks[[#This Row],[_LeafProgress]]</f>
        <v>0</v>
      </c>
      <c r="GB6" s="74" t="str">
        <f aca="false">IF(AND(Tasks[[#This Row],[_IsLeaf]]=1,Tasks[[#This Row],[_LeafProgress]]&gt;=1),IF(N(Tasks[[#This Row],[Actual Finish]])&gt;0,Tasks[[#This Row],[Actual Finish]],Tasks[[#This Row],[_ShownFcstFinish]]),"")</f>
        <v/>
      </c>
    </row>
    <row r="7" customFormat="false" ht="15" hidden="false" customHeight="false" outlineLevel="1" collapsed="false">
      <c r="A7" s="67" t="n">
        <f aca="false">IF(Tasks[[#This Row],[Task Name]]="","",COUNTA(Tasks[[#Headers],[Task Name]]:Tasks[[#This Row],[Task Name]])-1)</f>
        <v>2</v>
      </c>
      <c r="B7" s="21" t="n">
        <v>2</v>
      </c>
      <c r="C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D7" s="21" t="n">
        <v>2</v>
      </c>
      <c r="E7" s="75" t="s">
        <v>501</v>
      </c>
      <c r="F7" s="21" t="n">
        <v>3</v>
      </c>
      <c r="G7" s="22"/>
      <c r="H7" s="22" t="s">
        <v>6</v>
      </c>
      <c r="I7" s="22" t="s">
        <v>125</v>
      </c>
      <c r="J7" s="7" t="n">
        <v>46272</v>
      </c>
      <c r="K7" s="7" t="n">
        <v>46275</v>
      </c>
      <c r="L7" s="22" t="s">
        <v>502</v>
      </c>
      <c r="M7" s="58" t="n">
        <f aca="false">IF(Tasks[[#This Row],[Task Name]]="","",IF(Tasks[[#This Row],[_IsSummary]],MIN(INDEX(Tasks[_ShownFcstStart],Tasks[[#This Row],[_Row]]+1):INDEX(Tasks[_ShownFcstStart],Tasks[[#This Row],[_Row]]+Tasks[[#This Row],[_Descendants]])),Tasks[[#This Row],[_ShownFcstStart]]))</f>
        <v>46272</v>
      </c>
      <c r="N7" s="58" t="n">
        <f aca="false">IF(Tasks[[#This Row],[Task Name]]="","",IF(Tasks[[#This Row],[_IsSummary]],MAX(INDEX(Tasks[_ShownFcstFinish],Tasks[[#This Row],[_Row]]+1):INDEX(Tasks[_ShownFcstFinish],Tasks[[#This Row],[_Row]]+Tasks[[#This Row],[_Descendants]])),Tasks[[#This Row],[_ShownFcstFinish]]))</f>
        <v>46275</v>
      </c>
      <c r="O7" s="20" t="str">
        <f aca="false">IF(Tasks[[#This Row],[Task Name]]="","",IF(Tasks[[#This Row],[Progress]]&gt;=1,"Complete",IF(OR(N(Tasks[[#This Row],[Actual Start]])&gt;0,Tasks[[#This Row],[Progress]]&gt;0),IF(Tasks[[#This Row],[Finish Var]]&gt;0,"Behind","In Progress"),IF(Tasks[[#This Row],[Planned Start]]&lt;StatusDate,"Late Start","Not Started"))))</f>
        <v>Complete</v>
      </c>
      <c r="P7" s="20" t="str">
        <f aca="false">IF(Tasks[[#This Row],[Task Name]]="","",IF(IF(Tasks[[#This Row],[_IsSummary]],COUNTIF(INDEX(Tasks[_LeafCritical],Tasks[[#This Row],[_Row]]+1):INDEX(Tasks[_LeafCritical],Tasks[[#This Row],[_Row]]+Tasks[[#This Row],[_Descendants]]),TRUE())&gt;0,Tasks[[#This Row],[_LeafCritical]]),"Yes",""))</f>
        <v/>
      </c>
      <c r="Q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7" s="67" t="str">
        <f aca="false">IF(Tasks[[#This Row],[Task Name]]="","",IF(Tasks[[#This Row],[_Level]]&lt;=OutlineShowLevel,"Yes","No"))</f>
        <v>Yes</v>
      </c>
      <c r="S7" s="7"/>
      <c r="T7" s="21" t="s">
        <v>195</v>
      </c>
      <c r="U7" s="22"/>
      <c r="V7" s="7"/>
      <c r="W7" s="67" t="n">
        <f aca="false">IF(Tasks[[#This Row],[Task Name]]="","",IF(Tasks[[#This Row],[Finish]]&gt;=Tasks[[#This Row],[Planned Finish]],NETWORKDAYS.INTL(Tasks[[#This Row],[Planned Finish]],Tasks[[#This Row],[Finish]],WorkWeek,Holidays)-1,1-NETWORKDAYS.INTL(Tasks[[#This Row],[Finish]],Tasks[[#This Row],[Planned Finish]],WorkWeek,Holidays)))</f>
        <v>1</v>
      </c>
      <c r="X7" s="58" t="n">
        <f aca="false">IF(Tasks[[#This Row],[Task Name]]="","",IF(N(Tasks[[#This Row],[Baseline Start]])&gt;0,Tasks[[#This Row],[Baseline Start]],Tasks[[#This Row],[_CalcStart]]))</f>
        <v>46272</v>
      </c>
      <c r="Y7" s="58" t="n">
        <f aca="false">IF(Tasks[[#This Row],[Task Name]]="","",IF(N(Tasks[[#This Row],[Baseline Finish]])&gt;0,Tasks[[#This Row],[Baseline Finish]],Tasks[[#This Row],[_CalcFinish]]))</f>
        <v>46274</v>
      </c>
      <c r="Z7" s="67" t="n">
        <f aca="false">IF(Tasks[[#This Row],[Task Name]]="","",IF(Tasks[[#This Row],[Start]]&gt;=Tasks[[#This Row],[Planned Start]],NETWORKDAYS.INTL(Tasks[[#This Row],[Planned Start]],Tasks[[#This Row],[Start]],WorkWeek,Holidays)-1,1-NETWORKDAYS.INTL(Tasks[[#This Row],[Start]],Tasks[[#This Row],[Planned Start]],WorkWeek,Holidays)))</f>
        <v>0</v>
      </c>
      <c r="AA7" s="58" t="n">
        <f aca="false">IF(Tasks[[#This Row],[Task Name]]="","",IF(Tasks[[#This Row],[_IsSummary]],MIN(INDEX(Tasks[_LeafLateStart],Tasks[[#This Row],[_Row]]+1):INDEX(Tasks[_LeafLateStart],Tasks[[#This Row],[_Row]]+Tasks[[#This Row],[_Descendants]])),Tasks[[#This Row],[_LeafLateStart]]))</f>
        <v>46279</v>
      </c>
      <c r="AB7" s="58" t="n">
        <f aca="false">IF(Tasks[[#This Row],[Task Name]]="","",IF(Tasks[[#This Row],[_IsSummary]],MAX(INDEX(Tasks[_LeafLateFinish],Tasks[[#This Row],[_Row]]+1):INDEX(Tasks[_LeafLateFinish],Tasks[[#This Row],[_Row]]+Tasks[[#This Row],[_Descendants]])),Tasks[[#This Row],[_LeafLateFinish]]))</f>
        <v>46281</v>
      </c>
      <c r="AC7" s="67" t="n">
        <f aca="false">IF(Tasks[[#This Row],[Task Name]]="","",IF(Tasks[[#This Row],[_IsSummary]],MIN(INDEX(Tasks[_LeafTotalSlack],Tasks[[#This Row],[_Row]]+1):INDEX(Tasks[_LeafTotalSlack],Tasks[[#This Row],[_Row]]+Tasks[[#This Row],[_Descendants]])),Tasks[[#This Row],[_LeafTotalSlack]]))</f>
        <v>4</v>
      </c>
      <c r="AD7"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7" s="60"/>
      <c r="AH7"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I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7" s="69" t="n">
        <f aca="false">IF(Tasks[[#This Row],[Task Name]]="","",IF(Tasks[[#This Row],[_IsSummary]],SUM(INDEX(Tasks[_LeafTotalWork],Tasks[[#This Row],[_Row]]+1):INDEX(Tasks[_LeafTotalWork],Tasks[[#This Row],[_Row]]+Tasks[[#This Row],[_Descendants]])),Tasks[[#This Row],[_LeafTotalWork]]))</f>
        <v>24</v>
      </c>
      <c r="AK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Priya Sharma</v>
      </c>
      <c r="AL7" s="70" t="n">
        <f aca="false">IF(Tasks[[#This Row],[Task Name]]="","",IF(Tasks[[#This Row],[_IsSummary]],SUM(INDEX(Tasks[_LeafTotalCost],Tasks[[#This Row],[_Row]]+1):INDEX(Tasks[_LeafTotalCost],Tasks[[#This Row],[_Row]]+Tasks[[#This Row],[_Descendants]])),Tasks[[#This Row],[_LeafTotalCost]]))</f>
        <v>2280</v>
      </c>
      <c r="AM7" s="71" t="n">
        <v>3040</v>
      </c>
      <c r="AN7" s="20" t="str">
        <f aca="false">IF(OR(Tasks[[#This Row],[Task Name]]="",Tasks[[#This Row],[Baseline Duration]]=""),"",Tasks[[#This Row],[BL Source Duration]]-N(Tasks[[#This Row],[Baseline Duration]]))</f>
        <v/>
      </c>
      <c r="AO7" s="69" t="str">
        <f aca="false">IF(OR(Tasks[[#This Row],[Task Name]]="",Tasks[[#This Row],[Baseline Work]]=""),"",Tasks[[#This Row],[Work]]-N(Tasks[[#This Row],[Baseline Work]]))</f>
        <v/>
      </c>
      <c r="AP7" s="70" t="str">
        <f aca="false">IF(OR(Tasks[[#This Row],[Task Name]]="",Tasks[[#This Row],[Baseline Cost]]=""),"",Tasks[[#This Row],[Cost]]-N(Tasks[[#This Row],[Baseline Cost]]))</f>
        <v/>
      </c>
      <c r="AQ7" s="58" t="n">
        <f aca="false">IF(Tasks[[#This Row],[Task Name]]="","",Tasks[[#This Row],[Start]])</f>
        <v>46272</v>
      </c>
      <c r="AR7" s="58" t="n">
        <f aca="false">IF(Tasks[[#This Row],[Task Name]]="","",Tasks[[#This Row],[Finish]])</f>
        <v>46275</v>
      </c>
      <c r="AS7" s="67" t="n">
        <f aca="false">IF(Tasks[[#This Row],[Task Name]]="","",IF(Tasks[[#This Row],[_IsSummary]],NETWORKDAYS.INTL(Tasks[[#This Row],[Start]],Tasks[[#This Row],[Finish]],WorkWeek,Holidays),N(Tasks[[#This Row],[Duration]])))</f>
        <v>3</v>
      </c>
      <c r="AT7" s="69" t="n">
        <f aca="false">IF(Tasks[[#This Row],[Task Name]]="","",Tasks[[#This Row],[Work]])</f>
        <v>24</v>
      </c>
      <c r="AU7" s="70" t="n">
        <f aca="false">IF(Tasks[[#This Row],[Task Name]]="","",Tasks[[#This Row],[Cost]])</f>
        <v>2280</v>
      </c>
      <c r="AV7" s="7"/>
      <c r="AW7" s="7"/>
      <c r="AX7" s="21"/>
      <c r="AY7" s="72"/>
      <c r="AZ7" s="71"/>
      <c r="BA7" s="70" t="n">
        <f aca="false">IF(Tasks[[#This Row],[Task Name]]="","",IF(Tasks[[#This Row],[_IsSummary]],SUM(INDEX(Tasks[_LeafEV],Tasks[[#This Row],[_Row]]+1):INDEX(Tasks[_LeafEV],Tasks[[#This Row],[_Row]]+Tasks[[#This Row],[_Descendants]])),Tasks[[#This Row],[_LeafEV]]))</f>
        <v>2280</v>
      </c>
      <c r="BB7" s="70" t="n">
        <f aca="false">IF(Tasks[[#This Row],[Task Name]]="","",IF(Tasks[[#This Row],[_IsSummary]],SUM(INDEX(Tasks[_LeafBudget],Tasks[[#This Row],[_Row]]+1):INDEX(Tasks[_LeafBudget],Tasks[[#This Row],[_Row]]+Tasks[[#This Row],[_Descendants]])),Tasks[[#This Row],[_LeafBudget]]))</f>
        <v>2280</v>
      </c>
      <c r="BC7" s="70" t="n">
        <f aca="false">IF(Tasks[[#This Row],[Task Name]]="","",IF(Tasks[[#This Row],[_IsSummary]],SUM(INDEX(Tasks[_LeafPV],Tasks[[#This Row],[_Row]]+1):INDEX(Tasks[_LeafPV],Tasks[[#This Row],[_Row]]+Tasks[[#This Row],[_Descendants]])),Tasks[[#This Row],[_LeafPV]]))</f>
        <v>2280</v>
      </c>
      <c r="BD7" s="70" t="n">
        <f aca="false">IF(Tasks[[#This Row],[Task Name]]="","",IF(Tasks[[#This Row],[_IsSummary]],SUM(INDEX(Tasks[_LeafAC],Tasks[[#This Row],[_Row]]+1):INDEX(Tasks[_LeafAC],Tasks[[#This Row],[_Row]]+Tasks[[#This Row],[_Descendants]])),Tasks[[#This Row],[_LeafAC]]))</f>
        <v>3040</v>
      </c>
      <c r="BE7" s="45" t="n">
        <f aca="false">IF(Tasks[[#This Row],[Task Name]]="","",MAX(1,N(Tasks[[#This Row],[Level]])))</f>
        <v>2</v>
      </c>
      <c r="BF7" s="45" t="n">
        <f aca="false">ROW()-ROW(Tasks[[#Headers],[ID]])</f>
        <v>2</v>
      </c>
      <c r="BG7" s="45" t="n">
        <f aca="false">IF(OR(Tasks[[#This Row],[Task Name]]="",Tasks[[#This Row],[_Level]]&lt;=1),0,IFERROR(LOOKUP(2,1/(Tasks[[#Headers],[_Level]]:Tasks[[#This Row],[_Level]]=Tasks[[#This Row],[_Level]]-1),ROW(Tasks[[#Headers],[_Level]]:Tasks[[#This Row],[_Level]])),0))</f>
        <v>6</v>
      </c>
      <c r="BH7" s="45" t="n">
        <f aca="false">IFERROR(N(INDEX(Tasks[_Level],Tasks[[#This Row],[_Row]]+1)),0)</f>
        <v>2</v>
      </c>
      <c r="BI7" s="73" t="b">
        <f aca="false">AND(Tasks[[#This Row],[Task Name]]&lt;&gt;"",Tasks[[#This Row],[_NextLevel]]&gt;Tasks[[#This Row],[_Level]])</f>
        <v>0</v>
      </c>
      <c r="BJ7" s="45" t="n">
        <f aca="false">IF(Tasks[[#This Row],[_IsSummary]],COUNTIF(Tasks[WBS],Tasks[[#This Row],[WBS]]&amp;".*"),0)</f>
        <v>0</v>
      </c>
      <c r="BK7" s="45" t="n">
        <f aca="false">IF(AND(Tasks[[#This Row],[Task Name]]&lt;&gt;"",NOT(Tasks[[#This Row],[_IsSummary]])),1,0)</f>
        <v>1</v>
      </c>
      <c r="BL7" s="45" t="n">
        <f aca="false">IF(N(Tasks[[#This Row],[_Pred1UID]])=0,0,IFERROR(MATCH(Tasks[[#This Row],[_Pred1UID]],Tasks[UID],0),-1))</f>
        <v>0</v>
      </c>
      <c r="BM7" s="45" t="n">
        <f aca="false">IF(N(Tasks[[#This Row],[_Pred2UID]])=0,0,IFERROR(MATCH(Tasks[[#This Row],[_Pred2UID]],Tasks[UID],0),-1))</f>
        <v>0</v>
      </c>
      <c r="BN7" s="45" t="n">
        <f aca="false">IF(N(Tasks[[#This Row],[_Pred3UID]])=0,0,IFERROR(MATCH(Tasks[[#This Row],[_Pred3UID]],Tasks[UID],0),-1))</f>
        <v>0</v>
      </c>
      <c r="BO7" s="45" t="n">
        <f aca="false">IF(N(Tasks[[#This Row],[_Pred4UID]])=0,0,IFERROR(MATCH(Tasks[[#This Row],[_Pred4UID]],Tasks[UID],0),-1))</f>
        <v>0</v>
      </c>
      <c r="BP7"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7" s="74" t="n">
        <f aca="false">IF(OR(Tasks[[#This Row],[_ConstraintCode]]=2,Tasks[[#This Row],[_ConstraintCode]]=3,Tasks[[#This Row],[_ConstraintCode]]=4,Tasks[[#This Row],[_ConstraintCode]]=6),Tasks[[#This Row],[_ConstraintStart]],0)</f>
        <v>0</v>
      </c>
      <c r="BS7" s="74" t="n">
        <f aca="false">IF(OR(Tasks[[#This Row],[_ConstraintCode]]=2,Tasks[[#This Row],[_ConstraintCode]]=3,Tasks[[#This Row],[_ConstraintCode]]=5,Tasks[[#This Row],[_ConstraintCode]]=7),Tasks[[#This Row],[_ConstraintStart]],2958465)</f>
        <v>2958465</v>
      </c>
      <c r="BT7"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BU7" s="74" t="n">
        <f aca="false">IF(NOT(Tasks[[#This Row],[_IsLeaf]]=1),"",IF(N(Tasks[[#This Row],[Duration]])&lt;=0,Tasks[[#This Row],[_LeafCalcStart]],WORKDAY.INTL(Tasks[[#This Row],[_LeafCalcStart]],Tasks[[#This Row],[Duration]]-1,WorkWeek,Holidays)))</f>
        <v>46274</v>
      </c>
      <c r="BV7"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BW7"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46275</v>
      </c>
      <c r="BX7" s="45" t="str">
        <f aca="false">IF(Tasks[[#This Row],[Predecessors]]="","",TRIM(MID(SUBSTITUTE(SUBSTITUTE(SUBSTITUTE(UPPER(Tasks[[#This Row],[Predecessors]]),";",",")," ",""),",",REPT(" ",99)),1,99)))</f>
        <v/>
      </c>
      <c r="BY7" s="45" t="str">
        <f aca="false">IF(Tasks[[#This Row],[_Pred1Text]]="","",IFERROR(VALUE(LEFT(Tasks[[#This Row],[_Pred1Text]],MIN(FIND("F",Tasks[[#This Row],[_Pred1Text]]&amp;"F"),FIND("S",Tasks[[#This Row],[_Pred1Text]]&amp;"S"),FIND("+",Tasks[[#This Row],[_Pred1Text]]&amp;"+"),FIND("-",Tasks[[#This Row],[_Pred1Text]]&amp;"-"))-1)),""))</f>
        <v/>
      </c>
      <c r="BZ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7" s="45" t="str">
        <f aca="false">IF(Tasks[[#This Row],[_Pred1Text]]="","",TRIM(MID(SUBSTITUTE(SUBSTITUTE(SUBSTITUTE(UPPER(Tasks[[#This Row],[Predecessors]]),";",",")," ",""),",",REPT(" ",99)),100,99)))</f>
        <v/>
      </c>
      <c r="CC7" s="45" t="str">
        <f aca="false">IF(Tasks[[#This Row],[_Pred2Text]]="","",IFERROR(VALUE(LEFT(Tasks[[#This Row],[_Pred2Text]],MIN(FIND("F",Tasks[[#This Row],[_Pred2Text]]&amp;"F"),FIND("S",Tasks[[#This Row],[_Pred2Text]]&amp;"S"),FIND("+",Tasks[[#This Row],[_Pred2Text]]&amp;"+"),FIND("-",Tasks[[#This Row],[_Pred2Text]]&amp;"-"))-1)),""))</f>
        <v/>
      </c>
      <c r="CD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7" s="45" t="str">
        <f aca="false">IF(Tasks[[#This Row],[_Pred2Text]]="","",TRIM(MID(SUBSTITUTE(SUBSTITUTE(SUBSTITUTE(UPPER(Tasks[[#This Row],[Predecessors]]),";",",")," ",""),",",REPT(" ",99)),199,99)))</f>
        <v/>
      </c>
      <c r="CG7" s="45" t="str">
        <f aca="false">IF(Tasks[[#This Row],[_Pred3Text]]="","",IFERROR(VALUE(LEFT(Tasks[[#This Row],[_Pred3Text]],MIN(FIND("F",Tasks[[#This Row],[_Pred3Text]]&amp;"F"),FIND("S",Tasks[[#This Row],[_Pred3Text]]&amp;"S"),FIND("+",Tasks[[#This Row],[_Pred3Text]]&amp;"+"),FIND("-",Tasks[[#This Row],[_Pred3Text]]&amp;"-"))-1)),""))</f>
        <v/>
      </c>
      <c r="CH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7" s="45" t="str">
        <f aca="false">IF(Tasks[[#This Row],[_Pred3Text]]="","",TRIM(MID(SUBSTITUTE(SUBSTITUTE(SUBSTITUTE(UPPER(Tasks[[#This Row],[Predecessors]]),";",",")," ",""),",",REPT(" ",99)),298,99)))</f>
        <v/>
      </c>
      <c r="CK7" s="45" t="str">
        <f aca="false">IF(Tasks[[#This Row],[_Pred4Text]]="","",IFERROR(VALUE(LEFT(Tasks[[#This Row],[_Pred4Text]],MIN(FIND("F",Tasks[[#This Row],[_Pred4Text]]&amp;"F"),FIND("S",Tasks[[#This Row],[_Pred4Text]]&amp;"S"),FIND("+",Tasks[[#This Row],[_Pred4Text]]&amp;"+"),FIND("-",Tasks[[#This Row],[_Pred4Text]]&amp;"-"))-1)),""))</f>
        <v/>
      </c>
      <c r="CL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7" s="45" t="str">
        <f aca="false">IF(OR(Tasks[[#This Row],[Task Name]]="",Tasks[[#This Row],[Resources]]=""),"",TRIM(MID(SUBSTITUTE(Tasks[[#This Row],[Resources]],",",REPT(" ",99)),1,99)))</f>
        <v>Priya Sharma</v>
      </c>
      <c r="CO7" s="45" t="str">
        <f aca="false">IF(Tasks[[#This Row],[_Res1Text]]="","",TRIM(MID(SUBSTITUTE(Tasks[[#This Row],[Resources]],",",REPT(" ",99)),100,99)))</f>
        <v/>
      </c>
      <c r="CP7" s="45" t="str">
        <f aca="false">IF(Tasks[[#This Row],[_Res2Text]]="","",TRIM(MID(SUBSTITUTE(Tasks[[#This Row],[Resources]],",",REPT(" ",99)),199,99)))</f>
        <v/>
      </c>
      <c r="CQ7" s="45" t="str">
        <f aca="false">IF(Tasks[[#This Row],[_Res3Text]]="","",TRIM(MID(SUBSTITUTE(Tasks[[#This Row],[Resources]],",",REPT(" ",99)),298,99)))</f>
        <v/>
      </c>
      <c r="CR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Priya Sharma</v>
      </c>
      <c r="CS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 s="45" t="n">
        <f aca="false">IF(NOT(Tasks[[#This Row],[_IsLeaf]]=1),0,(Tasks[[#This Row],[_Resource1]]&lt;&gt;"")+(Tasks[[#This Row],[_Res2]]&lt;&gt;"")+(Tasks[[#This Row],[_Res3]]&lt;&gt;"")+(Tasks[[#This Row],[_Res4]]&lt;&gt;""))</f>
        <v>1</v>
      </c>
      <c r="CU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 s="45" t="n">
        <f aca="false">IF(OR(NOT(Tasks[[#This Row],[_IsLeaf]]=1),Tasks[[#This Row],[_Res2]]=""),0,IF(ISNA(MATCH(Tasks[[#This Row],[_Res2]],res_Name,0)),0,N(Tasks[[#This Row],[Duration]])*HoursPerDay*IF(Tasks[[#This Row],[_Res2Units]]="",DefaultUnits,Tasks[[#This Row],[_Res2Units]])))</f>
        <v>0</v>
      </c>
      <c r="CX7" s="45" t="n">
        <f aca="false">IF(Tasks[[#This Row],[_Res2Work]]=0,0,Tasks[[#This Row],[_Res2Work]]*IFERROR(INDEX(res_Rate,MATCH(Tasks[[#This Row],[_Res2]],res_Name,0)),0))</f>
        <v>0</v>
      </c>
      <c r="CY7" s="45" t="n">
        <f aca="false">IF(AND(AND(Tasks[[#This Row],[_IsLeaf]]=1,Tasks[[#This Row],[_LeafTotalWork]]&gt;0),Tasks[[#This Row],[_Res2Work]]&gt;0),Tasks[[#This Row],[_Res2Work]]/(Tasks[[#This Row],[_FinishWorkday]]-Tasks[[#This Row],[_StartWorkday]]+1),0)</f>
        <v>0</v>
      </c>
      <c r="CZ7" s="45" t="n">
        <f aca="false">Tasks[[#This Row],[_Res2WorkPerWD]]*MAX(0,Tasks[[#This Row],[_StartWorkday]]-1)</f>
        <v>0</v>
      </c>
      <c r="DA7" s="45" t="n">
        <f aca="false">Tasks[[#This Row],[_Res2Work]]*Tasks[[#This Row],[_LeafProgress]]</f>
        <v>0</v>
      </c>
      <c r="DB7" s="45" t="n">
        <f aca="false">IF(Tasks[[#This Row],[_LeafTotalCost]]=0,0,Tasks[[#This Row],[_LeafAC]]*Tasks[[#This Row],[_Res2Cost]]/Tasks[[#This Row],[_LeafTotalCost]])</f>
        <v>0</v>
      </c>
      <c r="DC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7" s="45" t="n">
        <f aca="false">IF(OR(NOT(Tasks[[#This Row],[_IsLeaf]]=1),Tasks[[#This Row],[_Res3]]=""),0,IF(ISNA(MATCH(Tasks[[#This Row],[_Res3]],res_Name,0)),0,N(Tasks[[#This Row],[Duration]])*HoursPerDay*IF(Tasks[[#This Row],[_Res3Units]]="",DefaultUnits,Tasks[[#This Row],[_Res3Units]])))</f>
        <v>0</v>
      </c>
      <c r="DF7" s="45" t="n">
        <f aca="false">IF(Tasks[[#This Row],[_Res3Work]]=0,0,Tasks[[#This Row],[_Res3Work]]*IFERROR(INDEX(res_Rate,MATCH(Tasks[[#This Row],[_Res3]],res_Name,0)),0))</f>
        <v>0</v>
      </c>
      <c r="DG7" s="45" t="n">
        <f aca="false">IF(AND(AND(Tasks[[#This Row],[_IsLeaf]]=1,Tasks[[#This Row],[_LeafTotalWork]]&gt;0),Tasks[[#This Row],[_Res3Work]]&gt;0),Tasks[[#This Row],[_Res3Work]]/(Tasks[[#This Row],[_FinishWorkday]]-Tasks[[#This Row],[_StartWorkday]]+1),0)</f>
        <v>0</v>
      </c>
      <c r="DH7" s="45" t="n">
        <f aca="false">Tasks[[#This Row],[_Res3WorkPerWD]]*MAX(0,Tasks[[#This Row],[_StartWorkday]]-1)</f>
        <v>0</v>
      </c>
      <c r="DI7" s="45" t="n">
        <f aca="false">Tasks[[#This Row],[_Res3Work]]*Tasks[[#This Row],[_LeafProgress]]</f>
        <v>0</v>
      </c>
      <c r="DJ7" s="45" t="n">
        <f aca="false">IF(Tasks[[#This Row],[_LeafTotalCost]]=0,0,Tasks[[#This Row],[_LeafAC]]*Tasks[[#This Row],[_Res3Cost]]/Tasks[[#This Row],[_LeafTotalCost]])</f>
        <v>0</v>
      </c>
      <c r="DK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7" s="45" t="n">
        <f aca="false">IF(OR(NOT(Tasks[[#This Row],[_IsLeaf]]=1),Tasks[[#This Row],[_Res4]]=""),0,IF(ISNA(MATCH(Tasks[[#This Row],[_Res4]],res_Name,0)),0,N(Tasks[[#This Row],[Duration]])*HoursPerDay*IF(Tasks[[#This Row],[_Res4Units]]="",DefaultUnits,Tasks[[#This Row],[_Res4Units]])))</f>
        <v>0</v>
      </c>
      <c r="DN7" s="45" t="n">
        <f aca="false">IF(Tasks[[#This Row],[_Res4Work]]=0,0,Tasks[[#This Row],[_Res4Work]]*IFERROR(INDEX(res_Rate,MATCH(Tasks[[#This Row],[_Res4]],res_Name,0)),0))</f>
        <v>0</v>
      </c>
      <c r="DO7" s="45" t="n">
        <f aca="false">IF(AND(AND(Tasks[[#This Row],[_IsLeaf]]=1,Tasks[[#This Row],[_LeafTotalWork]]&gt;0),Tasks[[#This Row],[_Res4Work]]&gt;0),Tasks[[#This Row],[_Res4Work]]/(Tasks[[#This Row],[_FinishWorkday]]-Tasks[[#This Row],[_StartWorkday]]+1),0)</f>
        <v>0</v>
      </c>
      <c r="DP7" s="45" t="n">
        <f aca="false">Tasks[[#This Row],[_Res4WorkPerWD]]*MAX(0,Tasks[[#This Row],[_StartWorkday]]-1)</f>
        <v>0</v>
      </c>
      <c r="DQ7" s="45" t="n">
        <f aca="false">Tasks[[#This Row],[_Res4Work]]*Tasks[[#This Row],[_LeafProgress]]</f>
        <v>0</v>
      </c>
      <c r="DR7" s="45" t="n">
        <f aca="false">IF(Tasks[[#This Row],[_LeafTotalCost]]=0,0,Tasks[[#This Row],[_LeafAC]]*Tasks[[#This Row],[_Res4Cost]]/Tasks[[#This Row],[_LeafTotalCost]])</f>
        <v>0</v>
      </c>
      <c r="DS7" s="76" t="n">
        <f aca="false">IF(ISNUMBER(Tasks[[#This Row],[% Complete]]),Tasks[[#This Row],[% Complete]],IF(Tasks[[#This Row],[Stage]]="",0,IFERROR(INDEX(stg_Pct,MATCH(Tasks[[#This Row],[Stage]],stg_Name,0)),0)))</f>
        <v>1</v>
      </c>
      <c r="DT7" s="45" t="n">
        <f aca="false">IF(NOT(Tasks[[#This Row],[_IsLeaf]]=1),0,IF(N(Tasks[[#This Row],[Actual Finish]])&gt;0,1,MIN(1,Tasks[[#This Row],[_Pct]])))</f>
        <v>1</v>
      </c>
      <c r="DU7" s="45" t="n">
        <f aca="false">IF(OR(NOT(Tasks[[#This Row],[_IsLeaf]]=1),Tasks[[#This Row],[_Resource1]]=""),0,IF(ISNA(MATCH(Tasks[[#This Row],[_Resource1]],res_Name,0)),0,N(Tasks[[#This Row],[Duration]])*HoursPerDay*IF(Tasks[[#This Row],[_Units1]]="",DefaultUnits,Tasks[[#This Row],[_Units1]])))</f>
        <v>24</v>
      </c>
      <c r="DV7" s="45" t="n">
        <f aca="false">IF(Tasks[[#This Row],[_LeafWork]]=0,0,Tasks[[#This Row],[_LeafWork]]*IFERROR(INDEX(res_Rate,MATCH(Tasks[[#This Row],[_Resource1]],res_Name,0)),0))</f>
        <v>2280</v>
      </c>
      <c r="DW7" s="45" t="n">
        <f aca="false">Tasks[[#This Row],[_LeafWork]]+Tasks[[#This Row],[_Res2Work]]+Tasks[[#This Row],[_Res3Work]]+Tasks[[#This Row],[_Res4Work]]</f>
        <v>24</v>
      </c>
      <c r="DX7" s="45" t="n">
        <f aca="false">Tasks[[#This Row],[_LeafCost]]+Tasks[[#This Row],[_Res2Cost]]+Tasks[[#This Row],[_Res3Cost]]+Tasks[[#This Row],[_Res4Cost]]</f>
        <v>2280</v>
      </c>
      <c r="DY7" s="45" t="n">
        <f aca="false">IF(Tasks[[#This Row],[_LeafTotalCost]]=0,Tasks[[#This Row],[_LeafAC]],Tasks[[#This Row],[_LeafAC]]*Tasks[[#This Row],[_LeafCost]]/Tasks[[#This Row],[_LeafTotalCost]])</f>
        <v>3040</v>
      </c>
      <c r="DZ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7" s="45" t="n">
        <f aca="false">IF(NOT(Tasks[[#This Row],[_IsLeaf]]=1),0,MAX(_xlfn.MAXIFS(Tasks[_Row],Tasks[_Pred1UID],Tasks[[#This Row],[UID]]),_xlfn.MAXIFS(Tasks[_Row],Tasks[_Pred2UID],Tasks[[#This Row],[UID]]),_xlfn.MAXIFS(Tasks[_Row],Tasks[_Pred3UID],Tasks[[#This Row],[UID]]),_xlfn.MAXIFS(Tasks[_Row],Tasks[_Pred4UID],Tasks[[#This Row],[UID]])))</f>
        <v>3</v>
      </c>
      <c r="EI7"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46281</v>
      </c>
      <c r="EJ7"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46281</v>
      </c>
      <c r="EK7" s="74" t="n">
        <f aca="false">IF(NOT(Tasks[[#This Row],[_IsLeaf]]=1),"",IF(N(Tasks[[#This Row],[Duration]])&lt;=0,Tasks[[#This Row],[_LeafLateFinish]],WORKDAY.INTL(Tasks[[#This Row],[_LeafLateFinish]],-(Tasks[[#This Row],[Duration]]-1),WorkWeek,Holidays)))</f>
        <v>46279</v>
      </c>
      <c r="EL7"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EM7" s="73" t="b">
        <f aca="false">AND(Tasks[[#This Row],[_IsLeaf]]=1,Tasks[[#This Row],[_LeafProgress]]&lt;1,N(Tasks[[#This Row],[_LeafTotalSlack]])&lt;=CriticalSlackDays)</f>
        <v>0</v>
      </c>
      <c r="EN7" s="45" t="n">
        <f aca="false">IF(AND(Tasks[[#This Row],[_IsLeaf]]=1,Tasks[[#This Row],[_ConstraintCode]]=1,Tasks[[#This Row],[Mode]]&lt;&gt;"Manual",N(Tasks[[#This Row],[Actual Start]])=0),MAX(0,N(Tasks[[#This Row],[Free Slack]])),0)</f>
        <v>0</v>
      </c>
      <c r="EO7" s="74" t="n">
        <f aca="false">IF(NOT(Tasks[[#This Row],[_IsLeaf]]=1),"",IF(Tasks[[#This Row],[_AlapShift]]=0,Tasks[[#This Row],[_LeafCalcStart]],WORKDAY.INTL(Tasks[[#This Row],[_LeafCalcStart]],Tasks[[#This Row],[_AlapShift]],WorkWeek,Holidays)))</f>
        <v>46272</v>
      </c>
      <c r="EP7" s="74" t="n">
        <f aca="false">IF(NOT(Tasks[[#This Row],[_IsLeaf]]=1),"",IF(Tasks[[#This Row],[_AlapShift]]=0,Tasks[[#This Row],[_LeafCalcFinish]],WORKDAY.INTL(Tasks[[#This Row],[_LeafCalcFinish]],Tasks[[#This Row],[_AlapShift]],WorkWeek,Holidays)))</f>
        <v>46274</v>
      </c>
      <c r="EQ7" s="74" t="n">
        <f aca="false">IF(NOT(Tasks[[#This Row],[_IsLeaf]]=1),"",IF(Tasks[[#This Row],[_AlapShift]]=0,Tasks[[#This Row],[_LeafFcstStart]],WORKDAY.INTL(Tasks[[#This Row],[_LeafFcstStart]],Tasks[[#This Row],[_AlapShift]],WorkWeek,Holidays)))</f>
        <v>46272</v>
      </c>
      <c r="ER7" s="74" t="n">
        <f aca="false">IF(NOT(Tasks[[#This Row],[_IsLeaf]]=1),"",IF(Tasks[[#This Row],[_AlapShift]]=0,Tasks[[#This Row],[_LeafFcstFinish]],WORKDAY.INTL(Tasks[[#This Row],[_LeafFcstFinish]],Tasks[[#This Row],[_AlapShift]],WorkWeek,Holidays)))</f>
        <v>46275</v>
      </c>
      <c r="ES7" s="74" t="n">
        <f aca="false">IF(Tasks[[#This Row],[Task Name]]="","",IF(Tasks[[#This Row],[_IsSummary]],MIN(INDEX(Tasks[_ShownCalcStart],Tasks[[#This Row],[_Row]]+1):INDEX(Tasks[_ShownCalcStart],Tasks[[#This Row],[_Row]]+Tasks[[#This Row],[_Descendants]])),Tasks[[#This Row],[_ShownCalcStart]]))</f>
        <v>46272</v>
      </c>
      <c r="ET7" s="74" t="n">
        <f aca="false">IF(Tasks[[#This Row],[Task Name]]="","",IF(Tasks[[#This Row],[_IsSummary]],MAX(INDEX(Tasks[_ShownCalcFinish],Tasks[[#This Row],[_Row]]+1):INDEX(Tasks[_ShownCalcFinish],Tasks[[#This Row],[_Row]]+Tasks[[#This Row],[_Descendants]])),Tasks[[#This Row],[_ShownCalcFinish]]))</f>
        <v>46274</v>
      </c>
      <c r="EU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7" s="45" t="n">
        <f aca="false">IF(AND(Tasks[[#This Row],[_IsLeaf]]=1,Tasks[[#This Row],[_LeafTotalWork]]&gt;0),NETWORKDAYS.INTL(ProjectStart,Tasks[[#This Row],[_ShownFcstStart]],WorkWeek,Holidays),0)</f>
        <v>1</v>
      </c>
      <c r="FH7" s="45" t="n">
        <f aca="false">IF(AND(Tasks[[#This Row],[_IsLeaf]]=1,Tasks[[#This Row],[_LeafTotalWork]]&gt;0),MAX(Tasks[[#This Row],[_StartWorkday]],NETWORKDAYS.INTL(ProjectStart,Tasks[[#This Row],[_ShownFcstFinish]],WorkWeek,Holidays)),0)</f>
        <v>4</v>
      </c>
      <c r="FI7" s="45" t="n">
        <f aca="false">IF(AND(Tasks[[#This Row],[_IsLeaf]]=1,Tasks[[#This Row],[_LeafTotalWork]]&gt;0),Tasks[[#This Row],[_LeafWork]]/(Tasks[[#This Row],[_FinishWorkday]]-Tasks[[#This Row],[_StartWorkday]]+1),0)</f>
        <v>6</v>
      </c>
      <c r="FJ7" s="45" t="n">
        <f aca="false">Tasks[[#This Row],[_WorkPerWorkday]]*(Tasks[[#This Row],[_StartWorkday]]-1)</f>
        <v>0</v>
      </c>
      <c r="FK7" s="45" t="n">
        <f aca="false">IF(Tasks[[#This Row],[_IsLeaf]]=1,MAX(N(Tasks[[#This Row],[Duration]]),0.1),0)</f>
        <v>3</v>
      </c>
      <c r="FL7" s="45" t="n">
        <f aca="false">Tasks[[#This Row],[_WeightDur]]*Tasks[[#This Row],[_LeafProgress]]</f>
        <v>3</v>
      </c>
      <c r="FM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7" s="45" t="str">
        <f aca="false">IF(AND(Tasks[[#This Row],[_IsLeaf]]=1,N(Tasks[[#This Row],[Duration]])=0,Tasks[[#This Row],[_LeafProgress]]&lt;1),Tasks[[#This Row],[_ShownFcstFinish]]+Tasks[[#This Row],[_Row]]/100000,"")</f>
        <v/>
      </c>
      <c r="FO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P7" s="45" t="n">
        <f aca="false">IF(NOT(Tasks[[#This Row],[_IsLeaf]]=1),0,IF(Tasks[[#This Row],[Baseline Cost]]="",Tasks[[#This Row],[_LeafTotalCost]],N(Tasks[[#This Row],[Baseline Cost]])))</f>
        <v>2280</v>
      </c>
      <c r="FQ7" s="45" t="n">
        <f aca="false">Tasks[[#This Row],[_LeafBudget]]*Tasks[[#This Row],[_PlannedPct]]</f>
        <v>2280</v>
      </c>
      <c r="FR7" s="45" t="n">
        <f aca="false">Tasks[[#This Row],[_LeafBudget]]*Tasks[[#This Row],[_LeafProgress]]</f>
        <v>2280</v>
      </c>
      <c r="FS7" s="45" t="n">
        <f aca="false">IF(NOT(Tasks[[#This Row],[_IsLeaf]]=1),0,IF(Tasks[[#This Row],[Actual Cost]]="",Tasks[[#This Row],[_LeafTotalCost]]*Tasks[[#This Row],[_LeafProgress]],N(Tasks[[#This Row],[Actual Cost]])))</f>
        <v>3040</v>
      </c>
      <c r="FT7" s="45" t="str">
        <f aca="false">IF(Tasks[[#This Row],[Task Name]]="","",LEFT(Tasks[[#This Row],[WBS]],FIND(".",Tasks[[#This Row],[WBS]]&amp;".")-1))</f>
        <v>1</v>
      </c>
      <c r="FU7" s="45" t="str">
        <f aca="false">IF(AND(Tasks[[#This Row],[Task Name]]&lt;&gt;"",Tasks[[#This Row],[_Level]]=1),Tasks[[#This Row],[_Row]],"")</f>
        <v/>
      </c>
      <c r="FV7" s="45" t="str">
        <f aca="false">IF(AND(Tasks[[#This Row],[_IsLeaf]]=1,N(Tasks[[#This Row],[Duration]])=0),Tasks[[#This Row],[Planned Finish]]+Tasks[[#This Row],[_Row]]/100000,"")</f>
        <v/>
      </c>
      <c r="FW7" s="45" t="str">
        <f aca="false">IF(AND(Tasks[[#This Row],[_IsLeaf]]=1,Tasks[[#This Row],[_LeafProgress]]&lt;1,OR(N(Tasks[[#This Row],[Finish Var]])&gt;0,Tasks[[#This Row],[Status]]="Late Start")),MAX(0,Tasks[[#This Row],[Finish Var]])+1-Tasks[[#This Row],[_Row]]/1000000,"")</f>
        <v/>
      </c>
      <c r="FX7" s="45" t="str">
        <f aca="false">IF(AND(Tasks[[#This Row],[_IsLeaf]]=1,N(Tasks[[#This Row],[Actual Start]])=0,Tasks[[#This Row],[_ShownFcstStart]]&gt;=StatusDate,Tasks[[#This Row],[_ShownFcstStart]]&lt;=LookaheadEnd),Tasks[[#This Row],[_ShownFcstStart]]+Tasks[[#This Row],[_Row]]/100000,"")</f>
        <v/>
      </c>
      <c r="FY7" s="45" t="str">
        <f aca="false">IF(AND(Tasks[[#This Row],[_IsLeaf]]=1,Tasks[[#This Row],[_LeafProgress]]&lt;1,Tasks[[#This Row],[_ShownFcstFinish]]&gt;=StatusDate,Tasks[[#This Row],[_ShownFcstFinish]]&lt;=LookaheadEnd),Tasks[[#This Row],[_ShownFcstFinish]]+Tasks[[#This Row],[_Row]]/100000,"")</f>
        <v/>
      </c>
      <c r="FZ7" s="45" t="str">
        <f aca="false">IF(Tasks[[#This Row],[_LeafCritical]],Tasks[[#This Row],[_ShownFcstStart]]+Tasks[[#This Row],[_Row]]/100000,"")</f>
        <v/>
      </c>
      <c r="GA7" s="45" t="n">
        <f aca="false">Tasks[[#This Row],[_LeafWork]]*Tasks[[#This Row],[_LeafProgress]]</f>
        <v>24</v>
      </c>
      <c r="GB7" s="74" t="n">
        <f aca="false">IF(AND(Tasks[[#This Row],[_IsLeaf]]=1,Tasks[[#This Row],[_LeafProgress]]&gt;=1),IF(N(Tasks[[#This Row],[Actual Finish]])&gt;0,Tasks[[#This Row],[Actual Finish]],Tasks[[#This Row],[_ShownFcstFinish]]),"")</f>
        <v>46275</v>
      </c>
    </row>
    <row r="8" customFormat="false" ht="15" hidden="false" customHeight="false" outlineLevel="1" collapsed="false">
      <c r="A8" s="67" t="n">
        <f aca="false">IF(Tasks[[#This Row],[Task Name]]="","",COUNTA(Tasks[[#Headers],[Task Name]]:Tasks[[#This Row],[Task Name]])-1)</f>
        <v>3</v>
      </c>
      <c r="B8" s="21" t="n">
        <v>3</v>
      </c>
      <c r="C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D8" s="21" t="n">
        <v>2</v>
      </c>
      <c r="E8" s="75" t="s">
        <v>503</v>
      </c>
      <c r="F8" s="21" t="n">
        <v>2</v>
      </c>
      <c r="G8" s="22" t="s">
        <v>504</v>
      </c>
      <c r="H8" s="22" t="s">
        <v>505</v>
      </c>
      <c r="I8" s="22" t="s">
        <v>125</v>
      </c>
      <c r="J8" s="7" t="n">
        <v>46276</v>
      </c>
      <c r="K8" s="7" t="n">
        <v>46279</v>
      </c>
      <c r="L8" s="22"/>
      <c r="M8" s="58" t="n">
        <f aca="false">IF(Tasks[[#This Row],[Task Name]]="","",IF(Tasks[[#This Row],[_IsSummary]],MIN(INDEX(Tasks[_ShownFcstStart],Tasks[[#This Row],[_Row]]+1):INDEX(Tasks[_ShownFcstStart],Tasks[[#This Row],[_Row]]+Tasks[[#This Row],[_Descendants]])),Tasks[[#This Row],[_ShownFcstStart]]))</f>
        <v>46276</v>
      </c>
      <c r="N8" s="58" t="n">
        <f aca="false">IF(Tasks[[#This Row],[Task Name]]="","",IF(Tasks[[#This Row],[_IsSummary]],MAX(INDEX(Tasks[_ShownFcstFinish],Tasks[[#This Row],[_Row]]+1):INDEX(Tasks[_ShownFcstFinish],Tasks[[#This Row],[_Row]]+Tasks[[#This Row],[_Descendants]])),Tasks[[#This Row],[_ShownFcstFinish]]))</f>
        <v>46279</v>
      </c>
      <c r="O8" s="20" t="str">
        <f aca="false">IF(Tasks[[#This Row],[Task Name]]="","",IF(Tasks[[#This Row],[Progress]]&gt;=1,"Complete",IF(OR(N(Tasks[[#This Row],[Actual Start]])&gt;0,Tasks[[#This Row],[Progress]]&gt;0),IF(Tasks[[#This Row],[Finish Var]]&gt;0,"Behind","In Progress"),IF(Tasks[[#This Row],[Planned Start]]&lt;StatusDate,"Late Start","Not Started"))))</f>
        <v>Complete</v>
      </c>
      <c r="P8" s="20" t="str">
        <f aca="false">IF(Tasks[[#This Row],[Task Name]]="","",IF(IF(Tasks[[#This Row],[_IsSummary]],COUNTIF(INDEX(Tasks[_LeafCritical],Tasks[[#This Row],[_Row]]+1):INDEX(Tasks[_LeafCritical],Tasks[[#This Row],[_Row]]+Tasks[[#This Row],[_Descendants]]),TRUE())&gt;0,Tasks[[#This Row],[_LeafCritical]]),"Yes",""))</f>
        <v/>
      </c>
      <c r="Q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8" s="67" t="str">
        <f aca="false">IF(Tasks[[#This Row],[Task Name]]="","",IF(Tasks[[#This Row],[_Level]]&lt;=OutlineShowLevel,"Yes","No"))</f>
        <v>Yes</v>
      </c>
      <c r="S8" s="7"/>
      <c r="T8" s="21" t="s">
        <v>195</v>
      </c>
      <c r="U8" s="22"/>
      <c r="V8" s="7"/>
      <c r="W8" s="67" t="n">
        <f aca="false">IF(Tasks[[#This Row],[Task Name]]="","",IF(Tasks[[#This Row],[Finish]]&gt;=Tasks[[#This Row],[Planned Finish]],NETWORKDAYS.INTL(Tasks[[#This Row],[Planned Finish]],Tasks[[#This Row],[Finish]],WorkWeek,Holidays)-1,1-NETWORKDAYS.INTL(Tasks[[#This Row],[Finish]],Tasks[[#This Row],[Planned Finish]],WorkWeek,Holidays)))</f>
        <v>1</v>
      </c>
      <c r="X8" s="58" t="n">
        <f aca="false">IF(Tasks[[#This Row],[Task Name]]="","",IF(N(Tasks[[#This Row],[Baseline Start]])&gt;0,Tasks[[#This Row],[Baseline Start]],Tasks[[#This Row],[_CalcStart]]))</f>
        <v>46275</v>
      </c>
      <c r="Y8" s="58" t="n">
        <f aca="false">IF(Tasks[[#This Row],[Task Name]]="","",IF(N(Tasks[[#This Row],[Baseline Finish]])&gt;0,Tasks[[#This Row],[Baseline Finish]],Tasks[[#This Row],[_CalcFinish]]))</f>
        <v>46276</v>
      </c>
      <c r="Z8" s="67" t="n">
        <f aca="false">IF(Tasks[[#This Row],[Task Name]]="","",IF(Tasks[[#This Row],[Start]]&gt;=Tasks[[#This Row],[Planned Start]],NETWORKDAYS.INTL(Tasks[[#This Row],[Planned Start]],Tasks[[#This Row],[Start]],WorkWeek,Holidays)-1,1-NETWORKDAYS.INTL(Tasks[[#This Row],[Start]],Tasks[[#This Row],[Planned Start]],WorkWeek,Holidays)))</f>
        <v>1</v>
      </c>
      <c r="AA8" s="58" t="n">
        <f aca="false">IF(Tasks[[#This Row],[Task Name]]="","",IF(Tasks[[#This Row],[_IsSummary]],MIN(INDEX(Tasks[_LeafLateStart],Tasks[[#This Row],[_Row]]+1):INDEX(Tasks[_LeafLateStart],Tasks[[#This Row],[_Row]]+Tasks[[#This Row],[_Descendants]])),Tasks[[#This Row],[_LeafLateStart]]))</f>
        <v>46282</v>
      </c>
      <c r="AB8" s="58" t="n">
        <f aca="false">IF(Tasks[[#This Row],[Task Name]]="","",IF(Tasks[[#This Row],[_IsSummary]],MAX(INDEX(Tasks[_LeafLateFinish],Tasks[[#This Row],[_Row]]+1):INDEX(Tasks[_LeafLateFinish],Tasks[[#This Row],[_Row]]+Tasks[[#This Row],[_Descendants]])),Tasks[[#This Row],[_LeafLateFinish]]))</f>
        <v>46283</v>
      </c>
      <c r="AC8" s="67" t="n">
        <f aca="false">IF(Tasks[[#This Row],[Task Name]]="","",IF(Tasks[[#This Row],[_IsSummary]],MIN(INDEX(Tasks[_LeafTotalSlack],Tasks[[#This Row],[_Row]]+1):INDEX(Tasks[_LeafTotalSlack],Tasks[[#This Row],[_Row]]+Tasks[[#This Row],[_Descendants]])),Tasks[[#This Row],[_LeafTotalSlack]]))</f>
        <v>4</v>
      </c>
      <c r="AD8"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8" s="60"/>
      <c r="AH8"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I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v>
      </c>
      <c r="AJ8" s="69" t="n">
        <f aca="false">IF(Tasks[[#This Row],[Task Name]]="","",IF(Tasks[[#This Row],[_IsSummary]],SUM(INDEX(Tasks[_LeafTotalWork],Tasks[[#This Row],[_Row]]+1):INDEX(Tasks[_LeafTotalWork],Tasks[[#This Row],[_Row]]+Tasks[[#This Row],[_Descendants]])),Tasks[[#This Row],[_LeafTotalWork]]))</f>
        <v>16</v>
      </c>
      <c r="AK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Morgan Patel</v>
      </c>
      <c r="AL8" s="70" t="n">
        <f aca="false">IF(Tasks[[#This Row],[Task Name]]="","",IF(Tasks[[#This Row],[_IsSummary]],SUM(INDEX(Tasks[_LeafTotalCost],Tasks[[#This Row],[_Row]]+1):INDEX(Tasks[_LeafTotalCost],Tasks[[#This Row],[_Row]]+Tasks[[#This Row],[_Descendants]])),Tasks[[#This Row],[_LeafTotalCost]]))</f>
        <v>1120</v>
      </c>
      <c r="AM8" s="71"/>
      <c r="AN8" s="20" t="str">
        <f aca="false">IF(OR(Tasks[[#This Row],[Task Name]]="",Tasks[[#This Row],[Baseline Duration]]=""),"",Tasks[[#This Row],[BL Source Duration]]-N(Tasks[[#This Row],[Baseline Duration]]))</f>
        <v/>
      </c>
      <c r="AO8" s="69" t="str">
        <f aca="false">IF(OR(Tasks[[#This Row],[Task Name]]="",Tasks[[#This Row],[Baseline Work]]=""),"",Tasks[[#This Row],[Work]]-N(Tasks[[#This Row],[Baseline Work]]))</f>
        <v/>
      </c>
      <c r="AP8" s="70" t="str">
        <f aca="false">IF(OR(Tasks[[#This Row],[Task Name]]="",Tasks[[#This Row],[Baseline Cost]]=""),"",Tasks[[#This Row],[Cost]]-N(Tasks[[#This Row],[Baseline Cost]]))</f>
        <v/>
      </c>
      <c r="AQ8" s="58" t="n">
        <f aca="false">IF(Tasks[[#This Row],[Task Name]]="","",Tasks[[#This Row],[Start]])</f>
        <v>46276</v>
      </c>
      <c r="AR8" s="58" t="n">
        <f aca="false">IF(Tasks[[#This Row],[Task Name]]="","",Tasks[[#This Row],[Finish]])</f>
        <v>46279</v>
      </c>
      <c r="AS8" s="67" t="n">
        <f aca="false">IF(Tasks[[#This Row],[Task Name]]="","",IF(Tasks[[#This Row],[_IsSummary]],NETWORKDAYS.INTL(Tasks[[#This Row],[Start]],Tasks[[#This Row],[Finish]],WorkWeek,Holidays),N(Tasks[[#This Row],[Duration]])))</f>
        <v>2</v>
      </c>
      <c r="AT8" s="69" t="n">
        <f aca="false">IF(Tasks[[#This Row],[Task Name]]="","",Tasks[[#This Row],[Work]])</f>
        <v>16</v>
      </c>
      <c r="AU8" s="70" t="n">
        <f aca="false">IF(Tasks[[#This Row],[Task Name]]="","",Tasks[[#This Row],[Cost]])</f>
        <v>1120</v>
      </c>
      <c r="AV8" s="7"/>
      <c r="AW8" s="7"/>
      <c r="AX8" s="21"/>
      <c r="AY8" s="72"/>
      <c r="AZ8" s="71"/>
      <c r="BA8" s="70" t="n">
        <f aca="false">IF(Tasks[[#This Row],[Task Name]]="","",IF(Tasks[[#This Row],[_IsSummary]],SUM(INDEX(Tasks[_LeafEV],Tasks[[#This Row],[_Row]]+1):INDEX(Tasks[_LeafEV],Tasks[[#This Row],[_Row]]+Tasks[[#This Row],[_Descendants]])),Tasks[[#This Row],[_LeafEV]]))</f>
        <v>1120</v>
      </c>
      <c r="BB8" s="70" t="n">
        <f aca="false">IF(Tasks[[#This Row],[Task Name]]="","",IF(Tasks[[#This Row],[_IsSummary]],SUM(INDEX(Tasks[_LeafBudget],Tasks[[#This Row],[_Row]]+1):INDEX(Tasks[_LeafBudget],Tasks[[#This Row],[_Row]]+Tasks[[#This Row],[_Descendants]])),Tasks[[#This Row],[_LeafBudget]]))</f>
        <v>1120</v>
      </c>
      <c r="BC8" s="70" t="n">
        <f aca="false">IF(Tasks[[#This Row],[Task Name]]="","",IF(Tasks[[#This Row],[_IsSummary]],SUM(INDEX(Tasks[_LeafPV],Tasks[[#This Row],[_Row]]+1):INDEX(Tasks[_LeafPV],Tasks[[#This Row],[_Row]]+Tasks[[#This Row],[_Descendants]])),Tasks[[#This Row],[_LeafPV]]))</f>
        <v>1120</v>
      </c>
      <c r="BD8" s="70" t="n">
        <f aca="false">IF(Tasks[[#This Row],[Task Name]]="","",IF(Tasks[[#This Row],[_IsSummary]],SUM(INDEX(Tasks[_LeafAC],Tasks[[#This Row],[_Row]]+1):INDEX(Tasks[_LeafAC],Tasks[[#This Row],[_Row]]+Tasks[[#This Row],[_Descendants]])),Tasks[[#This Row],[_LeafAC]]))</f>
        <v>1120</v>
      </c>
      <c r="BE8" s="45" t="n">
        <f aca="false">IF(Tasks[[#This Row],[Task Name]]="","",MAX(1,N(Tasks[[#This Row],[Level]])))</f>
        <v>2</v>
      </c>
      <c r="BF8" s="45" t="n">
        <f aca="false">ROW()-ROW(Tasks[[#Headers],[ID]])</f>
        <v>3</v>
      </c>
      <c r="BG8" s="45" t="n">
        <f aca="false">IF(OR(Tasks[[#This Row],[Task Name]]="",Tasks[[#This Row],[_Level]]&lt;=1),0,IFERROR(LOOKUP(2,1/(Tasks[[#Headers],[_Level]]:Tasks[[#This Row],[_Level]]=Tasks[[#This Row],[_Level]]-1),ROW(Tasks[[#Headers],[_Level]]:Tasks[[#This Row],[_Level]])),0))</f>
        <v>6</v>
      </c>
      <c r="BH8" s="45" t="n">
        <f aca="false">IFERROR(N(INDEX(Tasks[_Level],Tasks[[#This Row],[_Row]]+1)),0)</f>
        <v>2</v>
      </c>
      <c r="BI8" s="73" t="b">
        <f aca="false">AND(Tasks[[#This Row],[Task Name]]&lt;&gt;"",Tasks[[#This Row],[_NextLevel]]&gt;Tasks[[#This Row],[_Level]])</f>
        <v>0</v>
      </c>
      <c r="BJ8" s="45" t="n">
        <f aca="false">IF(Tasks[[#This Row],[_IsSummary]],COUNTIF(Tasks[WBS],Tasks[[#This Row],[WBS]]&amp;".*"),0)</f>
        <v>0</v>
      </c>
      <c r="BK8" s="45" t="n">
        <f aca="false">IF(AND(Tasks[[#This Row],[Task Name]]&lt;&gt;"",NOT(Tasks[[#This Row],[_IsSummary]])),1,0)</f>
        <v>1</v>
      </c>
      <c r="BL8" s="45" t="n">
        <f aca="false">IF(N(Tasks[[#This Row],[_Pred1UID]])=0,0,IFERROR(MATCH(Tasks[[#This Row],[_Pred1UID]],Tasks[UID],0),-1))</f>
        <v>2</v>
      </c>
      <c r="BM8" s="45" t="n">
        <f aca="false">IF(N(Tasks[[#This Row],[_Pred2UID]])=0,0,IFERROR(MATCH(Tasks[[#This Row],[_Pred2UID]],Tasks[UID],0),-1))</f>
        <v>0</v>
      </c>
      <c r="BN8" s="45" t="n">
        <f aca="false">IF(N(Tasks[[#This Row],[_Pred3UID]])=0,0,IFERROR(MATCH(Tasks[[#This Row],[_Pred3UID]],Tasks[UID],0),-1))</f>
        <v>0</v>
      </c>
      <c r="BO8" s="45" t="n">
        <f aca="false">IF(N(Tasks[[#This Row],[_Pred4UID]])=0,0,IFERROR(MATCH(Tasks[[#This Row],[_Pred4UID]],Tasks[UID],0),-1))</f>
        <v>0</v>
      </c>
      <c r="BP8"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8" s="74" t="n">
        <f aca="false">IF(OR(Tasks[[#This Row],[_ConstraintCode]]=2,Tasks[[#This Row],[_ConstraintCode]]=3,Tasks[[#This Row],[_ConstraintCode]]=4,Tasks[[#This Row],[_ConstraintCode]]=6),Tasks[[#This Row],[_ConstraintStart]],0)</f>
        <v>0</v>
      </c>
      <c r="BS8" s="74" t="n">
        <f aca="false">IF(OR(Tasks[[#This Row],[_ConstraintCode]]=2,Tasks[[#This Row],[_ConstraintCode]]=3,Tasks[[#This Row],[_ConstraintCode]]=5,Tasks[[#This Row],[_ConstraintCode]]=7),Tasks[[#This Row],[_ConstraintStart]],2958465)</f>
        <v>2958465</v>
      </c>
      <c r="BT8"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BU8" s="74" t="n">
        <f aca="false">IF(NOT(Tasks[[#This Row],[_IsLeaf]]=1),"",IF(N(Tasks[[#This Row],[Duration]])&lt;=0,Tasks[[#This Row],[_LeafCalcStart]],WORKDAY.INTL(Tasks[[#This Row],[_LeafCalcStart]],Tasks[[#This Row],[Duration]]-1,WorkWeek,Holidays)))</f>
        <v>46276</v>
      </c>
      <c r="BV8"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BW8"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46279</v>
      </c>
      <c r="BX8" s="45" t="str">
        <f aca="false">IF(Tasks[[#This Row],[Predecessors]]="","",TRIM(MID(SUBSTITUTE(SUBSTITUTE(SUBSTITUTE(UPPER(Tasks[[#This Row],[Predecessors]]),";",",")," ",""),",",REPT(" ",99)),1,99)))</f>
        <v>2</v>
      </c>
      <c r="BY8" s="45" t="n">
        <f aca="false">IF(Tasks[[#This Row],[_Pred1Text]]="","",IFERROR(VALUE(LEFT(Tasks[[#This Row],[_Pred1Text]],MIN(FIND("F",Tasks[[#This Row],[_Pred1Text]]&amp;"F"),FIND("S",Tasks[[#This Row],[_Pred1Text]]&amp;"S"),FIND("+",Tasks[[#This Row],[_Pred1Text]]&amp;"+"),FIND("-",Tasks[[#This Row],[_Pred1Text]]&amp;"-"))-1)),""))</f>
        <v>2</v>
      </c>
      <c r="BZ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8"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8" s="45" t="str">
        <f aca="false">IF(Tasks[[#This Row],[_Pred1Text]]="","",TRIM(MID(SUBSTITUTE(SUBSTITUTE(SUBSTITUTE(UPPER(Tasks[[#This Row],[Predecessors]]),";",",")," ",""),",",REPT(" ",99)),100,99)))</f>
        <v/>
      </c>
      <c r="CC8" s="45" t="str">
        <f aca="false">IF(Tasks[[#This Row],[_Pred2Text]]="","",IFERROR(VALUE(LEFT(Tasks[[#This Row],[_Pred2Text]],MIN(FIND("F",Tasks[[#This Row],[_Pred2Text]]&amp;"F"),FIND("S",Tasks[[#This Row],[_Pred2Text]]&amp;"S"),FIND("+",Tasks[[#This Row],[_Pred2Text]]&amp;"+"),FIND("-",Tasks[[#This Row],[_Pred2Text]]&amp;"-"))-1)),""))</f>
        <v/>
      </c>
      <c r="CD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8" s="45" t="str">
        <f aca="false">IF(Tasks[[#This Row],[_Pred2Text]]="","",TRIM(MID(SUBSTITUTE(SUBSTITUTE(SUBSTITUTE(UPPER(Tasks[[#This Row],[Predecessors]]),";",",")," ",""),",",REPT(" ",99)),199,99)))</f>
        <v/>
      </c>
      <c r="CG8" s="45" t="str">
        <f aca="false">IF(Tasks[[#This Row],[_Pred3Text]]="","",IFERROR(VALUE(LEFT(Tasks[[#This Row],[_Pred3Text]],MIN(FIND("F",Tasks[[#This Row],[_Pred3Text]]&amp;"F"),FIND("S",Tasks[[#This Row],[_Pred3Text]]&amp;"S"),FIND("+",Tasks[[#This Row],[_Pred3Text]]&amp;"+"),FIND("-",Tasks[[#This Row],[_Pred3Text]]&amp;"-"))-1)),""))</f>
        <v/>
      </c>
      <c r="CH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8" s="45" t="str">
        <f aca="false">IF(Tasks[[#This Row],[_Pred3Text]]="","",TRIM(MID(SUBSTITUTE(SUBSTITUTE(SUBSTITUTE(UPPER(Tasks[[#This Row],[Predecessors]]),";",",")," ",""),",",REPT(" ",99)),298,99)))</f>
        <v/>
      </c>
      <c r="CK8" s="45" t="str">
        <f aca="false">IF(Tasks[[#This Row],[_Pred4Text]]="","",IFERROR(VALUE(LEFT(Tasks[[#This Row],[_Pred4Text]],MIN(FIND("F",Tasks[[#This Row],[_Pred4Text]]&amp;"F"),FIND("S",Tasks[[#This Row],[_Pred4Text]]&amp;"S"),FIND("+",Tasks[[#This Row],[_Pred4Text]]&amp;"+"),FIND("-",Tasks[[#This Row],[_Pred4Text]]&amp;"-"))-1)),""))</f>
        <v/>
      </c>
      <c r="CL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8" s="45" t="str">
        <f aca="false">IF(OR(Tasks[[#This Row],[Task Name]]="",Tasks[[#This Row],[Resources]]=""),"",TRIM(MID(SUBSTITUTE(Tasks[[#This Row],[Resources]],",",REPT(" ",99)),1,99)))</f>
        <v>Morgan Patel</v>
      </c>
      <c r="CO8" s="45" t="str">
        <f aca="false">IF(Tasks[[#This Row],[_Res1Text]]="","",TRIM(MID(SUBSTITUTE(Tasks[[#This Row],[Resources]],",",REPT(" ",99)),100,99)))</f>
        <v/>
      </c>
      <c r="CP8" s="45" t="str">
        <f aca="false">IF(Tasks[[#This Row],[_Res2Text]]="","",TRIM(MID(SUBSTITUTE(Tasks[[#This Row],[Resources]],",",REPT(" ",99)),199,99)))</f>
        <v/>
      </c>
      <c r="CQ8" s="45" t="str">
        <f aca="false">IF(Tasks[[#This Row],[_Res3Text]]="","",TRIM(MID(SUBSTITUTE(Tasks[[#This Row],[Resources]],",",REPT(" ",99)),298,99)))</f>
        <v/>
      </c>
      <c r="CR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Morgan Patel</v>
      </c>
      <c r="CS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 s="45" t="n">
        <f aca="false">IF(NOT(Tasks[[#This Row],[_IsLeaf]]=1),0,(Tasks[[#This Row],[_Resource1]]&lt;&gt;"")+(Tasks[[#This Row],[_Res2]]&lt;&gt;"")+(Tasks[[#This Row],[_Res3]]&lt;&gt;"")+(Tasks[[#This Row],[_Res4]]&lt;&gt;""))</f>
        <v>1</v>
      </c>
      <c r="CU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 s="45" t="n">
        <f aca="false">IF(OR(NOT(Tasks[[#This Row],[_IsLeaf]]=1),Tasks[[#This Row],[_Res2]]=""),0,IF(ISNA(MATCH(Tasks[[#This Row],[_Res2]],res_Name,0)),0,N(Tasks[[#This Row],[Duration]])*HoursPerDay*IF(Tasks[[#This Row],[_Res2Units]]="",DefaultUnits,Tasks[[#This Row],[_Res2Units]])))</f>
        <v>0</v>
      </c>
      <c r="CX8" s="45" t="n">
        <f aca="false">IF(Tasks[[#This Row],[_Res2Work]]=0,0,Tasks[[#This Row],[_Res2Work]]*IFERROR(INDEX(res_Rate,MATCH(Tasks[[#This Row],[_Res2]],res_Name,0)),0))</f>
        <v>0</v>
      </c>
      <c r="CY8" s="45" t="n">
        <f aca="false">IF(AND(AND(Tasks[[#This Row],[_IsLeaf]]=1,Tasks[[#This Row],[_LeafTotalWork]]&gt;0),Tasks[[#This Row],[_Res2Work]]&gt;0),Tasks[[#This Row],[_Res2Work]]/(Tasks[[#This Row],[_FinishWorkday]]-Tasks[[#This Row],[_StartWorkday]]+1),0)</f>
        <v>0</v>
      </c>
      <c r="CZ8" s="45" t="n">
        <f aca="false">Tasks[[#This Row],[_Res2WorkPerWD]]*MAX(0,Tasks[[#This Row],[_StartWorkday]]-1)</f>
        <v>0</v>
      </c>
      <c r="DA8" s="45" t="n">
        <f aca="false">Tasks[[#This Row],[_Res2Work]]*Tasks[[#This Row],[_LeafProgress]]</f>
        <v>0</v>
      </c>
      <c r="DB8" s="45" t="n">
        <f aca="false">IF(Tasks[[#This Row],[_LeafTotalCost]]=0,0,Tasks[[#This Row],[_LeafAC]]*Tasks[[#This Row],[_Res2Cost]]/Tasks[[#This Row],[_LeafTotalCost]])</f>
        <v>0</v>
      </c>
      <c r="DC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8" s="45" t="n">
        <f aca="false">IF(OR(NOT(Tasks[[#This Row],[_IsLeaf]]=1),Tasks[[#This Row],[_Res3]]=""),0,IF(ISNA(MATCH(Tasks[[#This Row],[_Res3]],res_Name,0)),0,N(Tasks[[#This Row],[Duration]])*HoursPerDay*IF(Tasks[[#This Row],[_Res3Units]]="",DefaultUnits,Tasks[[#This Row],[_Res3Units]])))</f>
        <v>0</v>
      </c>
      <c r="DF8" s="45" t="n">
        <f aca="false">IF(Tasks[[#This Row],[_Res3Work]]=0,0,Tasks[[#This Row],[_Res3Work]]*IFERROR(INDEX(res_Rate,MATCH(Tasks[[#This Row],[_Res3]],res_Name,0)),0))</f>
        <v>0</v>
      </c>
      <c r="DG8" s="45" t="n">
        <f aca="false">IF(AND(AND(Tasks[[#This Row],[_IsLeaf]]=1,Tasks[[#This Row],[_LeafTotalWork]]&gt;0),Tasks[[#This Row],[_Res3Work]]&gt;0),Tasks[[#This Row],[_Res3Work]]/(Tasks[[#This Row],[_FinishWorkday]]-Tasks[[#This Row],[_StartWorkday]]+1),0)</f>
        <v>0</v>
      </c>
      <c r="DH8" s="45" t="n">
        <f aca="false">Tasks[[#This Row],[_Res3WorkPerWD]]*MAX(0,Tasks[[#This Row],[_StartWorkday]]-1)</f>
        <v>0</v>
      </c>
      <c r="DI8" s="45" t="n">
        <f aca="false">Tasks[[#This Row],[_Res3Work]]*Tasks[[#This Row],[_LeafProgress]]</f>
        <v>0</v>
      </c>
      <c r="DJ8" s="45" t="n">
        <f aca="false">IF(Tasks[[#This Row],[_LeafTotalCost]]=0,0,Tasks[[#This Row],[_LeafAC]]*Tasks[[#This Row],[_Res3Cost]]/Tasks[[#This Row],[_LeafTotalCost]])</f>
        <v>0</v>
      </c>
      <c r="DK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8" s="45" t="n">
        <f aca="false">IF(OR(NOT(Tasks[[#This Row],[_IsLeaf]]=1),Tasks[[#This Row],[_Res4]]=""),0,IF(ISNA(MATCH(Tasks[[#This Row],[_Res4]],res_Name,0)),0,N(Tasks[[#This Row],[Duration]])*HoursPerDay*IF(Tasks[[#This Row],[_Res4Units]]="",DefaultUnits,Tasks[[#This Row],[_Res4Units]])))</f>
        <v>0</v>
      </c>
      <c r="DN8" s="45" t="n">
        <f aca="false">IF(Tasks[[#This Row],[_Res4Work]]=0,0,Tasks[[#This Row],[_Res4Work]]*IFERROR(INDEX(res_Rate,MATCH(Tasks[[#This Row],[_Res4]],res_Name,0)),0))</f>
        <v>0</v>
      </c>
      <c r="DO8" s="45" t="n">
        <f aca="false">IF(AND(AND(Tasks[[#This Row],[_IsLeaf]]=1,Tasks[[#This Row],[_LeafTotalWork]]&gt;0),Tasks[[#This Row],[_Res4Work]]&gt;0),Tasks[[#This Row],[_Res4Work]]/(Tasks[[#This Row],[_FinishWorkday]]-Tasks[[#This Row],[_StartWorkday]]+1),0)</f>
        <v>0</v>
      </c>
      <c r="DP8" s="45" t="n">
        <f aca="false">Tasks[[#This Row],[_Res4WorkPerWD]]*MAX(0,Tasks[[#This Row],[_StartWorkday]]-1)</f>
        <v>0</v>
      </c>
      <c r="DQ8" s="45" t="n">
        <f aca="false">Tasks[[#This Row],[_Res4Work]]*Tasks[[#This Row],[_LeafProgress]]</f>
        <v>0</v>
      </c>
      <c r="DR8" s="45" t="n">
        <f aca="false">IF(Tasks[[#This Row],[_LeafTotalCost]]=0,0,Tasks[[#This Row],[_LeafAC]]*Tasks[[#This Row],[_Res4Cost]]/Tasks[[#This Row],[_LeafTotalCost]])</f>
        <v>0</v>
      </c>
      <c r="DS8" s="76" t="n">
        <f aca="false">IF(ISNUMBER(Tasks[[#This Row],[% Complete]]),Tasks[[#This Row],[% Complete]],IF(Tasks[[#This Row],[Stage]]="",0,IFERROR(INDEX(stg_Pct,MATCH(Tasks[[#This Row],[Stage]],stg_Name,0)),0)))</f>
        <v>1</v>
      </c>
      <c r="DT8" s="45" t="n">
        <f aca="false">IF(NOT(Tasks[[#This Row],[_IsLeaf]]=1),0,IF(N(Tasks[[#This Row],[Actual Finish]])&gt;0,1,MIN(1,Tasks[[#This Row],[_Pct]])))</f>
        <v>1</v>
      </c>
      <c r="DU8" s="45" t="n">
        <f aca="false">IF(OR(NOT(Tasks[[#This Row],[_IsLeaf]]=1),Tasks[[#This Row],[_Resource1]]=""),0,IF(ISNA(MATCH(Tasks[[#This Row],[_Resource1]],res_Name,0)),0,N(Tasks[[#This Row],[Duration]])*HoursPerDay*IF(Tasks[[#This Row],[_Units1]]="",DefaultUnits,Tasks[[#This Row],[_Units1]])))</f>
        <v>16</v>
      </c>
      <c r="DV8" s="45" t="n">
        <f aca="false">IF(Tasks[[#This Row],[_LeafWork]]=0,0,Tasks[[#This Row],[_LeafWork]]*IFERROR(INDEX(res_Rate,MATCH(Tasks[[#This Row],[_Resource1]],res_Name,0)),0))</f>
        <v>1120</v>
      </c>
      <c r="DW8" s="45" t="n">
        <f aca="false">Tasks[[#This Row],[_LeafWork]]+Tasks[[#This Row],[_Res2Work]]+Tasks[[#This Row],[_Res3Work]]+Tasks[[#This Row],[_Res4Work]]</f>
        <v>16</v>
      </c>
      <c r="DX8" s="45" t="n">
        <f aca="false">Tasks[[#This Row],[_LeafCost]]+Tasks[[#This Row],[_Res2Cost]]+Tasks[[#This Row],[_Res3Cost]]+Tasks[[#This Row],[_Res4Cost]]</f>
        <v>1120</v>
      </c>
      <c r="DY8" s="45" t="n">
        <f aca="false">IF(Tasks[[#This Row],[_LeafTotalCost]]=0,Tasks[[#This Row],[_LeafAC]],Tasks[[#This Row],[_LeafAC]]*Tasks[[#This Row],[_LeafCost]]/Tasks[[#This Row],[_LeafTotalCost]])</f>
        <v>1120</v>
      </c>
      <c r="DZ8"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2912184</v>
      </c>
      <c r="EA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8"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8" s="45" t="n">
        <f aca="false">IF(NOT(Tasks[[#This Row],[_IsLeaf]]=1),0,MAX(_xlfn.MAXIFS(Tasks[_Row],Tasks[_Pred1UID],Tasks[[#This Row],[UID]]),_xlfn.MAXIFS(Tasks[_Row],Tasks[_Pred2UID],Tasks[[#This Row],[UID]]),_xlfn.MAXIFS(Tasks[_Row],Tasks[_Pred3UID],Tasks[[#This Row],[UID]]),_xlfn.MAXIFS(Tasks[_Row],Tasks[_Pred4UID],Tasks[[#This Row],[UID]])))</f>
        <v>4</v>
      </c>
      <c r="EI8"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46283</v>
      </c>
      <c r="EJ8"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46283</v>
      </c>
      <c r="EK8" s="74" t="n">
        <f aca="false">IF(NOT(Tasks[[#This Row],[_IsLeaf]]=1),"",IF(N(Tasks[[#This Row],[Duration]])&lt;=0,Tasks[[#This Row],[_LeafLateFinish]],WORKDAY.INTL(Tasks[[#This Row],[_LeafLateFinish]],-(Tasks[[#This Row],[Duration]]-1),WorkWeek,Holidays)))</f>
        <v>46282</v>
      </c>
      <c r="EL8"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EM8" s="73" t="b">
        <f aca="false">AND(Tasks[[#This Row],[_IsLeaf]]=1,Tasks[[#This Row],[_LeafProgress]]&lt;1,N(Tasks[[#This Row],[_LeafTotalSlack]])&lt;=CriticalSlackDays)</f>
        <v>0</v>
      </c>
      <c r="EN8" s="45" t="n">
        <f aca="false">IF(AND(Tasks[[#This Row],[_IsLeaf]]=1,Tasks[[#This Row],[_ConstraintCode]]=1,Tasks[[#This Row],[Mode]]&lt;&gt;"Manual",N(Tasks[[#This Row],[Actual Start]])=0),MAX(0,N(Tasks[[#This Row],[Free Slack]])),0)</f>
        <v>0</v>
      </c>
      <c r="EO8" s="74" t="n">
        <f aca="false">IF(NOT(Tasks[[#This Row],[_IsLeaf]]=1),"",IF(Tasks[[#This Row],[_AlapShift]]=0,Tasks[[#This Row],[_LeafCalcStart]],WORKDAY.INTL(Tasks[[#This Row],[_LeafCalcStart]],Tasks[[#This Row],[_AlapShift]],WorkWeek,Holidays)))</f>
        <v>46275</v>
      </c>
      <c r="EP8" s="74" t="n">
        <f aca="false">IF(NOT(Tasks[[#This Row],[_IsLeaf]]=1),"",IF(Tasks[[#This Row],[_AlapShift]]=0,Tasks[[#This Row],[_LeafCalcFinish]],WORKDAY.INTL(Tasks[[#This Row],[_LeafCalcFinish]],Tasks[[#This Row],[_AlapShift]],WorkWeek,Holidays)))</f>
        <v>46276</v>
      </c>
      <c r="EQ8" s="74" t="n">
        <f aca="false">IF(NOT(Tasks[[#This Row],[_IsLeaf]]=1),"",IF(Tasks[[#This Row],[_AlapShift]]=0,Tasks[[#This Row],[_LeafFcstStart]],WORKDAY.INTL(Tasks[[#This Row],[_LeafFcstStart]],Tasks[[#This Row],[_AlapShift]],WorkWeek,Holidays)))</f>
        <v>46276</v>
      </c>
      <c r="ER8" s="74" t="n">
        <f aca="false">IF(NOT(Tasks[[#This Row],[_IsLeaf]]=1),"",IF(Tasks[[#This Row],[_AlapShift]]=0,Tasks[[#This Row],[_LeafFcstFinish]],WORKDAY.INTL(Tasks[[#This Row],[_LeafFcstFinish]],Tasks[[#This Row],[_AlapShift]],WorkWeek,Holidays)))</f>
        <v>46279</v>
      </c>
      <c r="ES8" s="74" t="n">
        <f aca="false">IF(Tasks[[#This Row],[Task Name]]="","",IF(Tasks[[#This Row],[_IsSummary]],MIN(INDEX(Tasks[_ShownCalcStart],Tasks[[#This Row],[_Row]]+1):INDEX(Tasks[_ShownCalcStart],Tasks[[#This Row],[_Row]]+Tasks[[#This Row],[_Descendants]])),Tasks[[#This Row],[_ShownCalcStart]]))</f>
        <v>46275</v>
      </c>
      <c r="ET8" s="74" t="n">
        <f aca="false">IF(Tasks[[#This Row],[Task Name]]="","",IF(Tasks[[#This Row],[_IsSummary]],MAX(INDEX(Tasks[_ShownCalcFinish],Tasks[[#This Row],[_Row]]+1):INDEX(Tasks[_ShownCalcFinish],Tasks[[#This Row],[_Row]]+Tasks[[#This Row],[_Descendants]])),Tasks[[#This Row],[_ShownCalcFinish]]))</f>
        <v>46276</v>
      </c>
      <c r="EU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46275</v>
      </c>
      <c r="EZ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46276</v>
      </c>
      <c r="FD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8" s="45" t="n">
        <f aca="false">IF(AND(Tasks[[#This Row],[_IsLeaf]]=1,Tasks[[#This Row],[_LeafTotalWork]]&gt;0),NETWORKDAYS.INTL(ProjectStart,Tasks[[#This Row],[_ShownFcstStart]],WorkWeek,Holidays),0)</f>
        <v>5</v>
      </c>
      <c r="FH8" s="45" t="n">
        <f aca="false">IF(AND(Tasks[[#This Row],[_IsLeaf]]=1,Tasks[[#This Row],[_LeafTotalWork]]&gt;0),MAX(Tasks[[#This Row],[_StartWorkday]],NETWORKDAYS.INTL(ProjectStart,Tasks[[#This Row],[_ShownFcstFinish]],WorkWeek,Holidays)),0)</f>
        <v>6</v>
      </c>
      <c r="FI8" s="45" t="n">
        <f aca="false">IF(AND(Tasks[[#This Row],[_IsLeaf]]=1,Tasks[[#This Row],[_LeafTotalWork]]&gt;0),Tasks[[#This Row],[_LeafWork]]/(Tasks[[#This Row],[_FinishWorkday]]-Tasks[[#This Row],[_StartWorkday]]+1),0)</f>
        <v>8</v>
      </c>
      <c r="FJ8" s="45" t="n">
        <f aca="false">Tasks[[#This Row],[_WorkPerWorkday]]*(Tasks[[#This Row],[_StartWorkday]]-1)</f>
        <v>32</v>
      </c>
      <c r="FK8" s="45" t="n">
        <f aca="false">IF(Tasks[[#This Row],[_IsLeaf]]=1,MAX(N(Tasks[[#This Row],[Duration]]),0.1),0)</f>
        <v>2</v>
      </c>
      <c r="FL8" s="45" t="n">
        <f aca="false">Tasks[[#This Row],[_WeightDur]]*Tasks[[#This Row],[_LeafProgress]]</f>
        <v>2</v>
      </c>
      <c r="FM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v>
      </c>
      <c r="FN8" s="45" t="str">
        <f aca="false">IF(AND(Tasks[[#This Row],[_IsLeaf]]=1,N(Tasks[[#This Row],[Duration]])=0,Tasks[[#This Row],[_LeafProgress]]&lt;1),Tasks[[#This Row],[_ShownFcstFinish]]+Tasks[[#This Row],[_Row]]/100000,"")</f>
        <v/>
      </c>
      <c r="FO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P8" s="45" t="n">
        <f aca="false">IF(NOT(Tasks[[#This Row],[_IsLeaf]]=1),0,IF(Tasks[[#This Row],[Baseline Cost]]="",Tasks[[#This Row],[_LeafTotalCost]],N(Tasks[[#This Row],[Baseline Cost]])))</f>
        <v>1120</v>
      </c>
      <c r="FQ8" s="45" t="n">
        <f aca="false">Tasks[[#This Row],[_LeafBudget]]*Tasks[[#This Row],[_PlannedPct]]</f>
        <v>1120</v>
      </c>
      <c r="FR8" s="45" t="n">
        <f aca="false">Tasks[[#This Row],[_LeafBudget]]*Tasks[[#This Row],[_LeafProgress]]</f>
        <v>1120</v>
      </c>
      <c r="FS8" s="45" t="n">
        <f aca="false">IF(NOT(Tasks[[#This Row],[_IsLeaf]]=1),0,IF(Tasks[[#This Row],[Actual Cost]]="",Tasks[[#This Row],[_LeafTotalCost]]*Tasks[[#This Row],[_LeafProgress]],N(Tasks[[#This Row],[Actual Cost]])))</f>
        <v>1120</v>
      </c>
      <c r="FT8" s="45" t="str">
        <f aca="false">IF(Tasks[[#This Row],[Task Name]]="","",LEFT(Tasks[[#This Row],[WBS]],FIND(".",Tasks[[#This Row],[WBS]]&amp;".")-1))</f>
        <v>1</v>
      </c>
      <c r="FU8" s="45" t="str">
        <f aca="false">IF(AND(Tasks[[#This Row],[Task Name]]&lt;&gt;"",Tasks[[#This Row],[_Level]]=1),Tasks[[#This Row],[_Row]],"")</f>
        <v/>
      </c>
      <c r="FV8" s="45" t="str">
        <f aca="false">IF(AND(Tasks[[#This Row],[_IsLeaf]]=1,N(Tasks[[#This Row],[Duration]])=0),Tasks[[#This Row],[Planned Finish]]+Tasks[[#This Row],[_Row]]/100000,"")</f>
        <v/>
      </c>
      <c r="FW8" s="45" t="str">
        <f aca="false">IF(AND(Tasks[[#This Row],[_IsLeaf]]=1,Tasks[[#This Row],[_LeafProgress]]&lt;1,OR(N(Tasks[[#This Row],[Finish Var]])&gt;0,Tasks[[#This Row],[Status]]="Late Start")),MAX(0,Tasks[[#This Row],[Finish Var]])+1-Tasks[[#This Row],[_Row]]/1000000,"")</f>
        <v/>
      </c>
      <c r="FX8" s="45" t="str">
        <f aca="false">IF(AND(Tasks[[#This Row],[_IsLeaf]]=1,N(Tasks[[#This Row],[Actual Start]])=0,Tasks[[#This Row],[_ShownFcstStart]]&gt;=StatusDate,Tasks[[#This Row],[_ShownFcstStart]]&lt;=LookaheadEnd),Tasks[[#This Row],[_ShownFcstStart]]+Tasks[[#This Row],[_Row]]/100000,"")</f>
        <v/>
      </c>
      <c r="FY8" s="45" t="str">
        <f aca="false">IF(AND(Tasks[[#This Row],[_IsLeaf]]=1,Tasks[[#This Row],[_LeafProgress]]&lt;1,Tasks[[#This Row],[_ShownFcstFinish]]&gt;=StatusDate,Tasks[[#This Row],[_ShownFcstFinish]]&lt;=LookaheadEnd),Tasks[[#This Row],[_ShownFcstFinish]]+Tasks[[#This Row],[_Row]]/100000,"")</f>
        <v/>
      </c>
      <c r="FZ8" s="45" t="str">
        <f aca="false">IF(Tasks[[#This Row],[_LeafCritical]],Tasks[[#This Row],[_ShownFcstStart]]+Tasks[[#This Row],[_Row]]/100000,"")</f>
        <v/>
      </c>
      <c r="GA8" s="45" t="n">
        <f aca="false">Tasks[[#This Row],[_LeafWork]]*Tasks[[#This Row],[_LeafProgress]]</f>
        <v>16</v>
      </c>
      <c r="GB8" s="74" t="n">
        <f aca="false">IF(AND(Tasks[[#This Row],[_IsLeaf]]=1,Tasks[[#This Row],[_LeafProgress]]&gt;=1),IF(N(Tasks[[#This Row],[Actual Finish]])&gt;0,Tasks[[#This Row],[Actual Finish]],Tasks[[#This Row],[_ShownFcstFinish]]),"")</f>
        <v>46279</v>
      </c>
    </row>
    <row r="9" customFormat="false" ht="15" hidden="false" customHeight="false" outlineLevel="1" collapsed="false">
      <c r="A9" s="67" t="n">
        <f aca="false">IF(Tasks[[#This Row],[Task Name]]="","",COUNTA(Tasks[[#Headers],[Task Name]]:Tasks[[#This Row],[Task Name]])-1)</f>
        <v>4</v>
      </c>
      <c r="B9" s="21" t="n">
        <v>4</v>
      </c>
      <c r="C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D9" s="21" t="n">
        <v>2</v>
      </c>
      <c r="E9" s="75" t="s">
        <v>506</v>
      </c>
      <c r="F9" s="21" t="n">
        <v>0</v>
      </c>
      <c r="G9" s="22" t="s">
        <v>507</v>
      </c>
      <c r="H9" s="22"/>
      <c r="I9" s="22" t="s">
        <v>125</v>
      </c>
      <c r="J9" s="7" t="n">
        <v>46279</v>
      </c>
      <c r="K9" s="7" t="n">
        <v>46279</v>
      </c>
      <c r="L9" s="22" t="s">
        <v>508</v>
      </c>
      <c r="M9" s="58" t="n">
        <f aca="false">IF(Tasks[[#This Row],[Task Name]]="","",IF(Tasks[[#This Row],[_IsSummary]],MIN(INDEX(Tasks[_ShownFcstStart],Tasks[[#This Row],[_Row]]+1):INDEX(Tasks[_ShownFcstStart],Tasks[[#This Row],[_Row]]+Tasks[[#This Row],[_Descendants]])),Tasks[[#This Row],[_ShownFcstStart]]))</f>
        <v>46279</v>
      </c>
      <c r="N9" s="58" t="n">
        <f aca="false">IF(Tasks[[#This Row],[Task Name]]="","",IF(Tasks[[#This Row],[_IsSummary]],MAX(INDEX(Tasks[_ShownFcstFinish],Tasks[[#This Row],[_Row]]+1):INDEX(Tasks[_ShownFcstFinish],Tasks[[#This Row],[_Row]]+Tasks[[#This Row],[_Descendants]])),Tasks[[#This Row],[_ShownFcstFinish]]))</f>
        <v>46279</v>
      </c>
      <c r="O9" s="20" t="str">
        <f aca="false">IF(Tasks[[#This Row],[Task Name]]="","",IF(Tasks[[#This Row],[Progress]]&gt;=1,"Complete",IF(OR(N(Tasks[[#This Row],[Actual Start]])&gt;0,Tasks[[#This Row],[Progress]]&gt;0),IF(Tasks[[#This Row],[Finish Var]]&gt;0,"Behind","In Progress"),IF(Tasks[[#This Row],[Planned Start]]&lt;StatusDate,"Late Start","Not Started"))))</f>
        <v>Complete</v>
      </c>
      <c r="P9" s="20" t="str">
        <f aca="false">IF(Tasks[[#This Row],[Task Name]]="","",IF(IF(Tasks[[#This Row],[_IsSummary]],COUNTIF(INDEX(Tasks[_LeafCritical],Tasks[[#This Row],[_Row]]+1):INDEX(Tasks[_LeafCritical],Tasks[[#This Row],[_Row]]+Tasks[[#This Row],[_Descendants]]),TRUE())&gt;0,Tasks[[#This Row],[_LeafCritical]]),"Yes",""))</f>
        <v/>
      </c>
      <c r="Q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9" s="67" t="str">
        <f aca="false">IF(Tasks[[#This Row],[Task Name]]="","",IF(Tasks[[#This Row],[_Level]]&lt;=OutlineShowLevel,"Yes","No"))</f>
        <v>Yes</v>
      </c>
      <c r="S9" s="7"/>
      <c r="T9" s="21" t="s">
        <v>195</v>
      </c>
      <c r="U9" s="22"/>
      <c r="V9" s="7"/>
      <c r="W9" s="67" t="n">
        <f aca="false">IF(Tasks[[#This Row],[Task Name]]="","",IF(Tasks[[#This Row],[Finish]]&gt;=Tasks[[#This Row],[Planned Finish]],NETWORKDAYS.INTL(Tasks[[#This Row],[Planned Finish]],Tasks[[#This Row],[Finish]],WorkWeek,Holidays)-1,1-NETWORKDAYS.INTL(Tasks[[#This Row],[Finish]],Tasks[[#This Row],[Planned Finish]],WorkWeek,Holidays)))</f>
        <v>1</v>
      </c>
      <c r="X9" s="58" t="n">
        <f aca="false">IF(Tasks[[#This Row],[Task Name]]="","",IF(N(Tasks[[#This Row],[Baseline Start]])&gt;0,Tasks[[#This Row],[Baseline Start]],Tasks[[#This Row],[_CalcStart]]))</f>
        <v>46276</v>
      </c>
      <c r="Y9" s="58" t="n">
        <f aca="false">IF(Tasks[[#This Row],[Task Name]]="","",IF(N(Tasks[[#This Row],[Baseline Finish]])&gt;0,Tasks[[#This Row],[Baseline Finish]],Tasks[[#This Row],[_CalcFinish]]))</f>
        <v>46276</v>
      </c>
      <c r="Z9" s="67" t="n">
        <f aca="false">IF(Tasks[[#This Row],[Task Name]]="","",IF(Tasks[[#This Row],[Start]]&gt;=Tasks[[#This Row],[Planned Start]],NETWORKDAYS.INTL(Tasks[[#This Row],[Planned Start]],Tasks[[#This Row],[Start]],WorkWeek,Holidays)-1,1-NETWORKDAYS.INTL(Tasks[[#This Row],[Start]],Tasks[[#This Row],[Planned Start]],WorkWeek,Holidays)))</f>
        <v>1</v>
      </c>
      <c r="AA9" s="58" t="n">
        <f aca="false">IF(Tasks[[#This Row],[Task Name]]="","",IF(Tasks[[#This Row],[_IsSummary]],MIN(INDEX(Tasks[_LeafLateStart],Tasks[[#This Row],[_Row]]+1):INDEX(Tasks[_LeafLateStart],Tasks[[#This Row],[_Row]]+Tasks[[#This Row],[_Descendants]])),Tasks[[#This Row],[_LeafLateStart]]))</f>
        <v>46283</v>
      </c>
      <c r="AB9" s="58" t="n">
        <f aca="false">IF(Tasks[[#This Row],[Task Name]]="","",IF(Tasks[[#This Row],[_IsSummary]],MAX(INDEX(Tasks[_LeafLateFinish],Tasks[[#This Row],[_Row]]+1):INDEX(Tasks[_LeafLateFinish],Tasks[[#This Row],[_Row]]+Tasks[[#This Row],[_Descendants]])),Tasks[[#This Row],[_LeafLateFinish]]))</f>
        <v>46283</v>
      </c>
      <c r="AC9" s="67" t="n">
        <f aca="false">IF(Tasks[[#This Row],[Task Name]]="","",IF(Tasks[[#This Row],[_IsSummary]],MIN(INDEX(Tasks[_LeafTotalSlack],Tasks[[#This Row],[_Row]]+1):INDEX(Tasks[_LeafTotalSlack],Tasks[[#This Row],[_Row]]+Tasks[[#This Row],[_Descendants]])),Tasks[[#This Row],[_LeafTotalSlack]]))</f>
        <v>4</v>
      </c>
      <c r="AD9"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9" s="60"/>
      <c r="AH9"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I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3</v>
      </c>
      <c r="AJ9" s="69" t="n">
        <f aca="false">IF(Tasks[[#This Row],[Task Name]]="","",IF(Tasks[[#This Row],[_IsSummary]],SUM(INDEX(Tasks[_LeafTotalWork],Tasks[[#This Row],[_Row]]+1):INDEX(Tasks[_LeafTotalWork],Tasks[[#This Row],[_Row]]+Tasks[[#This Row],[_Descendants]])),Tasks[[#This Row],[_LeafTotalWork]]))</f>
        <v>0</v>
      </c>
      <c r="AK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9" s="70" t="n">
        <f aca="false">IF(Tasks[[#This Row],[Task Name]]="","",IF(Tasks[[#This Row],[_IsSummary]],SUM(INDEX(Tasks[_LeafTotalCost],Tasks[[#This Row],[_Row]]+1):INDEX(Tasks[_LeafTotalCost],Tasks[[#This Row],[_Row]]+Tasks[[#This Row],[_Descendants]])),Tasks[[#This Row],[_LeafTotalCost]]))</f>
        <v>0</v>
      </c>
      <c r="AM9" s="71"/>
      <c r="AN9" s="20" t="str">
        <f aca="false">IF(OR(Tasks[[#This Row],[Task Name]]="",Tasks[[#This Row],[Baseline Duration]]=""),"",Tasks[[#This Row],[BL Source Duration]]-N(Tasks[[#This Row],[Baseline Duration]]))</f>
        <v/>
      </c>
      <c r="AO9" s="69" t="str">
        <f aca="false">IF(OR(Tasks[[#This Row],[Task Name]]="",Tasks[[#This Row],[Baseline Work]]=""),"",Tasks[[#This Row],[Work]]-N(Tasks[[#This Row],[Baseline Work]]))</f>
        <v/>
      </c>
      <c r="AP9" s="70" t="str">
        <f aca="false">IF(OR(Tasks[[#This Row],[Task Name]]="",Tasks[[#This Row],[Baseline Cost]]=""),"",Tasks[[#This Row],[Cost]]-N(Tasks[[#This Row],[Baseline Cost]]))</f>
        <v/>
      </c>
      <c r="AQ9" s="58" t="n">
        <f aca="false">IF(Tasks[[#This Row],[Task Name]]="","",Tasks[[#This Row],[Start]])</f>
        <v>46279</v>
      </c>
      <c r="AR9" s="58" t="n">
        <f aca="false">IF(Tasks[[#This Row],[Task Name]]="","",Tasks[[#This Row],[Finish]])</f>
        <v>46279</v>
      </c>
      <c r="AS9" s="67" t="n">
        <f aca="false">IF(Tasks[[#This Row],[Task Name]]="","",IF(Tasks[[#This Row],[_IsSummary]],NETWORKDAYS.INTL(Tasks[[#This Row],[Start]],Tasks[[#This Row],[Finish]],WorkWeek,Holidays),N(Tasks[[#This Row],[Duration]])))</f>
        <v>0</v>
      </c>
      <c r="AT9" s="69" t="n">
        <f aca="false">IF(Tasks[[#This Row],[Task Name]]="","",Tasks[[#This Row],[Work]])</f>
        <v>0</v>
      </c>
      <c r="AU9" s="70" t="n">
        <f aca="false">IF(Tasks[[#This Row],[Task Name]]="","",Tasks[[#This Row],[Cost]])</f>
        <v>0</v>
      </c>
      <c r="AV9" s="7"/>
      <c r="AW9" s="7"/>
      <c r="AX9" s="21"/>
      <c r="AY9" s="72"/>
      <c r="AZ9" s="71"/>
      <c r="BA9" s="70" t="n">
        <f aca="false">IF(Tasks[[#This Row],[Task Name]]="","",IF(Tasks[[#This Row],[_IsSummary]],SUM(INDEX(Tasks[_LeafEV],Tasks[[#This Row],[_Row]]+1):INDEX(Tasks[_LeafEV],Tasks[[#This Row],[_Row]]+Tasks[[#This Row],[_Descendants]])),Tasks[[#This Row],[_LeafEV]]))</f>
        <v>0</v>
      </c>
      <c r="BB9" s="70" t="n">
        <f aca="false">IF(Tasks[[#This Row],[Task Name]]="","",IF(Tasks[[#This Row],[_IsSummary]],SUM(INDEX(Tasks[_LeafBudget],Tasks[[#This Row],[_Row]]+1):INDEX(Tasks[_LeafBudget],Tasks[[#This Row],[_Row]]+Tasks[[#This Row],[_Descendants]])),Tasks[[#This Row],[_LeafBudget]]))</f>
        <v>0</v>
      </c>
      <c r="BC9" s="70" t="n">
        <f aca="false">IF(Tasks[[#This Row],[Task Name]]="","",IF(Tasks[[#This Row],[_IsSummary]],SUM(INDEX(Tasks[_LeafPV],Tasks[[#This Row],[_Row]]+1):INDEX(Tasks[_LeafPV],Tasks[[#This Row],[_Row]]+Tasks[[#This Row],[_Descendants]])),Tasks[[#This Row],[_LeafPV]]))</f>
        <v>0</v>
      </c>
      <c r="BD9" s="70" t="n">
        <f aca="false">IF(Tasks[[#This Row],[Task Name]]="","",IF(Tasks[[#This Row],[_IsSummary]],SUM(INDEX(Tasks[_LeafAC],Tasks[[#This Row],[_Row]]+1):INDEX(Tasks[_LeafAC],Tasks[[#This Row],[_Row]]+Tasks[[#This Row],[_Descendants]])),Tasks[[#This Row],[_LeafAC]]))</f>
        <v>0</v>
      </c>
      <c r="BE9" s="45" t="n">
        <f aca="false">IF(Tasks[[#This Row],[Task Name]]="","",MAX(1,N(Tasks[[#This Row],[Level]])))</f>
        <v>2</v>
      </c>
      <c r="BF9" s="45" t="n">
        <f aca="false">ROW()-ROW(Tasks[[#Headers],[ID]])</f>
        <v>4</v>
      </c>
      <c r="BG9" s="45" t="n">
        <f aca="false">IF(OR(Tasks[[#This Row],[Task Name]]="",Tasks[[#This Row],[_Level]]&lt;=1),0,IFERROR(LOOKUP(2,1/(Tasks[[#Headers],[_Level]]:Tasks[[#This Row],[_Level]]=Tasks[[#This Row],[_Level]]-1),ROW(Tasks[[#Headers],[_Level]]:Tasks[[#This Row],[_Level]])),0))</f>
        <v>6</v>
      </c>
      <c r="BH9" s="45" t="n">
        <f aca="false">IFERROR(N(INDEX(Tasks[_Level],Tasks[[#This Row],[_Row]]+1)),0)</f>
        <v>1</v>
      </c>
      <c r="BI9" s="73" t="b">
        <f aca="false">AND(Tasks[[#This Row],[Task Name]]&lt;&gt;"",Tasks[[#This Row],[_NextLevel]]&gt;Tasks[[#This Row],[_Level]])</f>
        <v>0</v>
      </c>
      <c r="BJ9" s="45" t="n">
        <f aca="false">IF(Tasks[[#This Row],[_IsSummary]],COUNTIF(Tasks[WBS],Tasks[[#This Row],[WBS]]&amp;".*"),0)</f>
        <v>0</v>
      </c>
      <c r="BK9" s="45" t="n">
        <f aca="false">IF(AND(Tasks[[#This Row],[Task Name]]&lt;&gt;"",NOT(Tasks[[#This Row],[_IsSummary]])),1,0)</f>
        <v>1</v>
      </c>
      <c r="BL9" s="45" t="n">
        <f aca="false">IF(N(Tasks[[#This Row],[_Pred1UID]])=0,0,IFERROR(MATCH(Tasks[[#This Row],[_Pred1UID]],Tasks[UID],0),-1))</f>
        <v>3</v>
      </c>
      <c r="BM9" s="45" t="n">
        <f aca="false">IF(N(Tasks[[#This Row],[_Pred2UID]])=0,0,IFERROR(MATCH(Tasks[[#This Row],[_Pred2UID]],Tasks[UID],0),-1))</f>
        <v>0</v>
      </c>
      <c r="BN9" s="45" t="n">
        <f aca="false">IF(N(Tasks[[#This Row],[_Pred3UID]])=0,0,IFERROR(MATCH(Tasks[[#This Row],[_Pred3UID]],Tasks[UID],0),-1))</f>
        <v>0</v>
      </c>
      <c r="BO9" s="45" t="n">
        <f aca="false">IF(N(Tasks[[#This Row],[_Pred4UID]])=0,0,IFERROR(MATCH(Tasks[[#This Row],[_Pred4UID]],Tasks[UID],0),-1))</f>
        <v>0</v>
      </c>
      <c r="BP9"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9" s="74" t="n">
        <f aca="false">IF(OR(Tasks[[#This Row],[_ConstraintCode]]=2,Tasks[[#This Row],[_ConstraintCode]]=3,Tasks[[#This Row],[_ConstraintCode]]=4,Tasks[[#This Row],[_ConstraintCode]]=6),Tasks[[#This Row],[_ConstraintStart]],0)</f>
        <v>0</v>
      </c>
      <c r="BS9" s="74" t="n">
        <f aca="false">IF(OR(Tasks[[#This Row],[_ConstraintCode]]=2,Tasks[[#This Row],[_ConstraintCode]]=3,Tasks[[#This Row],[_ConstraintCode]]=5,Tasks[[#This Row],[_ConstraintCode]]=7),Tasks[[#This Row],[_ConstraintStart]],2958465)</f>
        <v>2958465</v>
      </c>
      <c r="BT9"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BU9" s="74" t="n">
        <f aca="false">IF(NOT(Tasks[[#This Row],[_IsLeaf]]=1),"",IF(N(Tasks[[#This Row],[Duration]])&lt;=0,Tasks[[#This Row],[_LeafCalcStart]],WORKDAY.INTL(Tasks[[#This Row],[_LeafCalcStart]],Tasks[[#This Row],[Duration]]-1,WorkWeek,Holidays)))</f>
        <v>46276</v>
      </c>
      <c r="BV9"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BW9"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46279</v>
      </c>
      <c r="BX9" s="45" t="str">
        <f aca="false">IF(Tasks[[#This Row],[Predecessors]]="","",TRIM(MID(SUBSTITUTE(SUBSTITUTE(SUBSTITUTE(UPPER(Tasks[[#This Row],[Predecessors]]),";",",")," ",""),",",REPT(" ",99)),1,99)))</f>
        <v>3</v>
      </c>
      <c r="BY9" s="45" t="n">
        <f aca="false">IF(Tasks[[#This Row],[_Pred1Text]]="","",IFERROR(VALUE(LEFT(Tasks[[#This Row],[_Pred1Text]],MIN(FIND("F",Tasks[[#This Row],[_Pred1Text]]&amp;"F"),FIND("S",Tasks[[#This Row],[_Pred1Text]]&amp;"S"),FIND("+",Tasks[[#This Row],[_Pred1Text]]&amp;"+"),FIND("-",Tasks[[#This Row],[_Pred1Text]]&amp;"-"))-1)),""))</f>
        <v>3</v>
      </c>
      <c r="BZ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9"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9" s="45" t="str">
        <f aca="false">IF(Tasks[[#This Row],[_Pred1Text]]="","",TRIM(MID(SUBSTITUTE(SUBSTITUTE(SUBSTITUTE(UPPER(Tasks[[#This Row],[Predecessors]]),";",",")," ",""),",",REPT(" ",99)),100,99)))</f>
        <v/>
      </c>
      <c r="CC9" s="45" t="str">
        <f aca="false">IF(Tasks[[#This Row],[_Pred2Text]]="","",IFERROR(VALUE(LEFT(Tasks[[#This Row],[_Pred2Text]],MIN(FIND("F",Tasks[[#This Row],[_Pred2Text]]&amp;"F"),FIND("S",Tasks[[#This Row],[_Pred2Text]]&amp;"S"),FIND("+",Tasks[[#This Row],[_Pred2Text]]&amp;"+"),FIND("-",Tasks[[#This Row],[_Pred2Text]]&amp;"-"))-1)),""))</f>
        <v/>
      </c>
      <c r="CD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9" s="45" t="str">
        <f aca="false">IF(Tasks[[#This Row],[_Pred2Text]]="","",TRIM(MID(SUBSTITUTE(SUBSTITUTE(SUBSTITUTE(UPPER(Tasks[[#This Row],[Predecessors]]),";",",")," ",""),",",REPT(" ",99)),199,99)))</f>
        <v/>
      </c>
      <c r="CG9" s="45" t="str">
        <f aca="false">IF(Tasks[[#This Row],[_Pred3Text]]="","",IFERROR(VALUE(LEFT(Tasks[[#This Row],[_Pred3Text]],MIN(FIND("F",Tasks[[#This Row],[_Pred3Text]]&amp;"F"),FIND("S",Tasks[[#This Row],[_Pred3Text]]&amp;"S"),FIND("+",Tasks[[#This Row],[_Pred3Text]]&amp;"+"),FIND("-",Tasks[[#This Row],[_Pred3Text]]&amp;"-"))-1)),""))</f>
        <v/>
      </c>
      <c r="CH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9" s="45" t="str">
        <f aca="false">IF(Tasks[[#This Row],[_Pred3Text]]="","",TRIM(MID(SUBSTITUTE(SUBSTITUTE(SUBSTITUTE(UPPER(Tasks[[#This Row],[Predecessors]]),";",",")," ",""),",",REPT(" ",99)),298,99)))</f>
        <v/>
      </c>
      <c r="CK9" s="45" t="str">
        <f aca="false">IF(Tasks[[#This Row],[_Pred4Text]]="","",IFERROR(VALUE(LEFT(Tasks[[#This Row],[_Pred4Text]],MIN(FIND("F",Tasks[[#This Row],[_Pred4Text]]&amp;"F"),FIND("S",Tasks[[#This Row],[_Pred4Text]]&amp;"S"),FIND("+",Tasks[[#This Row],[_Pred4Text]]&amp;"+"),FIND("-",Tasks[[#This Row],[_Pred4Text]]&amp;"-"))-1)),""))</f>
        <v/>
      </c>
      <c r="CL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9" s="45" t="str">
        <f aca="false">IF(OR(Tasks[[#This Row],[Task Name]]="",Tasks[[#This Row],[Resources]]=""),"",TRIM(MID(SUBSTITUTE(Tasks[[#This Row],[Resources]],",",REPT(" ",99)),1,99)))</f>
        <v/>
      </c>
      <c r="CO9" s="45" t="str">
        <f aca="false">IF(Tasks[[#This Row],[_Res1Text]]="","",TRIM(MID(SUBSTITUTE(Tasks[[#This Row],[Resources]],",",REPT(" ",99)),100,99)))</f>
        <v/>
      </c>
      <c r="CP9" s="45" t="str">
        <f aca="false">IF(Tasks[[#This Row],[_Res2Text]]="","",TRIM(MID(SUBSTITUTE(Tasks[[#This Row],[Resources]],",",REPT(" ",99)),199,99)))</f>
        <v/>
      </c>
      <c r="CQ9" s="45" t="str">
        <f aca="false">IF(Tasks[[#This Row],[_Res3Text]]="","",TRIM(MID(SUBSTITUTE(Tasks[[#This Row],[Resources]],",",REPT(" ",99)),298,99)))</f>
        <v/>
      </c>
      <c r="CR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 s="45" t="n">
        <f aca="false">IF(NOT(Tasks[[#This Row],[_IsLeaf]]=1),0,(Tasks[[#This Row],[_Resource1]]&lt;&gt;"")+(Tasks[[#This Row],[_Res2]]&lt;&gt;"")+(Tasks[[#This Row],[_Res3]]&lt;&gt;"")+(Tasks[[#This Row],[_Res4]]&lt;&gt;""))</f>
        <v>0</v>
      </c>
      <c r="CU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 s="45" t="n">
        <f aca="false">IF(OR(NOT(Tasks[[#This Row],[_IsLeaf]]=1),Tasks[[#This Row],[_Res2]]=""),0,IF(ISNA(MATCH(Tasks[[#This Row],[_Res2]],res_Name,0)),0,N(Tasks[[#This Row],[Duration]])*HoursPerDay*IF(Tasks[[#This Row],[_Res2Units]]="",DefaultUnits,Tasks[[#This Row],[_Res2Units]])))</f>
        <v>0</v>
      </c>
      <c r="CX9" s="45" t="n">
        <f aca="false">IF(Tasks[[#This Row],[_Res2Work]]=0,0,Tasks[[#This Row],[_Res2Work]]*IFERROR(INDEX(res_Rate,MATCH(Tasks[[#This Row],[_Res2]],res_Name,0)),0))</f>
        <v>0</v>
      </c>
      <c r="CY9" s="45" t="n">
        <f aca="false">IF(AND(AND(Tasks[[#This Row],[_IsLeaf]]=1,Tasks[[#This Row],[_LeafTotalWork]]&gt;0),Tasks[[#This Row],[_Res2Work]]&gt;0),Tasks[[#This Row],[_Res2Work]]/(Tasks[[#This Row],[_FinishWorkday]]-Tasks[[#This Row],[_StartWorkday]]+1),0)</f>
        <v>0</v>
      </c>
      <c r="CZ9" s="45" t="n">
        <f aca="false">Tasks[[#This Row],[_Res2WorkPerWD]]*MAX(0,Tasks[[#This Row],[_StartWorkday]]-1)</f>
        <v>0</v>
      </c>
      <c r="DA9" s="45" t="n">
        <f aca="false">Tasks[[#This Row],[_Res2Work]]*Tasks[[#This Row],[_LeafProgress]]</f>
        <v>0</v>
      </c>
      <c r="DB9" s="45" t="n">
        <f aca="false">IF(Tasks[[#This Row],[_LeafTotalCost]]=0,0,Tasks[[#This Row],[_LeafAC]]*Tasks[[#This Row],[_Res2Cost]]/Tasks[[#This Row],[_LeafTotalCost]])</f>
        <v>0</v>
      </c>
      <c r="DC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9" s="45" t="n">
        <f aca="false">IF(OR(NOT(Tasks[[#This Row],[_IsLeaf]]=1),Tasks[[#This Row],[_Res3]]=""),0,IF(ISNA(MATCH(Tasks[[#This Row],[_Res3]],res_Name,0)),0,N(Tasks[[#This Row],[Duration]])*HoursPerDay*IF(Tasks[[#This Row],[_Res3Units]]="",DefaultUnits,Tasks[[#This Row],[_Res3Units]])))</f>
        <v>0</v>
      </c>
      <c r="DF9" s="45" t="n">
        <f aca="false">IF(Tasks[[#This Row],[_Res3Work]]=0,0,Tasks[[#This Row],[_Res3Work]]*IFERROR(INDEX(res_Rate,MATCH(Tasks[[#This Row],[_Res3]],res_Name,0)),0))</f>
        <v>0</v>
      </c>
      <c r="DG9" s="45" t="n">
        <f aca="false">IF(AND(AND(Tasks[[#This Row],[_IsLeaf]]=1,Tasks[[#This Row],[_LeafTotalWork]]&gt;0),Tasks[[#This Row],[_Res3Work]]&gt;0),Tasks[[#This Row],[_Res3Work]]/(Tasks[[#This Row],[_FinishWorkday]]-Tasks[[#This Row],[_StartWorkday]]+1),0)</f>
        <v>0</v>
      </c>
      <c r="DH9" s="45" t="n">
        <f aca="false">Tasks[[#This Row],[_Res3WorkPerWD]]*MAX(0,Tasks[[#This Row],[_StartWorkday]]-1)</f>
        <v>0</v>
      </c>
      <c r="DI9" s="45" t="n">
        <f aca="false">Tasks[[#This Row],[_Res3Work]]*Tasks[[#This Row],[_LeafProgress]]</f>
        <v>0</v>
      </c>
      <c r="DJ9" s="45" t="n">
        <f aca="false">IF(Tasks[[#This Row],[_LeafTotalCost]]=0,0,Tasks[[#This Row],[_LeafAC]]*Tasks[[#This Row],[_Res3Cost]]/Tasks[[#This Row],[_LeafTotalCost]])</f>
        <v>0</v>
      </c>
      <c r="DK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9" s="45" t="n">
        <f aca="false">IF(OR(NOT(Tasks[[#This Row],[_IsLeaf]]=1),Tasks[[#This Row],[_Res4]]=""),0,IF(ISNA(MATCH(Tasks[[#This Row],[_Res4]],res_Name,0)),0,N(Tasks[[#This Row],[Duration]])*HoursPerDay*IF(Tasks[[#This Row],[_Res4Units]]="",DefaultUnits,Tasks[[#This Row],[_Res4Units]])))</f>
        <v>0</v>
      </c>
      <c r="DN9" s="45" t="n">
        <f aca="false">IF(Tasks[[#This Row],[_Res4Work]]=0,0,Tasks[[#This Row],[_Res4Work]]*IFERROR(INDEX(res_Rate,MATCH(Tasks[[#This Row],[_Res4]],res_Name,0)),0))</f>
        <v>0</v>
      </c>
      <c r="DO9" s="45" t="n">
        <f aca="false">IF(AND(AND(Tasks[[#This Row],[_IsLeaf]]=1,Tasks[[#This Row],[_LeafTotalWork]]&gt;0),Tasks[[#This Row],[_Res4Work]]&gt;0),Tasks[[#This Row],[_Res4Work]]/(Tasks[[#This Row],[_FinishWorkday]]-Tasks[[#This Row],[_StartWorkday]]+1),0)</f>
        <v>0</v>
      </c>
      <c r="DP9" s="45" t="n">
        <f aca="false">Tasks[[#This Row],[_Res4WorkPerWD]]*MAX(0,Tasks[[#This Row],[_StartWorkday]]-1)</f>
        <v>0</v>
      </c>
      <c r="DQ9" s="45" t="n">
        <f aca="false">Tasks[[#This Row],[_Res4Work]]*Tasks[[#This Row],[_LeafProgress]]</f>
        <v>0</v>
      </c>
      <c r="DR9" s="45" t="n">
        <f aca="false">IF(Tasks[[#This Row],[_LeafTotalCost]]=0,0,Tasks[[#This Row],[_LeafAC]]*Tasks[[#This Row],[_Res4Cost]]/Tasks[[#This Row],[_LeafTotalCost]])</f>
        <v>0</v>
      </c>
      <c r="DS9" s="76" t="n">
        <f aca="false">IF(ISNUMBER(Tasks[[#This Row],[% Complete]]),Tasks[[#This Row],[% Complete]],IF(Tasks[[#This Row],[Stage]]="",0,IFERROR(INDEX(stg_Pct,MATCH(Tasks[[#This Row],[Stage]],stg_Name,0)),0)))</f>
        <v>1</v>
      </c>
      <c r="DT9" s="45" t="n">
        <f aca="false">IF(NOT(Tasks[[#This Row],[_IsLeaf]]=1),0,IF(N(Tasks[[#This Row],[Actual Finish]])&gt;0,1,MIN(1,Tasks[[#This Row],[_Pct]])))</f>
        <v>1</v>
      </c>
      <c r="DU9" s="45" t="n">
        <f aca="false">IF(OR(NOT(Tasks[[#This Row],[_IsLeaf]]=1),Tasks[[#This Row],[_Resource1]]=""),0,IF(ISNA(MATCH(Tasks[[#This Row],[_Resource1]],res_Name,0)),0,N(Tasks[[#This Row],[Duration]])*HoursPerDay*IF(Tasks[[#This Row],[_Units1]]="",DefaultUnits,Tasks[[#This Row],[_Units1]])))</f>
        <v>0</v>
      </c>
      <c r="DV9" s="45" t="n">
        <f aca="false">IF(Tasks[[#This Row],[_LeafWork]]=0,0,Tasks[[#This Row],[_LeafWork]]*IFERROR(INDEX(res_Rate,MATCH(Tasks[[#This Row],[_Resource1]],res_Name,0)),0))</f>
        <v>0</v>
      </c>
      <c r="DW9" s="45" t="n">
        <f aca="false">Tasks[[#This Row],[_LeafWork]]+Tasks[[#This Row],[_Res2Work]]+Tasks[[#This Row],[_Res3Work]]+Tasks[[#This Row],[_Res4Work]]</f>
        <v>0</v>
      </c>
      <c r="DX9" s="45" t="n">
        <f aca="false">Tasks[[#This Row],[_LeafCost]]+Tasks[[#This Row],[_Res2Cost]]+Tasks[[#This Row],[_Res3Cost]]+Tasks[[#This Row],[_Res4Cost]]</f>
        <v>0</v>
      </c>
      <c r="DY9" s="45" t="n">
        <f aca="false">IF(Tasks[[#This Row],[_LeafTotalCost]]=0,Tasks[[#This Row],[_LeafAC]],Tasks[[#This Row],[_LeafAC]]*Tasks[[#This Row],[_LeafCost]]/Tasks[[#This Row],[_LeafTotalCost]])</f>
        <v>0</v>
      </c>
      <c r="DZ9"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2912182</v>
      </c>
      <c r="EA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9"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9" s="45" t="n">
        <f aca="false">IF(NOT(Tasks[[#This Row],[_IsLeaf]]=1),0,MAX(_xlfn.MAXIFS(Tasks[_Row],Tasks[_Pred1UID],Tasks[[#This Row],[UID]]),_xlfn.MAXIFS(Tasks[_Row],Tasks[_Pred2UID],Tasks[[#This Row],[UID]]),_xlfn.MAXIFS(Tasks[_Row],Tasks[_Pred3UID],Tasks[[#This Row],[UID]]),_xlfn.MAXIFS(Tasks[_Row],Tasks[_Pred4UID],Tasks[[#This Row],[UID]])))</f>
        <v>6</v>
      </c>
      <c r="EI9"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46283</v>
      </c>
      <c r="EJ9"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46283</v>
      </c>
      <c r="EK9" s="74" t="n">
        <f aca="false">IF(NOT(Tasks[[#This Row],[_IsLeaf]]=1),"",IF(N(Tasks[[#This Row],[Duration]])&lt;=0,Tasks[[#This Row],[_LeafLateFinish]],WORKDAY.INTL(Tasks[[#This Row],[_LeafLateFinish]],-(Tasks[[#This Row],[Duration]]-1),WorkWeek,Holidays)))</f>
        <v>46283</v>
      </c>
      <c r="EL9"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EM9" s="73" t="b">
        <f aca="false">AND(Tasks[[#This Row],[_IsLeaf]]=1,Tasks[[#This Row],[_LeafProgress]]&lt;1,N(Tasks[[#This Row],[_LeafTotalSlack]])&lt;=CriticalSlackDays)</f>
        <v>0</v>
      </c>
      <c r="EN9" s="45" t="n">
        <f aca="false">IF(AND(Tasks[[#This Row],[_IsLeaf]]=1,Tasks[[#This Row],[_ConstraintCode]]=1,Tasks[[#This Row],[Mode]]&lt;&gt;"Manual",N(Tasks[[#This Row],[Actual Start]])=0),MAX(0,N(Tasks[[#This Row],[Free Slack]])),0)</f>
        <v>0</v>
      </c>
      <c r="EO9" s="74" t="n">
        <f aca="false">IF(NOT(Tasks[[#This Row],[_IsLeaf]]=1),"",IF(Tasks[[#This Row],[_AlapShift]]=0,Tasks[[#This Row],[_LeafCalcStart]],WORKDAY.INTL(Tasks[[#This Row],[_LeafCalcStart]],Tasks[[#This Row],[_AlapShift]],WorkWeek,Holidays)))</f>
        <v>46276</v>
      </c>
      <c r="EP9" s="74" t="n">
        <f aca="false">IF(NOT(Tasks[[#This Row],[_IsLeaf]]=1),"",IF(Tasks[[#This Row],[_AlapShift]]=0,Tasks[[#This Row],[_LeafCalcFinish]],WORKDAY.INTL(Tasks[[#This Row],[_LeafCalcFinish]],Tasks[[#This Row],[_AlapShift]],WorkWeek,Holidays)))</f>
        <v>46276</v>
      </c>
      <c r="EQ9" s="74" t="n">
        <f aca="false">IF(NOT(Tasks[[#This Row],[_IsLeaf]]=1),"",IF(Tasks[[#This Row],[_AlapShift]]=0,Tasks[[#This Row],[_LeafFcstStart]],WORKDAY.INTL(Tasks[[#This Row],[_LeafFcstStart]],Tasks[[#This Row],[_AlapShift]],WorkWeek,Holidays)))</f>
        <v>46279</v>
      </c>
      <c r="ER9" s="74" t="n">
        <f aca="false">IF(NOT(Tasks[[#This Row],[_IsLeaf]]=1),"",IF(Tasks[[#This Row],[_AlapShift]]=0,Tasks[[#This Row],[_LeafFcstFinish]],WORKDAY.INTL(Tasks[[#This Row],[_LeafFcstFinish]],Tasks[[#This Row],[_AlapShift]],WorkWeek,Holidays)))</f>
        <v>46279</v>
      </c>
      <c r="ES9" s="74" t="n">
        <f aca="false">IF(Tasks[[#This Row],[Task Name]]="","",IF(Tasks[[#This Row],[_IsSummary]],MIN(INDEX(Tasks[_ShownCalcStart],Tasks[[#This Row],[_Row]]+1):INDEX(Tasks[_ShownCalcStart],Tasks[[#This Row],[_Row]]+Tasks[[#This Row],[_Descendants]])),Tasks[[#This Row],[_ShownCalcStart]]))</f>
        <v>46276</v>
      </c>
      <c r="ET9" s="74" t="n">
        <f aca="false">IF(Tasks[[#This Row],[Task Name]]="","",IF(Tasks[[#This Row],[_IsSummary]],MAX(INDEX(Tasks[_ShownCalcFinish],Tasks[[#This Row],[_Row]]+1):INDEX(Tasks[_ShownCalcFinish],Tasks[[#This Row],[_Row]]+Tasks[[#This Row],[_Descendants]])),Tasks[[#This Row],[_ShownCalcFinish]]))</f>
        <v>46276</v>
      </c>
      <c r="EU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46276</v>
      </c>
      <c r="EZ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46279</v>
      </c>
      <c r="FD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9" s="45" t="n">
        <f aca="false">IF(AND(Tasks[[#This Row],[_IsLeaf]]=1,Tasks[[#This Row],[_LeafTotalWork]]&gt;0),NETWORKDAYS.INTL(ProjectStart,Tasks[[#This Row],[_ShownFcstStart]],WorkWeek,Holidays),0)</f>
        <v>0</v>
      </c>
      <c r="FH9" s="45" t="n">
        <f aca="false">IF(AND(Tasks[[#This Row],[_IsLeaf]]=1,Tasks[[#This Row],[_LeafTotalWork]]&gt;0),MAX(Tasks[[#This Row],[_StartWorkday]],NETWORKDAYS.INTL(ProjectStart,Tasks[[#This Row],[_ShownFcstFinish]],WorkWeek,Holidays)),0)</f>
        <v>0</v>
      </c>
      <c r="FI9" s="45" t="n">
        <f aca="false">IF(AND(Tasks[[#This Row],[_IsLeaf]]=1,Tasks[[#This Row],[_LeafTotalWork]]&gt;0),Tasks[[#This Row],[_LeafWork]]/(Tasks[[#This Row],[_FinishWorkday]]-Tasks[[#This Row],[_StartWorkday]]+1),0)</f>
        <v>0</v>
      </c>
      <c r="FJ9" s="45" t="n">
        <f aca="false">Tasks[[#This Row],[_WorkPerWorkday]]*(Tasks[[#This Row],[_StartWorkday]]-1)</f>
        <v>-0</v>
      </c>
      <c r="FK9" s="45" t="n">
        <f aca="false">IF(Tasks[[#This Row],[_IsLeaf]]=1,MAX(N(Tasks[[#This Row],[Duration]]),0.1),0)</f>
        <v>0.1</v>
      </c>
      <c r="FL9" s="45" t="n">
        <f aca="false">Tasks[[#This Row],[_WeightDur]]*Tasks[[#This Row],[_LeafProgress]]</f>
        <v>0.1</v>
      </c>
      <c r="FM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3</v>
      </c>
      <c r="FN9" s="45" t="str">
        <f aca="false">IF(AND(Tasks[[#This Row],[_IsLeaf]]=1,N(Tasks[[#This Row],[Duration]])=0,Tasks[[#This Row],[_LeafProgress]]&lt;1),Tasks[[#This Row],[_ShownFcstFinish]]+Tasks[[#This Row],[_Row]]/100000,"")</f>
        <v/>
      </c>
      <c r="FO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P9" s="45" t="n">
        <f aca="false">IF(NOT(Tasks[[#This Row],[_IsLeaf]]=1),0,IF(Tasks[[#This Row],[Baseline Cost]]="",Tasks[[#This Row],[_LeafTotalCost]],N(Tasks[[#This Row],[Baseline Cost]])))</f>
        <v>0</v>
      </c>
      <c r="FQ9" s="45" t="n">
        <f aca="false">Tasks[[#This Row],[_LeafBudget]]*Tasks[[#This Row],[_PlannedPct]]</f>
        <v>0</v>
      </c>
      <c r="FR9" s="45" t="n">
        <f aca="false">Tasks[[#This Row],[_LeafBudget]]*Tasks[[#This Row],[_LeafProgress]]</f>
        <v>0</v>
      </c>
      <c r="FS9" s="45" t="n">
        <f aca="false">IF(NOT(Tasks[[#This Row],[_IsLeaf]]=1),0,IF(Tasks[[#This Row],[Actual Cost]]="",Tasks[[#This Row],[_LeafTotalCost]]*Tasks[[#This Row],[_LeafProgress]],N(Tasks[[#This Row],[Actual Cost]])))</f>
        <v>0</v>
      </c>
      <c r="FT9" s="45" t="str">
        <f aca="false">IF(Tasks[[#This Row],[Task Name]]="","",LEFT(Tasks[[#This Row],[WBS]],FIND(".",Tasks[[#This Row],[WBS]]&amp;".")-1))</f>
        <v>1</v>
      </c>
      <c r="FU9" s="45" t="str">
        <f aca="false">IF(AND(Tasks[[#This Row],[Task Name]]&lt;&gt;"",Tasks[[#This Row],[_Level]]=1),Tasks[[#This Row],[_Row]],"")</f>
        <v/>
      </c>
      <c r="FV9" s="77" t="n">
        <f aca="false">IF(AND(Tasks[[#This Row],[_IsLeaf]]=1,N(Tasks[[#This Row],[Duration]])=0),Tasks[[#This Row],[Planned Finish]]+Tasks[[#This Row],[_Row]]/100000,"")</f>
        <v>46276.00004</v>
      </c>
      <c r="FW9" s="45" t="str">
        <f aca="false">IF(AND(Tasks[[#This Row],[_IsLeaf]]=1,Tasks[[#This Row],[_LeafProgress]]&lt;1,OR(N(Tasks[[#This Row],[Finish Var]])&gt;0,Tasks[[#This Row],[Status]]="Late Start")),MAX(0,Tasks[[#This Row],[Finish Var]])+1-Tasks[[#This Row],[_Row]]/1000000,"")</f>
        <v/>
      </c>
      <c r="FX9" s="45" t="str">
        <f aca="false">IF(AND(Tasks[[#This Row],[_IsLeaf]]=1,N(Tasks[[#This Row],[Actual Start]])=0,Tasks[[#This Row],[_ShownFcstStart]]&gt;=StatusDate,Tasks[[#This Row],[_ShownFcstStart]]&lt;=LookaheadEnd),Tasks[[#This Row],[_ShownFcstStart]]+Tasks[[#This Row],[_Row]]/100000,"")</f>
        <v/>
      </c>
      <c r="FY9" s="45" t="str">
        <f aca="false">IF(AND(Tasks[[#This Row],[_IsLeaf]]=1,Tasks[[#This Row],[_LeafProgress]]&lt;1,Tasks[[#This Row],[_ShownFcstFinish]]&gt;=StatusDate,Tasks[[#This Row],[_ShownFcstFinish]]&lt;=LookaheadEnd),Tasks[[#This Row],[_ShownFcstFinish]]+Tasks[[#This Row],[_Row]]/100000,"")</f>
        <v/>
      </c>
      <c r="FZ9" s="45" t="str">
        <f aca="false">IF(Tasks[[#This Row],[_LeafCritical]],Tasks[[#This Row],[_ShownFcstStart]]+Tasks[[#This Row],[_Row]]/100000,"")</f>
        <v/>
      </c>
      <c r="GA9" s="45" t="n">
        <f aca="false">Tasks[[#This Row],[_LeafWork]]*Tasks[[#This Row],[_LeafProgress]]</f>
        <v>0</v>
      </c>
      <c r="GB9" s="74" t="n">
        <f aca="false">IF(AND(Tasks[[#This Row],[_IsLeaf]]=1,Tasks[[#This Row],[_LeafProgress]]&gt;=1),IF(N(Tasks[[#This Row],[Actual Finish]])&gt;0,Tasks[[#This Row],[Actual Finish]],Tasks[[#This Row],[_ShownFcstFinish]]),"")</f>
        <v>46279</v>
      </c>
    </row>
    <row r="10" customFormat="false" ht="15" hidden="false" customHeight="false" outlineLevel="0" collapsed="false">
      <c r="A10" s="67" t="n">
        <f aca="false">IF(Tasks[[#This Row],[Task Name]]="","",COUNTA(Tasks[[#Headers],[Task Name]]:Tasks[[#This Row],[Task Name]])-1)</f>
        <v>5</v>
      </c>
      <c r="B10" s="21" t="n">
        <v>5</v>
      </c>
      <c r="C1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D10" s="21" t="n">
        <v>1</v>
      </c>
      <c r="E10" s="22" t="s">
        <v>509</v>
      </c>
      <c r="F10" s="21"/>
      <c r="G10" s="22"/>
      <c r="H10" s="22"/>
      <c r="I10" s="22"/>
      <c r="J10" s="7"/>
      <c r="K10" s="7"/>
      <c r="L10" s="22"/>
      <c r="M10" s="58" t="n">
        <f aca="false">IF(Tasks[[#This Row],[Task Name]]="","",IF(Tasks[[#This Row],[_IsSummary]],MIN(INDEX(Tasks[_ShownFcstStart],Tasks[[#This Row],[_Row]]+1):INDEX(Tasks[_ShownFcstStart],Tasks[[#This Row],[_Row]]+Tasks[[#This Row],[_Descendants]])),Tasks[[#This Row],[_ShownFcstStart]]))</f>
        <v>46280</v>
      </c>
      <c r="N10" s="58" t="n">
        <f aca="false">IF(Tasks[[#This Row],[Task Name]]="","",IF(Tasks[[#This Row],[_IsSummary]],MAX(INDEX(Tasks[_ShownFcstFinish],Tasks[[#This Row],[_Row]]+1):INDEX(Tasks[_ShownFcstFinish],Tasks[[#This Row],[_Row]]+Tasks[[#This Row],[_Descendants]])),Tasks[[#This Row],[_ShownFcstFinish]]))</f>
        <v>46301</v>
      </c>
      <c r="O10" s="20" t="str">
        <f aca="false">IF(Tasks[[#This Row],[Task Name]]="","",IF(Tasks[[#This Row],[Progress]]&gt;=1,"Complete",IF(OR(N(Tasks[[#This Row],[Actual Start]])&gt;0,Tasks[[#This Row],[Progress]]&gt;0),IF(Tasks[[#This Row],[Finish Var]]&gt;0,"Behind","In Progress"),IF(Tasks[[#This Row],[Planned Start]]&lt;StatusDate,"Late Start","Not Started"))))</f>
        <v>Complete</v>
      </c>
      <c r="P10" s="20" t="str">
        <f aca="false">IF(Tasks[[#This Row],[Task Name]]="","",IF(IF(Tasks[[#This Row],[_IsSummary]],COUNTIF(INDEX(Tasks[_LeafCritical],Tasks[[#This Row],[_Row]]+1):INDEX(Tasks[_LeafCritical],Tasks[[#This Row],[_Row]]+Tasks[[#This Row],[_Descendants]]),TRUE())&gt;0,Tasks[[#This Row],[_LeafCritical]]),"Yes",""))</f>
        <v/>
      </c>
      <c r="Q1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0" s="67" t="str">
        <f aca="false">IF(Tasks[[#This Row],[Task Name]]="","",IF(Tasks[[#This Row],[_Level]]&lt;=OutlineShowLevel,"Yes","No"))</f>
        <v>Yes</v>
      </c>
      <c r="S10" s="7"/>
      <c r="T10" s="21" t="s">
        <v>195</v>
      </c>
      <c r="U10" s="22"/>
      <c r="V10" s="7"/>
      <c r="W10" s="67" t="n">
        <f aca="false">IF(Tasks[[#This Row],[Task Name]]="","",IF(Tasks[[#This Row],[Finish]]&gt;=Tasks[[#This Row],[Planned Finish]],NETWORKDAYS.INTL(Tasks[[#This Row],[Planned Finish]],Tasks[[#This Row],[Finish]],WorkWeek,Holidays)-1,1-NETWORKDAYS.INTL(Tasks[[#This Row],[Finish]],Tasks[[#This Row],[Planned Finish]],WorkWeek,Holidays)))</f>
        <v>3</v>
      </c>
      <c r="X10" s="58" t="n">
        <f aca="false">IF(Tasks[[#This Row],[Task Name]]="","",IF(N(Tasks[[#This Row],[Baseline Start]])&gt;0,Tasks[[#This Row],[Baseline Start]],Tasks[[#This Row],[_CalcStart]]))</f>
        <v>46279</v>
      </c>
      <c r="Y10" s="58" t="n">
        <f aca="false">IF(Tasks[[#This Row],[Task Name]]="","",IF(N(Tasks[[#This Row],[Baseline Finish]])&gt;0,Tasks[[#This Row],[Baseline Finish]],Tasks[[#This Row],[_CalcFinish]]))</f>
        <v>46296</v>
      </c>
      <c r="Z10" s="67" t="n">
        <f aca="false">IF(Tasks[[#This Row],[Task Name]]="","",IF(Tasks[[#This Row],[Start]]&gt;=Tasks[[#This Row],[Planned Start]],NETWORKDAYS.INTL(Tasks[[#This Row],[Planned Start]],Tasks[[#This Row],[Start]],WorkWeek,Holidays)-1,1-NETWORKDAYS.INTL(Tasks[[#This Row],[Start]],Tasks[[#This Row],[Planned Start]],WorkWeek,Holidays)))</f>
        <v>1</v>
      </c>
      <c r="AA10" s="58" t="n">
        <f aca="false">IF(Tasks[[#This Row],[Task Name]]="","",IF(Tasks[[#This Row],[_IsSummary]],MIN(INDEX(Tasks[_LeafLateStart],Tasks[[#This Row],[_Row]]+1):INDEX(Tasks[_LeafLateStart],Tasks[[#This Row],[_Row]]+Tasks[[#This Row],[_Descendants]])),Tasks[[#This Row],[_LeafLateStart]]))</f>
        <v>46286</v>
      </c>
      <c r="AB10" s="58" t="n">
        <f aca="false">IF(Tasks[[#This Row],[Task Name]]="","",IF(Tasks[[#This Row],[_IsSummary]],MAX(INDEX(Tasks[_LeafLateFinish],Tasks[[#This Row],[_Row]]+1):INDEX(Tasks[_LeafLateFinish],Tasks[[#This Row],[_Row]]+Tasks[[#This Row],[_Descendants]])),Tasks[[#This Row],[_LeafLateFinish]]))</f>
        <v>46303</v>
      </c>
      <c r="AC10" s="67" t="n">
        <f aca="false">IF(Tasks[[#This Row],[Task Name]]="","",IF(Tasks[[#This Row],[_IsSummary]],MIN(INDEX(Tasks[_LeafTotalSlack],Tasks[[#This Row],[_Row]]+1):INDEX(Tasks[_LeafTotalSlack],Tasks[[#This Row],[_Row]]+Tasks[[#This Row],[_Descendants]])),Tasks[[#This Row],[_LeafTotalSlack]]))</f>
        <v>2</v>
      </c>
      <c r="AD1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0" s="60"/>
      <c r="AH10"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I1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0" s="69" t="n">
        <f aca="false">IF(Tasks[[#This Row],[Task Name]]="","",IF(Tasks[[#This Row],[_IsSummary]],SUM(INDEX(Tasks[_LeafTotalWork],Tasks[[#This Row],[_Row]]+1):INDEX(Tasks[_LeafTotalWork],Tasks[[#This Row],[_Row]]+Tasks[[#This Row],[_Descendants]])),Tasks[[#This Row],[_LeafTotalWork]]))</f>
        <v>172</v>
      </c>
      <c r="AK1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0" s="70" t="n">
        <f aca="false">IF(Tasks[[#This Row],[Task Name]]="","",IF(Tasks[[#This Row],[_IsSummary]],SUM(INDEX(Tasks[_LeafTotalCost],Tasks[[#This Row],[_Row]]+1):INDEX(Tasks[_LeafTotalCost],Tasks[[#This Row],[_Row]]+Tasks[[#This Row],[_Descendants]])),Tasks[[#This Row],[_LeafTotalCost]]))</f>
        <v>14180</v>
      </c>
      <c r="AM10" s="71"/>
      <c r="AN10" s="20" t="str">
        <f aca="false">IF(OR(Tasks[[#This Row],[Task Name]]="",Tasks[[#This Row],[Baseline Duration]]=""),"",Tasks[[#This Row],[BL Source Duration]]-N(Tasks[[#This Row],[Baseline Duration]]))</f>
        <v/>
      </c>
      <c r="AO10" s="69" t="str">
        <f aca="false">IF(OR(Tasks[[#This Row],[Task Name]]="",Tasks[[#This Row],[Baseline Work]]=""),"",Tasks[[#This Row],[Work]]-N(Tasks[[#This Row],[Baseline Work]]))</f>
        <v/>
      </c>
      <c r="AP10" s="70" t="str">
        <f aca="false">IF(OR(Tasks[[#This Row],[Task Name]]="",Tasks[[#This Row],[Baseline Cost]]=""),"",Tasks[[#This Row],[Cost]]-N(Tasks[[#This Row],[Baseline Cost]]))</f>
        <v/>
      </c>
      <c r="AQ10" s="58" t="n">
        <f aca="false">IF(Tasks[[#This Row],[Task Name]]="","",Tasks[[#This Row],[Start]])</f>
        <v>46280</v>
      </c>
      <c r="AR10" s="58" t="n">
        <f aca="false">IF(Tasks[[#This Row],[Task Name]]="","",Tasks[[#This Row],[Finish]])</f>
        <v>46301</v>
      </c>
      <c r="AS10" s="67" t="n">
        <f aca="false">IF(Tasks[[#This Row],[Task Name]]="","",IF(Tasks[[#This Row],[_IsSummary]],NETWORKDAYS.INTL(Tasks[[#This Row],[Start]],Tasks[[#This Row],[Finish]],WorkWeek,Holidays),N(Tasks[[#This Row],[Duration]])))</f>
        <v>16</v>
      </c>
      <c r="AT10" s="69" t="n">
        <f aca="false">IF(Tasks[[#This Row],[Task Name]]="","",Tasks[[#This Row],[Work]])</f>
        <v>172</v>
      </c>
      <c r="AU10" s="70" t="n">
        <f aca="false">IF(Tasks[[#This Row],[Task Name]]="","",Tasks[[#This Row],[Cost]])</f>
        <v>14180</v>
      </c>
      <c r="AV10" s="7"/>
      <c r="AW10" s="7"/>
      <c r="AX10" s="21"/>
      <c r="AY10" s="72"/>
      <c r="AZ10" s="71"/>
      <c r="BA10" s="70" t="n">
        <f aca="false">IF(Tasks[[#This Row],[Task Name]]="","",IF(Tasks[[#This Row],[_IsSummary]],SUM(INDEX(Tasks[_LeafEV],Tasks[[#This Row],[_Row]]+1):INDEX(Tasks[_LeafEV],Tasks[[#This Row],[_Row]]+Tasks[[#This Row],[_Descendants]])),Tasks[[#This Row],[_LeafEV]]))</f>
        <v>14180</v>
      </c>
      <c r="BB10" s="70" t="n">
        <f aca="false">IF(Tasks[[#This Row],[Task Name]]="","",IF(Tasks[[#This Row],[_IsSummary]],SUM(INDEX(Tasks[_LeafBudget],Tasks[[#This Row],[_Row]]+1):INDEX(Tasks[_LeafBudget],Tasks[[#This Row],[_Row]]+Tasks[[#This Row],[_Descendants]])),Tasks[[#This Row],[_LeafBudget]]))</f>
        <v>14180</v>
      </c>
      <c r="BC10" s="70" t="n">
        <f aca="false">IF(Tasks[[#This Row],[Task Name]]="","",IF(Tasks[[#This Row],[_IsSummary]],SUM(INDEX(Tasks[_LeafPV],Tasks[[#This Row],[_Row]]+1):INDEX(Tasks[_LeafPV],Tasks[[#This Row],[_Row]]+Tasks[[#This Row],[_Descendants]])),Tasks[[#This Row],[_LeafPV]]))</f>
        <v>14180</v>
      </c>
      <c r="BD10" s="70" t="n">
        <f aca="false">IF(Tasks[[#This Row],[Task Name]]="","",IF(Tasks[[#This Row],[_IsSummary]],SUM(INDEX(Tasks[_LeafAC],Tasks[[#This Row],[_Row]]+1):INDEX(Tasks[_LeafAC],Tasks[[#This Row],[_Row]]+Tasks[[#This Row],[_Descendants]])),Tasks[[#This Row],[_LeafAC]]))</f>
        <v>14740</v>
      </c>
      <c r="BE10" s="45" t="n">
        <f aca="false">IF(Tasks[[#This Row],[Task Name]]="","",MAX(1,N(Tasks[[#This Row],[Level]])))</f>
        <v>1</v>
      </c>
      <c r="BF10" s="45" t="n">
        <f aca="false">ROW()-ROW(Tasks[[#Headers],[ID]])</f>
        <v>5</v>
      </c>
      <c r="BG10" s="45" t="n">
        <f aca="false">IF(OR(Tasks[[#This Row],[Task Name]]="",Tasks[[#This Row],[_Level]]&lt;=1),0,IFERROR(LOOKUP(2,1/(Tasks[[#Headers],[_Level]]:Tasks[[#This Row],[_Level]]=Tasks[[#This Row],[_Level]]-1),ROW(Tasks[[#Headers],[_Level]]:Tasks[[#This Row],[_Level]])),0))</f>
        <v>0</v>
      </c>
      <c r="BH10" s="45" t="n">
        <f aca="false">IFERROR(N(INDEX(Tasks[_Level],Tasks[[#This Row],[_Row]]+1)),0)</f>
        <v>2</v>
      </c>
      <c r="BI10" s="73" t="b">
        <f aca="false">AND(Tasks[[#This Row],[Task Name]]&lt;&gt;"",Tasks[[#This Row],[_NextLevel]]&gt;Tasks[[#This Row],[_Level]])</f>
        <v>1</v>
      </c>
      <c r="BJ10" s="45" t="n">
        <f aca="false">IF(Tasks[[#This Row],[_IsSummary]],COUNTIF(Tasks[WBS],Tasks[[#This Row],[WBS]]&amp;".*"),0)</f>
        <v>4</v>
      </c>
      <c r="BK10" s="45" t="n">
        <f aca="false">IF(AND(Tasks[[#This Row],[Task Name]]&lt;&gt;"",NOT(Tasks[[#This Row],[_IsSummary]])),1,0)</f>
        <v>0</v>
      </c>
      <c r="BL10" s="45" t="n">
        <f aca="false">IF(N(Tasks[[#This Row],[_Pred1UID]])=0,0,IFERROR(MATCH(Tasks[[#This Row],[_Pred1UID]],Tasks[UID],0),-1))</f>
        <v>0</v>
      </c>
      <c r="BM10" s="45" t="n">
        <f aca="false">IF(N(Tasks[[#This Row],[_Pred2UID]])=0,0,IFERROR(MATCH(Tasks[[#This Row],[_Pred2UID]],Tasks[UID],0),-1))</f>
        <v>0</v>
      </c>
      <c r="BN10" s="45" t="n">
        <f aca="false">IF(N(Tasks[[#This Row],[_Pred3UID]])=0,0,IFERROR(MATCH(Tasks[[#This Row],[_Pred3UID]],Tasks[UID],0),-1))</f>
        <v>0</v>
      </c>
      <c r="BO10" s="45" t="n">
        <f aca="false">IF(N(Tasks[[#This Row],[_Pred4UID]])=0,0,IFERROR(MATCH(Tasks[[#This Row],[_Pred4UID]],Tasks[UID],0),-1))</f>
        <v>0</v>
      </c>
      <c r="BP1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0" s="74" t="n">
        <f aca="false">IF(OR(Tasks[[#This Row],[_ConstraintCode]]=2,Tasks[[#This Row],[_ConstraintCode]]=3,Tasks[[#This Row],[_ConstraintCode]]=4,Tasks[[#This Row],[_ConstraintCode]]=6),Tasks[[#This Row],[_ConstraintStart]],0)</f>
        <v>0</v>
      </c>
      <c r="BS10" s="74" t="n">
        <f aca="false">IF(OR(Tasks[[#This Row],[_ConstraintCode]]=2,Tasks[[#This Row],[_ConstraintCode]]=3,Tasks[[#This Row],[_ConstraintCode]]=5,Tasks[[#This Row],[_ConstraintCode]]=7),Tasks[[#This Row],[_ConstraintStart]],2958465)</f>
        <v>2958465</v>
      </c>
      <c r="BT1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0" s="74" t="str">
        <f aca="false">IF(NOT(Tasks[[#This Row],[_IsLeaf]]=1),"",IF(N(Tasks[[#This Row],[Duration]])&lt;=0,Tasks[[#This Row],[_LeafCalcStart]],WORKDAY.INTL(Tasks[[#This Row],[_LeafCalcStart]],Tasks[[#This Row],[Duration]]-1,WorkWeek,Holidays)))</f>
        <v/>
      </c>
      <c r="BV1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0" s="45" t="str">
        <f aca="false">IF(Tasks[[#This Row],[Predecessors]]="","",TRIM(MID(SUBSTITUTE(SUBSTITUTE(SUBSTITUTE(UPPER(Tasks[[#This Row],[Predecessors]]),";",",")," ",""),",",REPT(" ",99)),1,99)))</f>
        <v/>
      </c>
      <c r="BY10" s="45" t="str">
        <f aca="false">IF(Tasks[[#This Row],[_Pred1Text]]="","",IFERROR(VALUE(LEFT(Tasks[[#This Row],[_Pred1Text]],MIN(FIND("F",Tasks[[#This Row],[_Pred1Text]]&amp;"F"),FIND("S",Tasks[[#This Row],[_Pred1Text]]&amp;"S"),FIND("+",Tasks[[#This Row],[_Pred1Text]]&amp;"+"),FIND("-",Tasks[[#This Row],[_Pred1Text]]&amp;"-"))-1)),""))</f>
        <v/>
      </c>
      <c r="BZ1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0" s="45" t="str">
        <f aca="false">IF(Tasks[[#This Row],[_Pred1Text]]="","",TRIM(MID(SUBSTITUTE(SUBSTITUTE(SUBSTITUTE(UPPER(Tasks[[#This Row],[Predecessors]]),";",",")," ",""),",",REPT(" ",99)),100,99)))</f>
        <v/>
      </c>
      <c r="CC10" s="45" t="str">
        <f aca="false">IF(Tasks[[#This Row],[_Pred2Text]]="","",IFERROR(VALUE(LEFT(Tasks[[#This Row],[_Pred2Text]],MIN(FIND("F",Tasks[[#This Row],[_Pred2Text]]&amp;"F"),FIND("S",Tasks[[#This Row],[_Pred2Text]]&amp;"S"),FIND("+",Tasks[[#This Row],[_Pred2Text]]&amp;"+"),FIND("-",Tasks[[#This Row],[_Pred2Text]]&amp;"-"))-1)),""))</f>
        <v/>
      </c>
      <c r="CD1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0" s="45" t="str">
        <f aca="false">IF(Tasks[[#This Row],[_Pred2Text]]="","",TRIM(MID(SUBSTITUTE(SUBSTITUTE(SUBSTITUTE(UPPER(Tasks[[#This Row],[Predecessors]]),";",",")," ",""),",",REPT(" ",99)),199,99)))</f>
        <v/>
      </c>
      <c r="CG10" s="45" t="str">
        <f aca="false">IF(Tasks[[#This Row],[_Pred3Text]]="","",IFERROR(VALUE(LEFT(Tasks[[#This Row],[_Pred3Text]],MIN(FIND("F",Tasks[[#This Row],[_Pred3Text]]&amp;"F"),FIND("S",Tasks[[#This Row],[_Pred3Text]]&amp;"S"),FIND("+",Tasks[[#This Row],[_Pred3Text]]&amp;"+"),FIND("-",Tasks[[#This Row],[_Pred3Text]]&amp;"-"))-1)),""))</f>
        <v/>
      </c>
      <c r="CH1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0" s="45" t="str">
        <f aca="false">IF(Tasks[[#This Row],[_Pred3Text]]="","",TRIM(MID(SUBSTITUTE(SUBSTITUTE(SUBSTITUTE(UPPER(Tasks[[#This Row],[Predecessors]]),";",",")," ",""),",",REPT(" ",99)),298,99)))</f>
        <v/>
      </c>
      <c r="CK10" s="45" t="str">
        <f aca="false">IF(Tasks[[#This Row],[_Pred4Text]]="","",IFERROR(VALUE(LEFT(Tasks[[#This Row],[_Pred4Text]],MIN(FIND("F",Tasks[[#This Row],[_Pred4Text]]&amp;"F"),FIND("S",Tasks[[#This Row],[_Pred4Text]]&amp;"S"),FIND("+",Tasks[[#This Row],[_Pred4Text]]&amp;"+"),FIND("-",Tasks[[#This Row],[_Pred4Text]]&amp;"-"))-1)),""))</f>
        <v/>
      </c>
      <c r="CL1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0" s="45" t="str">
        <f aca="false">IF(OR(Tasks[[#This Row],[Task Name]]="",Tasks[[#This Row],[Resources]]=""),"",TRIM(MID(SUBSTITUTE(Tasks[[#This Row],[Resources]],",",REPT(" ",99)),1,99)))</f>
        <v/>
      </c>
      <c r="CO10" s="45" t="str">
        <f aca="false">IF(Tasks[[#This Row],[_Res1Text]]="","",TRIM(MID(SUBSTITUTE(Tasks[[#This Row],[Resources]],",",REPT(" ",99)),100,99)))</f>
        <v/>
      </c>
      <c r="CP10" s="45" t="str">
        <f aca="false">IF(Tasks[[#This Row],[_Res2Text]]="","",TRIM(MID(SUBSTITUTE(Tasks[[#This Row],[Resources]],",",REPT(" ",99)),199,99)))</f>
        <v/>
      </c>
      <c r="CQ10" s="45" t="str">
        <f aca="false">IF(Tasks[[#This Row],[_Res3Text]]="","",TRIM(MID(SUBSTITUTE(Tasks[[#This Row],[Resources]],",",REPT(" ",99)),298,99)))</f>
        <v/>
      </c>
      <c r="CR1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 s="45" t="n">
        <f aca="false">IF(NOT(Tasks[[#This Row],[_IsLeaf]]=1),0,(Tasks[[#This Row],[_Resource1]]&lt;&gt;"")+(Tasks[[#This Row],[_Res2]]&lt;&gt;"")+(Tasks[[#This Row],[_Res3]]&lt;&gt;"")+(Tasks[[#This Row],[_Res4]]&lt;&gt;""))</f>
        <v>0</v>
      </c>
      <c r="CU1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 s="45" t="n">
        <f aca="false">IF(OR(NOT(Tasks[[#This Row],[_IsLeaf]]=1),Tasks[[#This Row],[_Res2]]=""),0,IF(ISNA(MATCH(Tasks[[#This Row],[_Res2]],res_Name,0)),0,N(Tasks[[#This Row],[Duration]])*HoursPerDay*IF(Tasks[[#This Row],[_Res2Units]]="",DefaultUnits,Tasks[[#This Row],[_Res2Units]])))</f>
        <v>0</v>
      </c>
      <c r="CX10" s="45" t="n">
        <f aca="false">IF(Tasks[[#This Row],[_Res2Work]]=0,0,Tasks[[#This Row],[_Res2Work]]*IFERROR(INDEX(res_Rate,MATCH(Tasks[[#This Row],[_Res2]],res_Name,0)),0))</f>
        <v>0</v>
      </c>
      <c r="CY10" s="45" t="n">
        <f aca="false">IF(AND(AND(Tasks[[#This Row],[_IsLeaf]]=1,Tasks[[#This Row],[_LeafTotalWork]]&gt;0),Tasks[[#This Row],[_Res2Work]]&gt;0),Tasks[[#This Row],[_Res2Work]]/(Tasks[[#This Row],[_FinishWorkday]]-Tasks[[#This Row],[_StartWorkday]]+1),0)</f>
        <v>0</v>
      </c>
      <c r="CZ10" s="45" t="n">
        <f aca="false">Tasks[[#This Row],[_Res2WorkPerWD]]*MAX(0,Tasks[[#This Row],[_StartWorkday]]-1)</f>
        <v>0</v>
      </c>
      <c r="DA10" s="45" t="n">
        <f aca="false">Tasks[[#This Row],[_Res2Work]]*Tasks[[#This Row],[_LeafProgress]]</f>
        <v>0</v>
      </c>
      <c r="DB10" s="45" t="n">
        <f aca="false">IF(Tasks[[#This Row],[_LeafTotalCost]]=0,0,Tasks[[#This Row],[_LeafAC]]*Tasks[[#This Row],[_Res2Cost]]/Tasks[[#This Row],[_LeafTotalCost]])</f>
        <v>0</v>
      </c>
      <c r="DC1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0" s="45" t="n">
        <f aca="false">IF(OR(NOT(Tasks[[#This Row],[_IsLeaf]]=1),Tasks[[#This Row],[_Res3]]=""),0,IF(ISNA(MATCH(Tasks[[#This Row],[_Res3]],res_Name,0)),0,N(Tasks[[#This Row],[Duration]])*HoursPerDay*IF(Tasks[[#This Row],[_Res3Units]]="",DefaultUnits,Tasks[[#This Row],[_Res3Units]])))</f>
        <v>0</v>
      </c>
      <c r="DF10" s="45" t="n">
        <f aca="false">IF(Tasks[[#This Row],[_Res3Work]]=0,0,Tasks[[#This Row],[_Res3Work]]*IFERROR(INDEX(res_Rate,MATCH(Tasks[[#This Row],[_Res3]],res_Name,0)),0))</f>
        <v>0</v>
      </c>
      <c r="DG10" s="45" t="n">
        <f aca="false">IF(AND(AND(Tasks[[#This Row],[_IsLeaf]]=1,Tasks[[#This Row],[_LeafTotalWork]]&gt;0),Tasks[[#This Row],[_Res3Work]]&gt;0),Tasks[[#This Row],[_Res3Work]]/(Tasks[[#This Row],[_FinishWorkday]]-Tasks[[#This Row],[_StartWorkday]]+1),0)</f>
        <v>0</v>
      </c>
      <c r="DH10" s="45" t="n">
        <f aca="false">Tasks[[#This Row],[_Res3WorkPerWD]]*MAX(0,Tasks[[#This Row],[_StartWorkday]]-1)</f>
        <v>0</v>
      </c>
      <c r="DI10" s="45" t="n">
        <f aca="false">Tasks[[#This Row],[_Res3Work]]*Tasks[[#This Row],[_LeafProgress]]</f>
        <v>0</v>
      </c>
      <c r="DJ10" s="45" t="n">
        <f aca="false">IF(Tasks[[#This Row],[_LeafTotalCost]]=0,0,Tasks[[#This Row],[_LeafAC]]*Tasks[[#This Row],[_Res3Cost]]/Tasks[[#This Row],[_LeafTotalCost]])</f>
        <v>0</v>
      </c>
      <c r="DK1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0" s="45" t="n">
        <f aca="false">IF(OR(NOT(Tasks[[#This Row],[_IsLeaf]]=1),Tasks[[#This Row],[_Res4]]=""),0,IF(ISNA(MATCH(Tasks[[#This Row],[_Res4]],res_Name,0)),0,N(Tasks[[#This Row],[Duration]])*HoursPerDay*IF(Tasks[[#This Row],[_Res4Units]]="",DefaultUnits,Tasks[[#This Row],[_Res4Units]])))</f>
        <v>0</v>
      </c>
      <c r="DN10" s="45" t="n">
        <f aca="false">IF(Tasks[[#This Row],[_Res4Work]]=0,0,Tasks[[#This Row],[_Res4Work]]*IFERROR(INDEX(res_Rate,MATCH(Tasks[[#This Row],[_Res4]],res_Name,0)),0))</f>
        <v>0</v>
      </c>
      <c r="DO10" s="45" t="n">
        <f aca="false">IF(AND(AND(Tasks[[#This Row],[_IsLeaf]]=1,Tasks[[#This Row],[_LeafTotalWork]]&gt;0),Tasks[[#This Row],[_Res4Work]]&gt;0),Tasks[[#This Row],[_Res4Work]]/(Tasks[[#This Row],[_FinishWorkday]]-Tasks[[#This Row],[_StartWorkday]]+1),0)</f>
        <v>0</v>
      </c>
      <c r="DP10" s="45" t="n">
        <f aca="false">Tasks[[#This Row],[_Res4WorkPerWD]]*MAX(0,Tasks[[#This Row],[_StartWorkday]]-1)</f>
        <v>0</v>
      </c>
      <c r="DQ10" s="45" t="n">
        <f aca="false">Tasks[[#This Row],[_Res4Work]]*Tasks[[#This Row],[_LeafProgress]]</f>
        <v>0</v>
      </c>
      <c r="DR10" s="45" t="n">
        <f aca="false">IF(Tasks[[#This Row],[_LeafTotalCost]]=0,0,Tasks[[#This Row],[_LeafAC]]*Tasks[[#This Row],[_Res4Cost]]/Tasks[[#This Row],[_LeafTotalCost]])</f>
        <v>0</v>
      </c>
      <c r="DS10" s="45" t="n">
        <f aca="false">IF(ISNUMBER(Tasks[[#This Row],[% Complete]]),Tasks[[#This Row],[% Complete]],IF(Tasks[[#This Row],[Stage]]="",0,IFERROR(INDEX(stg_Pct,MATCH(Tasks[[#This Row],[Stage]],stg_Name,0)),0)))</f>
        <v>0</v>
      </c>
      <c r="DT10" s="45" t="n">
        <f aca="false">IF(NOT(Tasks[[#This Row],[_IsLeaf]]=1),0,IF(N(Tasks[[#This Row],[Actual Finish]])&gt;0,1,MIN(1,Tasks[[#This Row],[_Pct]])))</f>
        <v>0</v>
      </c>
      <c r="DU10" s="45" t="n">
        <f aca="false">IF(OR(NOT(Tasks[[#This Row],[_IsLeaf]]=1),Tasks[[#This Row],[_Resource1]]=""),0,IF(ISNA(MATCH(Tasks[[#This Row],[_Resource1]],res_Name,0)),0,N(Tasks[[#This Row],[Duration]])*HoursPerDay*IF(Tasks[[#This Row],[_Units1]]="",DefaultUnits,Tasks[[#This Row],[_Units1]])))</f>
        <v>0</v>
      </c>
      <c r="DV10" s="45" t="n">
        <f aca="false">IF(Tasks[[#This Row],[_LeafWork]]=0,0,Tasks[[#This Row],[_LeafWork]]*IFERROR(INDEX(res_Rate,MATCH(Tasks[[#This Row],[_Resource1]],res_Name,0)),0))</f>
        <v>0</v>
      </c>
      <c r="DW10" s="45" t="n">
        <f aca="false">Tasks[[#This Row],[_LeafWork]]+Tasks[[#This Row],[_Res2Work]]+Tasks[[#This Row],[_Res3Work]]+Tasks[[#This Row],[_Res4Work]]</f>
        <v>0</v>
      </c>
      <c r="DX10" s="45" t="n">
        <f aca="false">Tasks[[#This Row],[_LeafCost]]+Tasks[[#This Row],[_Res2Cost]]+Tasks[[#This Row],[_Res3Cost]]+Tasks[[#This Row],[_Res4Cost]]</f>
        <v>0</v>
      </c>
      <c r="DY10" s="45" t="n">
        <f aca="false">IF(Tasks[[#This Row],[_LeafTotalCost]]=0,Tasks[[#This Row],[_LeafAC]],Tasks[[#This Row],[_LeafAC]]*Tasks[[#This Row],[_LeafCost]]/Tasks[[#This Row],[_LeafTotalCost]])</f>
        <v>0</v>
      </c>
      <c r="DZ1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0" s="45" t="n">
        <f aca="false">IF(NOT(Tasks[[#This Row],[_IsLeaf]]=1),0,MAX(_xlfn.MAXIFS(Tasks[_Row],Tasks[_Pred1UID],Tasks[[#This Row],[UID]]),_xlfn.MAXIFS(Tasks[_Row],Tasks[_Pred2UID],Tasks[[#This Row],[UID]]),_xlfn.MAXIFS(Tasks[_Row],Tasks[_Pred3UID],Tasks[[#This Row],[UID]]),_xlfn.MAXIFS(Tasks[_Row],Tasks[_Pred4UID],Tasks[[#This Row],[UID]])))</f>
        <v>0</v>
      </c>
      <c r="EI1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0" s="74" t="str">
        <f aca="false">IF(NOT(Tasks[[#This Row],[_IsLeaf]]=1),"",IF(N(Tasks[[#This Row],[Duration]])&lt;=0,Tasks[[#This Row],[_LeafLateFinish]],WORKDAY.INTL(Tasks[[#This Row],[_LeafLateFinish]],-(Tasks[[#This Row],[Duration]]-1),WorkWeek,Holidays)))</f>
        <v/>
      </c>
      <c r="EL1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0" s="73" t="b">
        <f aca="false">AND(Tasks[[#This Row],[_IsLeaf]]=1,Tasks[[#This Row],[_LeafProgress]]&lt;1,N(Tasks[[#This Row],[_LeafTotalSlack]])&lt;=CriticalSlackDays)</f>
        <v>0</v>
      </c>
      <c r="EN10" s="45" t="n">
        <f aca="false">IF(AND(Tasks[[#This Row],[_IsLeaf]]=1,Tasks[[#This Row],[_ConstraintCode]]=1,Tasks[[#This Row],[Mode]]&lt;&gt;"Manual",N(Tasks[[#This Row],[Actual Start]])=0),MAX(0,N(Tasks[[#This Row],[Free Slack]])),0)</f>
        <v>0</v>
      </c>
      <c r="EO10" s="74" t="str">
        <f aca="false">IF(NOT(Tasks[[#This Row],[_IsLeaf]]=1),"",IF(Tasks[[#This Row],[_AlapShift]]=0,Tasks[[#This Row],[_LeafCalcStart]],WORKDAY.INTL(Tasks[[#This Row],[_LeafCalcStart]],Tasks[[#This Row],[_AlapShift]],WorkWeek,Holidays)))</f>
        <v/>
      </c>
      <c r="EP10" s="74" t="str">
        <f aca="false">IF(NOT(Tasks[[#This Row],[_IsLeaf]]=1),"",IF(Tasks[[#This Row],[_AlapShift]]=0,Tasks[[#This Row],[_LeafCalcFinish]],WORKDAY.INTL(Tasks[[#This Row],[_LeafCalcFinish]],Tasks[[#This Row],[_AlapShift]],WorkWeek,Holidays)))</f>
        <v/>
      </c>
      <c r="EQ10" s="74" t="str">
        <f aca="false">IF(NOT(Tasks[[#This Row],[_IsLeaf]]=1),"",IF(Tasks[[#This Row],[_AlapShift]]=0,Tasks[[#This Row],[_LeafFcstStart]],WORKDAY.INTL(Tasks[[#This Row],[_LeafFcstStart]],Tasks[[#This Row],[_AlapShift]],WorkWeek,Holidays)))</f>
        <v/>
      </c>
      <c r="ER10" s="74" t="str">
        <f aca="false">IF(NOT(Tasks[[#This Row],[_IsLeaf]]=1),"",IF(Tasks[[#This Row],[_AlapShift]]=0,Tasks[[#This Row],[_LeafFcstFinish]],WORKDAY.INTL(Tasks[[#This Row],[_LeafFcstFinish]],Tasks[[#This Row],[_AlapShift]],WorkWeek,Holidays)))</f>
        <v/>
      </c>
      <c r="ES10" s="74" t="n">
        <f aca="false">IF(Tasks[[#This Row],[Task Name]]="","",IF(Tasks[[#This Row],[_IsSummary]],MIN(INDEX(Tasks[_ShownCalcStart],Tasks[[#This Row],[_Row]]+1):INDEX(Tasks[_ShownCalcStart],Tasks[[#This Row],[_Row]]+Tasks[[#This Row],[_Descendants]])),Tasks[[#This Row],[_ShownCalcStart]]))</f>
        <v>46279</v>
      </c>
      <c r="ET10" s="74" t="n">
        <f aca="false">IF(Tasks[[#This Row],[Task Name]]="","",IF(Tasks[[#This Row],[_IsSummary]],MAX(INDEX(Tasks[_ShownCalcFinish],Tasks[[#This Row],[_Row]]+1):INDEX(Tasks[_ShownCalcFinish],Tasks[[#This Row],[_Row]]+Tasks[[#This Row],[_Descendants]])),Tasks[[#This Row],[_ShownCalcFinish]]))</f>
        <v>46296</v>
      </c>
      <c r="EU1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0" s="45" t="n">
        <f aca="false">IF(AND(Tasks[[#This Row],[_IsLeaf]]=1,Tasks[[#This Row],[_LeafTotalWork]]&gt;0),NETWORKDAYS.INTL(ProjectStart,Tasks[[#This Row],[_ShownFcstStart]],WorkWeek,Holidays),0)</f>
        <v>0</v>
      </c>
      <c r="FH10" s="45" t="n">
        <f aca="false">IF(AND(Tasks[[#This Row],[_IsLeaf]]=1,Tasks[[#This Row],[_LeafTotalWork]]&gt;0),MAX(Tasks[[#This Row],[_StartWorkday]],NETWORKDAYS.INTL(ProjectStart,Tasks[[#This Row],[_ShownFcstFinish]],WorkWeek,Holidays)),0)</f>
        <v>0</v>
      </c>
      <c r="FI10" s="45" t="n">
        <f aca="false">IF(AND(Tasks[[#This Row],[_IsLeaf]]=1,Tasks[[#This Row],[_LeafTotalWork]]&gt;0),Tasks[[#This Row],[_LeafWork]]/(Tasks[[#This Row],[_FinishWorkday]]-Tasks[[#This Row],[_StartWorkday]]+1),0)</f>
        <v>0</v>
      </c>
      <c r="FJ10" s="45" t="n">
        <f aca="false">Tasks[[#This Row],[_WorkPerWorkday]]*(Tasks[[#This Row],[_StartWorkday]]-1)</f>
        <v>-0</v>
      </c>
      <c r="FK10" s="45" t="n">
        <f aca="false">IF(Tasks[[#This Row],[_IsLeaf]]=1,MAX(N(Tasks[[#This Row],[Duration]]),0.1),0)</f>
        <v>0</v>
      </c>
      <c r="FL10" s="45" t="n">
        <f aca="false">Tasks[[#This Row],[_WeightDur]]*Tasks[[#This Row],[_LeafProgress]]</f>
        <v>0</v>
      </c>
      <c r="FM1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0" s="45" t="str">
        <f aca="false">IF(AND(Tasks[[#This Row],[_IsLeaf]]=1,N(Tasks[[#This Row],[Duration]])=0,Tasks[[#This Row],[_LeafProgress]]&lt;1),Tasks[[#This Row],[_ShownFcstFinish]]+Tasks[[#This Row],[_Row]]/100000,"")</f>
        <v/>
      </c>
      <c r="FO1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0" s="45" t="n">
        <f aca="false">IF(NOT(Tasks[[#This Row],[_IsLeaf]]=1),0,IF(Tasks[[#This Row],[Baseline Cost]]="",Tasks[[#This Row],[_LeafTotalCost]],N(Tasks[[#This Row],[Baseline Cost]])))</f>
        <v>0</v>
      </c>
      <c r="FQ10" s="45" t="n">
        <f aca="false">Tasks[[#This Row],[_LeafBudget]]*Tasks[[#This Row],[_PlannedPct]]</f>
        <v>0</v>
      </c>
      <c r="FR10" s="45" t="n">
        <f aca="false">Tasks[[#This Row],[_LeafBudget]]*Tasks[[#This Row],[_LeafProgress]]</f>
        <v>0</v>
      </c>
      <c r="FS10" s="45" t="n">
        <f aca="false">IF(NOT(Tasks[[#This Row],[_IsLeaf]]=1),0,IF(Tasks[[#This Row],[Actual Cost]]="",Tasks[[#This Row],[_LeafTotalCost]]*Tasks[[#This Row],[_LeafProgress]],N(Tasks[[#This Row],[Actual Cost]])))</f>
        <v>0</v>
      </c>
      <c r="FT10" s="45" t="str">
        <f aca="false">IF(Tasks[[#This Row],[Task Name]]="","",LEFT(Tasks[[#This Row],[WBS]],FIND(".",Tasks[[#This Row],[WBS]]&amp;".")-1))</f>
        <v>2</v>
      </c>
      <c r="FU10" s="45" t="n">
        <f aca="false">IF(AND(Tasks[[#This Row],[Task Name]]&lt;&gt;"",Tasks[[#This Row],[_Level]]=1),Tasks[[#This Row],[_Row]],"")</f>
        <v>5</v>
      </c>
      <c r="FV10" s="45" t="str">
        <f aca="false">IF(AND(Tasks[[#This Row],[_IsLeaf]]=1,N(Tasks[[#This Row],[Duration]])=0),Tasks[[#This Row],[Planned Finish]]+Tasks[[#This Row],[_Row]]/100000,"")</f>
        <v/>
      </c>
      <c r="FW10" s="45" t="str">
        <f aca="false">IF(AND(Tasks[[#This Row],[_IsLeaf]]=1,Tasks[[#This Row],[_LeafProgress]]&lt;1,OR(N(Tasks[[#This Row],[Finish Var]])&gt;0,Tasks[[#This Row],[Status]]="Late Start")),MAX(0,Tasks[[#This Row],[Finish Var]])+1-Tasks[[#This Row],[_Row]]/1000000,"")</f>
        <v/>
      </c>
      <c r="FX10" s="45" t="str">
        <f aca="false">IF(AND(Tasks[[#This Row],[_IsLeaf]]=1,N(Tasks[[#This Row],[Actual Start]])=0,Tasks[[#This Row],[_ShownFcstStart]]&gt;=StatusDate,Tasks[[#This Row],[_ShownFcstStart]]&lt;=LookaheadEnd),Tasks[[#This Row],[_ShownFcstStart]]+Tasks[[#This Row],[_Row]]/100000,"")</f>
        <v/>
      </c>
      <c r="FY10" s="45" t="str">
        <f aca="false">IF(AND(Tasks[[#This Row],[_IsLeaf]]=1,Tasks[[#This Row],[_LeafProgress]]&lt;1,Tasks[[#This Row],[_ShownFcstFinish]]&gt;=StatusDate,Tasks[[#This Row],[_ShownFcstFinish]]&lt;=LookaheadEnd),Tasks[[#This Row],[_ShownFcstFinish]]+Tasks[[#This Row],[_Row]]/100000,"")</f>
        <v/>
      </c>
      <c r="FZ10" s="45" t="str">
        <f aca="false">IF(Tasks[[#This Row],[_LeafCritical]],Tasks[[#This Row],[_ShownFcstStart]]+Tasks[[#This Row],[_Row]]/100000,"")</f>
        <v/>
      </c>
      <c r="GA10" s="45" t="n">
        <f aca="false">Tasks[[#This Row],[_LeafWork]]*Tasks[[#This Row],[_LeafProgress]]</f>
        <v>0</v>
      </c>
      <c r="GB10" s="74" t="str">
        <f aca="false">IF(AND(Tasks[[#This Row],[_IsLeaf]]=1,Tasks[[#This Row],[_LeafProgress]]&gt;=1),IF(N(Tasks[[#This Row],[Actual Finish]])&gt;0,Tasks[[#This Row],[Actual Finish]],Tasks[[#This Row],[_ShownFcstFinish]]),"")</f>
        <v/>
      </c>
    </row>
    <row r="11" customFormat="false" ht="15" hidden="false" customHeight="false" outlineLevel="1" collapsed="false">
      <c r="A11" s="67" t="n">
        <f aca="false">IF(Tasks[[#This Row],[Task Name]]="","",COUNTA(Tasks[[#Headers],[Task Name]]:Tasks[[#This Row],[Task Name]])-1)</f>
        <v>6</v>
      </c>
      <c r="B11" s="21" t="n">
        <v>6</v>
      </c>
      <c r="C1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D11" s="21" t="n">
        <v>2</v>
      </c>
      <c r="E11" s="75" t="s">
        <v>510</v>
      </c>
      <c r="F11" s="21" t="n">
        <v>8</v>
      </c>
      <c r="G11" s="22" t="s">
        <v>511</v>
      </c>
      <c r="H11" s="22" t="s">
        <v>505</v>
      </c>
      <c r="I11" s="22" t="s">
        <v>125</v>
      </c>
      <c r="J11" s="7" t="n">
        <v>46280</v>
      </c>
      <c r="K11" s="7" t="n">
        <v>46290</v>
      </c>
      <c r="L11" s="22"/>
      <c r="M11" s="58" t="n">
        <f aca="false">IF(Tasks[[#This Row],[Task Name]]="","",IF(Tasks[[#This Row],[_IsSummary]],MIN(INDEX(Tasks[_ShownFcstStart],Tasks[[#This Row],[_Row]]+1):INDEX(Tasks[_ShownFcstStart],Tasks[[#This Row],[_Row]]+Tasks[[#This Row],[_Descendants]])),Tasks[[#This Row],[_ShownFcstStart]]))</f>
        <v>46280</v>
      </c>
      <c r="N11" s="58" t="n">
        <f aca="false">IF(Tasks[[#This Row],[Task Name]]="","",IF(Tasks[[#This Row],[_IsSummary]],MAX(INDEX(Tasks[_ShownFcstFinish],Tasks[[#This Row],[_Row]]+1):INDEX(Tasks[_ShownFcstFinish],Tasks[[#This Row],[_Row]]+Tasks[[#This Row],[_Descendants]])),Tasks[[#This Row],[_ShownFcstFinish]]))</f>
        <v>46290</v>
      </c>
      <c r="O11" s="20" t="str">
        <f aca="false">IF(Tasks[[#This Row],[Task Name]]="","",IF(Tasks[[#This Row],[Progress]]&gt;=1,"Complete",IF(OR(N(Tasks[[#This Row],[Actual Start]])&gt;0,Tasks[[#This Row],[Progress]]&gt;0),IF(Tasks[[#This Row],[Finish Var]]&gt;0,"Behind","In Progress"),IF(Tasks[[#This Row],[Planned Start]]&lt;StatusDate,"Late Start","Not Started"))))</f>
        <v>Complete</v>
      </c>
      <c r="P11" s="20" t="str">
        <f aca="false">IF(Tasks[[#This Row],[Task Name]]="","",IF(IF(Tasks[[#This Row],[_IsSummary]],COUNTIF(INDEX(Tasks[_LeafCritical],Tasks[[#This Row],[_Row]]+1):INDEX(Tasks[_LeafCritical],Tasks[[#This Row],[_Row]]+Tasks[[#This Row],[_Descendants]]),TRUE())&gt;0,Tasks[[#This Row],[_LeafCritical]]),"Yes",""))</f>
        <v/>
      </c>
      <c r="Q1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1" s="67" t="str">
        <f aca="false">IF(Tasks[[#This Row],[Task Name]]="","",IF(Tasks[[#This Row],[_Level]]&lt;=OutlineShowLevel,"Yes","No"))</f>
        <v>Yes</v>
      </c>
      <c r="S11" s="7"/>
      <c r="T11" s="21" t="s">
        <v>195</v>
      </c>
      <c r="U11" s="22"/>
      <c r="V11" s="7"/>
      <c r="W11" s="67" t="n">
        <f aca="false">IF(Tasks[[#This Row],[Task Name]]="","",IF(Tasks[[#This Row],[Finish]]&gt;=Tasks[[#This Row],[Planned Finish]],NETWORKDAYS.INTL(Tasks[[#This Row],[Planned Finish]],Tasks[[#This Row],[Finish]],WorkWeek,Holidays)-1,1-NETWORKDAYS.INTL(Tasks[[#This Row],[Finish]],Tasks[[#This Row],[Planned Finish]],WorkWeek,Holidays)))</f>
        <v>2</v>
      </c>
      <c r="X11" s="58" t="n">
        <f aca="false">IF(Tasks[[#This Row],[Task Name]]="","",IF(N(Tasks[[#This Row],[Baseline Start]])&gt;0,Tasks[[#This Row],[Baseline Start]],Tasks[[#This Row],[_CalcStart]]))</f>
        <v>46279</v>
      </c>
      <c r="Y11" s="58" t="n">
        <f aca="false">IF(Tasks[[#This Row],[Task Name]]="","",IF(N(Tasks[[#This Row],[Baseline Finish]])&gt;0,Tasks[[#This Row],[Baseline Finish]],Tasks[[#This Row],[_CalcFinish]]))</f>
        <v>46288</v>
      </c>
      <c r="Z11" s="67" t="n">
        <f aca="false">IF(Tasks[[#This Row],[Task Name]]="","",IF(Tasks[[#This Row],[Start]]&gt;=Tasks[[#This Row],[Planned Start]],NETWORKDAYS.INTL(Tasks[[#This Row],[Planned Start]],Tasks[[#This Row],[Start]],WorkWeek,Holidays)-1,1-NETWORKDAYS.INTL(Tasks[[#This Row],[Start]],Tasks[[#This Row],[Planned Start]],WorkWeek,Holidays)))</f>
        <v>1</v>
      </c>
      <c r="AA11" s="58" t="n">
        <f aca="false">IF(Tasks[[#This Row],[Task Name]]="","",IF(Tasks[[#This Row],[_IsSummary]],MIN(INDEX(Tasks[_LeafLateStart],Tasks[[#This Row],[_Row]]+1):INDEX(Tasks[_LeafLateStart],Tasks[[#This Row],[_Row]]+Tasks[[#This Row],[_Descendants]])),Tasks[[#This Row],[_LeafLateStart]]))</f>
        <v>46286</v>
      </c>
      <c r="AB11" s="58" t="n">
        <f aca="false">IF(Tasks[[#This Row],[Task Name]]="","",IF(Tasks[[#This Row],[_IsSummary]],MAX(INDEX(Tasks[_LeafLateFinish],Tasks[[#This Row],[_Row]]+1):INDEX(Tasks[_LeafLateFinish],Tasks[[#This Row],[_Row]]+Tasks[[#This Row],[_Descendants]])),Tasks[[#This Row],[_LeafLateFinish]]))</f>
        <v>46295</v>
      </c>
      <c r="AC11" s="67" t="n">
        <f aca="false">IF(Tasks[[#This Row],[Task Name]]="","",IF(Tasks[[#This Row],[_IsSummary]],MIN(INDEX(Tasks[_LeafTotalSlack],Tasks[[#This Row],[_Row]]+1):INDEX(Tasks[_LeafTotalSlack],Tasks[[#This Row],[_Row]]+Tasks[[#This Row],[_Descendants]])),Tasks[[#This Row],[_LeafTotalSlack]]))</f>
        <v>3</v>
      </c>
      <c r="AD11"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1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1" s="60"/>
      <c r="AH11"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I1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4</v>
      </c>
      <c r="AJ11" s="69" t="n">
        <f aca="false">IF(Tasks[[#This Row],[Task Name]]="","",IF(Tasks[[#This Row],[_IsSummary]],SUM(INDEX(Tasks[_LeafTotalWork],Tasks[[#This Row],[_Row]]+1):INDEX(Tasks[_LeafTotalWork],Tasks[[#This Row],[_Row]]+Tasks[[#This Row],[_Descendants]])),Tasks[[#This Row],[_LeafTotalWork]]))</f>
        <v>64</v>
      </c>
      <c r="AK1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Morgan Patel</v>
      </c>
      <c r="AL11" s="70" t="n">
        <f aca="false">IF(Tasks[[#This Row],[Task Name]]="","",IF(Tasks[[#This Row],[_IsSummary]],SUM(INDEX(Tasks[_LeafTotalCost],Tasks[[#This Row],[_Row]]+1):INDEX(Tasks[_LeafTotalCost],Tasks[[#This Row],[_Row]]+Tasks[[#This Row],[_Descendants]])),Tasks[[#This Row],[_LeafTotalCost]]))</f>
        <v>4480</v>
      </c>
      <c r="AM11" s="71" t="n">
        <v>5040</v>
      </c>
      <c r="AN11" s="20" t="str">
        <f aca="false">IF(OR(Tasks[[#This Row],[Task Name]]="",Tasks[[#This Row],[Baseline Duration]]=""),"",Tasks[[#This Row],[BL Source Duration]]-N(Tasks[[#This Row],[Baseline Duration]]))</f>
        <v/>
      </c>
      <c r="AO11" s="69" t="str">
        <f aca="false">IF(OR(Tasks[[#This Row],[Task Name]]="",Tasks[[#This Row],[Baseline Work]]=""),"",Tasks[[#This Row],[Work]]-N(Tasks[[#This Row],[Baseline Work]]))</f>
        <v/>
      </c>
      <c r="AP11" s="70" t="str">
        <f aca="false">IF(OR(Tasks[[#This Row],[Task Name]]="",Tasks[[#This Row],[Baseline Cost]]=""),"",Tasks[[#This Row],[Cost]]-N(Tasks[[#This Row],[Baseline Cost]]))</f>
        <v/>
      </c>
      <c r="AQ11" s="58" t="n">
        <f aca="false">IF(Tasks[[#This Row],[Task Name]]="","",Tasks[[#This Row],[Start]])</f>
        <v>46280</v>
      </c>
      <c r="AR11" s="58" t="n">
        <f aca="false">IF(Tasks[[#This Row],[Task Name]]="","",Tasks[[#This Row],[Finish]])</f>
        <v>46290</v>
      </c>
      <c r="AS11" s="67" t="n">
        <f aca="false">IF(Tasks[[#This Row],[Task Name]]="","",IF(Tasks[[#This Row],[_IsSummary]],NETWORKDAYS.INTL(Tasks[[#This Row],[Start]],Tasks[[#This Row],[Finish]],WorkWeek,Holidays),N(Tasks[[#This Row],[Duration]])))</f>
        <v>8</v>
      </c>
      <c r="AT11" s="69" t="n">
        <f aca="false">IF(Tasks[[#This Row],[Task Name]]="","",Tasks[[#This Row],[Work]])</f>
        <v>64</v>
      </c>
      <c r="AU11" s="70" t="n">
        <f aca="false">IF(Tasks[[#This Row],[Task Name]]="","",Tasks[[#This Row],[Cost]])</f>
        <v>4480</v>
      </c>
      <c r="AV11" s="7"/>
      <c r="AW11" s="7"/>
      <c r="AX11" s="21"/>
      <c r="AY11" s="72"/>
      <c r="AZ11" s="71"/>
      <c r="BA11" s="70" t="n">
        <f aca="false">IF(Tasks[[#This Row],[Task Name]]="","",IF(Tasks[[#This Row],[_IsSummary]],SUM(INDEX(Tasks[_LeafEV],Tasks[[#This Row],[_Row]]+1):INDEX(Tasks[_LeafEV],Tasks[[#This Row],[_Row]]+Tasks[[#This Row],[_Descendants]])),Tasks[[#This Row],[_LeafEV]]))</f>
        <v>4480</v>
      </c>
      <c r="BB11" s="70" t="n">
        <f aca="false">IF(Tasks[[#This Row],[Task Name]]="","",IF(Tasks[[#This Row],[_IsSummary]],SUM(INDEX(Tasks[_LeafBudget],Tasks[[#This Row],[_Row]]+1):INDEX(Tasks[_LeafBudget],Tasks[[#This Row],[_Row]]+Tasks[[#This Row],[_Descendants]])),Tasks[[#This Row],[_LeafBudget]]))</f>
        <v>4480</v>
      </c>
      <c r="BC11" s="70" t="n">
        <f aca="false">IF(Tasks[[#This Row],[Task Name]]="","",IF(Tasks[[#This Row],[_IsSummary]],SUM(INDEX(Tasks[_LeafPV],Tasks[[#This Row],[_Row]]+1):INDEX(Tasks[_LeafPV],Tasks[[#This Row],[_Row]]+Tasks[[#This Row],[_Descendants]])),Tasks[[#This Row],[_LeafPV]]))</f>
        <v>4480</v>
      </c>
      <c r="BD11" s="70" t="n">
        <f aca="false">IF(Tasks[[#This Row],[Task Name]]="","",IF(Tasks[[#This Row],[_IsSummary]],SUM(INDEX(Tasks[_LeafAC],Tasks[[#This Row],[_Row]]+1):INDEX(Tasks[_LeafAC],Tasks[[#This Row],[_Row]]+Tasks[[#This Row],[_Descendants]])),Tasks[[#This Row],[_LeafAC]]))</f>
        <v>5040</v>
      </c>
      <c r="BE11" s="45" t="n">
        <f aca="false">IF(Tasks[[#This Row],[Task Name]]="","",MAX(1,N(Tasks[[#This Row],[Level]])))</f>
        <v>2</v>
      </c>
      <c r="BF11" s="45" t="n">
        <f aca="false">ROW()-ROW(Tasks[[#Headers],[ID]])</f>
        <v>6</v>
      </c>
      <c r="BG11" s="45" t="n">
        <f aca="false">IF(OR(Tasks[[#This Row],[Task Name]]="",Tasks[[#This Row],[_Level]]&lt;=1),0,IFERROR(LOOKUP(2,1/(Tasks[[#Headers],[_Level]]:Tasks[[#This Row],[_Level]]=Tasks[[#This Row],[_Level]]-1),ROW(Tasks[[#Headers],[_Level]]:Tasks[[#This Row],[_Level]])),0))</f>
        <v>10</v>
      </c>
      <c r="BH11" s="45" t="n">
        <f aca="false">IFERROR(N(INDEX(Tasks[_Level],Tasks[[#This Row],[_Row]]+1)),0)</f>
        <v>2</v>
      </c>
      <c r="BI11" s="73" t="b">
        <f aca="false">AND(Tasks[[#This Row],[Task Name]]&lt;&gt;"",Tasks[[#This Row],[_NextLevel]]&gt;Tasks[[#This Row],[_Level]])</f>
        <v>0</v>
      </c>
      <c r="BJ11" s="45" t="n">
        <f aca="false">IF(Tasks[[#This Row],[_IsSummary]],COUNTIF(Tasks[WBS],Tasks[[#This Row],[WBS]]&amp;".*"),0)</f>
        <v>0</v>
      </c>
      <c r="BK11" s="45" t="n">
        <f aca="false">IF(AND(Tasks[[#This Row],[Task Name]]&lt;&gt;"",NOT(Tasks[[#This Row],[_IsSummary]])),1,0)</f>
        <v>1</v>
      </c>
      <c r="BL11" s="45" t="n">
        <f aca="false">IF(N(Tasks[[#This Row],[_Pred1UID]])=0,0,IFERROR(MATCH(Tasks[[#This Row],[_Pred1UID]],Tasks[UID],0),-1))</f>
        <v>4</v>
      </c>
      <c r="BM11" s="45" t="n">
        <f aca="false">IF(N(Tasks[[#This Row],[_Pred2UID]])=0,0,IFERROR(MATCH(Tasks[[#This Row],[_Pred2UID]],Tasks[UID],0),-1))</f>
        <v>0</v>
      </c>
      <c r="BN11" s="45" t="n">
        <f aca="false">IF(N(Tasks[[#This Row],[_Pred3UID]])=0,0,IFERROR(MATCH(Tasks[[#This Row],[_Pred3UID]],Tasks[UID],0),-1))</f>
        <v>0</v>
      </c>
      <c r="BO11" s="45" t="n">
        <f aca="false">IF(N(Tasks[[#This Row],[_Pred4UID]])=0,0,IFERROR(MATCH(Tasks[[#This Row],[_Pred4UID]],Tasks[UID],0),-1))</f>
        <v>0</v>
      </c>
      <c r="BP11"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1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1" s="74" t="n">
        <f aca="false">IF(OR(Tasks[[#This Row],[_ConstraintCode]]=2,Tasks[[#This Row],[_ConstraintCode]]=3,Tasks[[#This Row],[_ConstraintCode]]=4,Tasks[[#This Row],[_ConstraintCode]]=6),Tasks[[#This Row],[_ConstraintStart]],0)</f>
        <v>0</v>
      </c>
      <c r="BS11" s="74" t="n">
        <f aca="false">IF(OR(Tasks[[#This Row],[_ConstraintCode]]=2,Tasks[[#This Row],[_ConstraintCode]]=3,Tasks[[#This Row],[_ConstraintCode]]=5,Tasks[[#This Row],[_ConstraintCode]]=7),Tasks[[#This Row],[_ConstraintStart]],2958465)</f>
        <v>2958465</v>
      </c>
      <c r="BT11"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BU11" s="74" t="n">
        <f aca="false">IF(NOT(Tasks[[#This Row],[_IsLeaf]]=1),"",IF(N(Tasks[[#This Row],[Duration]])&lt;=0,Tasks[[#This Row],[_LeafCalcStart]],WORKDAY.INTL(Tasks[[#This Row],[_LeafCalcStart]],Tasks[[#This Row],[Duration]]-1,WorkWeek,Holidays)))</f>
        <v>46288</v>
      </c>
      <c r="BV11"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BW11"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46290</v>
      </c>
      <c r="BX11" s="45" t="str">
        <f aca="false">IF(Tasks[[#This Row],[Predecessors]]="","",TRIM(MID(SUBSTITUTE(SUBSTITUTE(SUBSTITUTE(UPPER(Tasks[[#This Row],[Predecessors]]),";",",")," ",""),",",REPT(" ",99)),1,99)))</f>
        <v>4</v>
      </c>
      <c r="BY11" s="45" t="n">
        <f aca="false">IF(Tasks[[#This Row],[_Pred1Text]]="","",IFERROR(VALUE(LEFT(Tasks[[#This Row],[_Pred1Text]],MIN(FIND("F",Tasks[[#This Row],[_Pred1Text]]&amp;"F"),FIND("S",Tasks[[#This Row],[_Pred1Text]]&amp;"S"),FIND("+",Tasks[[#This Row],[_Pred1Text]]&amp;"+"),FIND("-",Tasks[[#This Row],[_Pred1Text]]&amp;"-"))-1)),""))</f>
        <v>4</v>
      </c>
      <c r="BZ1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11"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11" s="45" t="str">
        <f aca="false">IF(Tasks[[#This Row],[_Pred1Text]]="","",TRIM(MID(SUBSTITUTE(SUBSTITUTE(SUBSTITUTE(UPPER(Tasks[[#This Row],[Predecessors]]),";",",")," ",""),",",REPT(" ",99)),100,99)))</f>
        <v/>
      </c>
      <c r="CC11" s="45" t="str">
        <f aca="false">IF(Tasks[[#This Row],[_Pred2Text]]="","",IFERROR(VALUE(LEFT(Tasks[[#This Row],[_Pred2Text]],MIN(FIND("F",Tasks[[#This Row],[_Pred2Text]]&amp;"F"),FIND("S",Tasks[[#This Row],[_Pred2Text]]&amp;"S"),FIND("+",Tasks[[#This Row],[_Pred2Text]]&amp;"+"),FIND("-",Tasks[[#This Row],[_Pred2Text]]&amp;"-"))-1)),""))</f>
        <v/>
      </c>
      <c r="CD1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1" s="45" t="str">
        <f aca="false">IF(Tasks[[#This Row],[_Pred2Text]]="","",TRIM(MID(SUBSTITUTE(SUBSTITUTE(SUBSTITUTE(UPPER(Tasks[[#This Row],[Predecessors]]),";",",")," ",""),",",REPT(" ",99)),199,99)))</f>
        <v/>
      </c>
      <c r="CG11" s="45" t="str">
        <f aca="false">IF(Tasks[[#This Row],[_Pred3Text]]="","",IFERROR(VALUE(LEFT(Tasks[[#This Row],[_Pred3Text]],MIN(FIND("F",Tasks[[#This Row],[_Pred3Text]]&amp;"F"),FIND("S",Tasks[[#This Row],[_Pred3Text]]&amp;"S"),FIND("+",Tasks[[#This Row],[_Pred3Text]]&amp;"+"),FIND("-",Tasks[[#This Row],[_Pred3Text]]&amp;"-"))-1)),""))</f>
        <v/>
      </c>
      <c r="CH1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1" s="45" t="str">
        <f aca="false">IF(Tasks[[#This Row],[_Pred3Text]]="","",TRIM(MID(SUBSTITUTE(SUBSTITUTE(SUBSTITUTE(UPPER(Tasks[[#This Row],[Predecessors]]),";",",")," ",""),",",REPT(" ",99)),298,99)))</f>
        <v/>
      </c>
      <c r="CK11" s="45" t="str">
        <f aca="false">IF(Tasks[[#This Row],[_Pred4Text]]="","",IFERROR(VALUE(LEFT(Tasks[[#This Row],[_Pred4Text]],MIN(FIND("F",Tasks[[#This Row],[_Pred4Text]]&amp;"F"),FIND("S",Tasks[[#This Row],[_Pred4Text]]&amp;"S"),FIND("+",Tasks[[#This Row],[_Pred4Text]]&amp;"+"),FIND("-",Tasks[[#This Row],[_Pred4Text]]&amp;"-"))-1)),""))</f>
        <v/>
      </c>
      <c r="CL1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1" s="45" t="str">
        <f aca="false">IF(OR(Tasks[[#This Row],[Task Name]]="",Tasks[[#This Row],[Resources]]=""),"",TRIM(MID(SUBSTITUTE(Tasks[[#This Row],[Resources]],",",REPT(" ",99)),1,99)))</f>
        <v>Morgan Patel</v>
      </c>
      <c r="CO11" s="45" t="str">
        <f aca="false">IF(Tasks[[#This Row],[_Res1Text]]="","",TRIM(MID(SUBSTITUTE(Tasks[[#This Row],[Resources]],",",REPT(" ",99)),100,99)))</f>
        <v/>
      </c>
      <c r="CP11" s="45" t="str">
        <f aca="false">IF(Tasks[[#This Row],[_Res2Text]]="","",TRIM(MID(SUBSTITUTE(Tasks[[#This Row],[Resources]],",",REPT(" ",99)),199,99)))</f>
        <v/>
      </c>
      <c r="CQ11" s="45" t="str">
        <f aca="false">IF(Tasks[[#This Row],[_Res3Text]]="","",TRIM(MID(SUBSTITUTE(Tasks[[#This Row],[Resources]],",",REPT(" ",99)),298,99)))</f>
        <v/>
      </c>
      <c r="CR1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Morgan Patel</v>
      </c>
      <c r="CS1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 s="45" t="n">
        <f aca="false">IF(NOT(Tasks[[#This Row],[_IsLeaf]]=1),0,(Tasks[[#This Row],[_Resource1]]&lt;&gt;"")+(Tasks[[#This Row],[_Res2]]&lt;&gt;"")+(Tasks[[#This Row],[_Res3]]&lt;&gt;"")+(Tasks[[#This Row],[_Res4]]&lt;&gt;""))</f>
        <v>1</v>
      </c>
      <c r="CU1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 s="45" t="n">
        <f aca="false">IF(OR(NOT(Tasks[[#This Row],[_IsLeaf]]=1),Tasks[[#This Row],[_Res2]]=""),0,IF(ISNA(MATCH(Tasks[[#This Row],[_Res2]],res_Name,0)),0,N(Tasks[[#This Row],[Duration]])*HoursPerDay*IF(Tasks[[#This Row],[_Res2Units]]="",DefaultUnits,Tasks[[#This Row],[_Res2Units]])))</f>
        <v>0</v>
      </c>
      <c r="CX11" s="45" t="n">
        <f aca="false">IF(Tasks[[#This Row],[_Res2Work]]=0,0,Tasks[[#This Row],[_Res2Work]]*IFERROR(INDEX(res_Rate,MATCH(Tasks[[#This Row],[_Res2]],res_Name,0)),0))</f>
        <v>0</v>
      </c>
      <c r="CY11" s="45" t="n">
        <f aca="false">IF(AND(AND(Tasks[[#This Row],[_IsLeaf]]=1,Tasks[[#This Row],[_LeafTotalWork]]&gt;0),Tasks[[#This Row],[_Res2Work]]&gt;0),Tasks[[#This Row],[_Res2Work]]/(Tasks[[#This Row],[_FinishWorkday]]-Tasks[[#This Row],[_StartWorkday]]+1),0)</f>
        <v>0</v>
      </c>
      <c r="CZ11" s="45" t="n">
        <f aca="false">Tasks[[#This Row],[_Res2WorkPerWD]]*MAX(0,Tasks[[#This Row],[_StartWorkday]]-1)</f>
        <v>0</v>
      </c>
      <c r="DA11" s="45" t="n">
        <f aca="false">Tasks[[#This Row],[_Res2Work]]*Tasks[[#This Row],[_LeafProgress]]</f>
        <v>0</v>
      </c>
      <c r="DB11" s="45" t="n">
        <f aca="false">IF(Tasks[[#This Row],[_LeafTotalCost]]=0,0,Tasks[[#This Row],[_LeafAC]]*Tasks[[#This Row],[_Res2Cost]]/Tasks[[#This Row],[_LeafTotalCost]])</f>
        <v>0</v>
      </c>
      <c r="DC1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1" s="45" t="n">
        <f aca="false">IF(OR(NOT(Tasks[[#This Row],[_IsLeaf]]=1),Tasks[[#This Row],[_Res3]]=""),0,IF(ISNA(MATCH(Tasks[[#This Row],[_Res3]],res_Name,0)),0,N(Tasks[[#This Row],[Duration]])*HoursPerDay*IF(Tasks[[#This Row],[_Res3Units]]="",DefaultUnits,Tasks[[#This Row],[_Res3Units]])))</f>
        <v>0</v>
      </c>
      <c r="DF11" s="45" t="n">
        <f aca="false">IF(Tasks[[#This Row],[_Res3Work]]=0,0,Tasks[[#This Row],[_Res3Work]]*IFERROR(INDEX(res_Rate,MATCH(Tasks[[#This Row],[_Res3]],res_Name,0)),0))</f>
        <v>0</v>
      </c>
      <c r="DG11" s="45" t="n">
        <f aca="false">IF(AND(AND(Tasks[[#This Row],[_IsLeaf]]=1,Tasks[[#This Row],[_LeafTotalWork]]&gt;0),Tasks[[#This Row],[_Res3Work]]&gt;0),Tasks[[#This Row],[_Res3Work]]/(Tasks[[#This Row],[_FinishWorkday]]-Tasks[[#This Row],[_StartWorkday]]+1),0)</f>
        <v>0</v>
      </c>
      <c r="DH11" s="45" t="n">
        <f aca="false">Tasks[[#This Row],[_Res3WorkPerWD]]*MAX(0,Tasks[[#This Row],[_StartWorkday]]-1)</f>
        <v>0</v>
      </c>
      <c r="DI11" s="45" t="n">
        <f aca="false">Tasks[[#This Row],[_Res3Work]]*Tasks[[#This Row],[_LeafProgress]]</f>
        <v>0</v>
      </c>
      <c r="DJ11" s="45" t="n">
        <f aca="false">IF(Tasks[[#This Row],[_LeafTotalCost]]=0,0,Tasks[[#This Row],[_LeafAC]]*Tasks[[#This Row],[_Res3Cost]]/Tasks[[#This Row],[_LeafTotalCost]])</f>
        <v>0</v>
      </c>
      <c r="DK1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1" s="45" t="n">
        <f aca="false">IF(OR(NOT(Tasks[[#This Row],[_IsLeaf]]=1),Tasks[[#This Row],[_Res4]]=""),0,IF(ISNA(MATCH(Tasks[[#This Row],[_Res4]],res_Name,0)),0,N(Tasks[[#This Row],[Duration]])*HoursPerDay*IF(Tasks[[#This Row],[_Res4Units]]="",DefaultUnits,Tasks[[#This Row],[_Res4Units]])))</f>
        <v>0</v>
      </c>
      <c r="DN11" s="45" t="n">
        <f aca="false">IF(Tasks[[#This Row],[_Res4Work]]=0,0,Tasks[[#This Row],[_Res4Work]]*IFERROR(INDEX(res_Rate,MATCH(Tasks[[#This Row],[_Res4]],res_Name,0)),0))</f>
        <v>0</v>
      </c>
      <c r="DO11" s="45" t="n">
        <f aca="false">IF(AND(AND(Tasks[[#This Row],[_IsLeaf]]=1,Tasks[[#This Row],[_LeafTotalWork]]&gt;0),Tasks[[#This Row],[_Res4Work]]&gt;0),Tasks[[#This Row],[_Res4Work]]/(Tasks[[#This Row],[_FinishWorkday]]-Tasks[[#This Row],[_StartWorkday]]+1),0)</f>
        <v>0</v>
      </c>
      <c r="DP11" s="45" t="n">
        <f aca="false">Tasks[[#This Row],[_Res4WorkPerWD]]*MAX(0,Tasks[[#This Row],[_StartWorkday]]-1)</f>
        <v>0</v>
      </c>
      <c r="DQ11" s="45" t="n">
        <f aca="false">Tasks[[#This Row],[_Res4Work]]*Tasks[[#This Row],[_LeafProgress]]</f>
        <v>0</v>
      </c>
      <c r="DR11" s="45" t="n">
        <f aca="false">IF(Tasks[[#This Row],[_LeafTotalCost]]=0,0,Tasks[[#This Row],[_LeafAC]]*Tasks[[#This Row],[_Res4Cost]]/Tasks[[#This Row],[_LeafTotalCost]])</f>
        <v>0</v>
      </c>
      <c r="DS11" s="76" t="n">
        <f aca="false">IF(ISNUMBER(Tasks[[#This Row],[% Complete]]),Tasks[[#This Row],[% Complete]],IF(Tasks[[#This Row],[Stage]]="",0,IFERROR(INDEX(stg_Pct,MATCH(Tasks[[#This Row],[Stage]],stg_Name,0)),0)))</f>
        <v>1</v>
      </c>
      <c r="DT11" s="45" t="n">
        <f aca="false">IF(NOT(Tasks[[#This Row],[_IsLeaf]]=1),0,IF(N(Tasks[[#This Row],[Actual Finish]])&gt;0,1,MIN(1,Tasks[[#This Row],[_Pct]])))</f>
        <v>1</v>
      </c>
      <c r="DU11" s="45" t="n">
        <f aca="false">IF(OR(NOT(Tasks[[#This Row],[_IsLeaf]]=1),Tasks[[#This Row],[_Resource1]]=""),0,IF(ISNA(MATCH(Tasks[[#This Row],[_Resource1]],res_Name,0)),0,N(Tasks[[#This Row],[Duration]])*HoursPerDay*IF(Tasks[[#This Row],[_Units1]]="",DefaultUnits,Tasks[[#This Row],[_Units1]])))</f>
        <v>64</v>
      </c>
      <c r="DV11" s="45" t="n">
        <f aca="false">IF(Tasks[[#This Row],[_LeafWork]]=0,0,Tasks[[#This Row],[_LeafWork]]*IFERROR(INDEX(res_Rate,MATCH(Tasks[[#This Row],[_Resource1]],res_Name,0)),0))</f>
        <v>4480</v>
      </c>
      <c r="DW11" s="45" t="n">
        <f aca="false">Tasks[[#This Row],[_LeafWork]]+Tasks[[#This Row],[_Res2Work]]+Tasks[[#This Row],[_Res3Work]]+Tasks[[#This Row],[_Res4Work]]</f>
        <v>64</v>
      </c>
      <c r="DX11" s="45" t="n">
        <f aca="false">Tasks[[#This Row],[_LeafCost]]+Tasks[[#This Row],[_Res2Cost]]+Tasks[[#This Row],[_Res3Cost]]+Tasks[[#This Row],[_Res4Cost]]</f>
        <v>4480</v>
      </c>
      <c r="DY11" s="45" t="n">
        <f aca="false">IF(Tasks[[#This Row],[_LeafTotalCost]]=0,Tasks[[#This Row],[_LeafAC]],Tasks[[#This Row],[_LeafAC]]*Tasks[[#This Row],[_LeafCost]]/Tasks[[#This Row],[_LeafTotalCost]])</f>
        <v>5040</v>
      </c>
      <c r="DZ11"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2912182</v>
      </c>
      <c r="EA1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1"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1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1" s="45" t="n">
        <f aca="false">IF(NOT(Tasks[[#This Row],[_IsLeaf]]=1),0,MAX(_xlfn.MAXIFS(Tasks[_Row],Tasks[_Pred1UID],Tasks[[#This Row],[UID]]),_xlfn.MAXIFS(Tasks[_Row],Tasks[_Pred2UID],Tasks[[#This Row],[UID]]),_xlfn.MAXIFS(Tasks[_Row],Tasks[_Pred3UID],Tasks[[#This Row],[UID]]),_xlfn.MAXIFS(Tasks[_Row],Tasks[_Pred4UID],Tasks[[#This Row],[UID]])))</f>
        <v>8</v>
      </c>
      <c r="EI11"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46295</v>
      </c>
      <c r="EJ11"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46295</v>
      </c>
      <c r="EK11" s="74" t="n">
        <f aca="false">IF(NOT(Tasks[[#This Row],[_IsLeaf]]=1),"",IF(N(Tasks[[#This Row],[Duration]])&lt;=0,Tasks[[#This Row],[_LeafLateFinish]],WORKDAY.INTL(Tasks[[#This Row],[_LeafLateFinish]],-(Tasks[[#This Row],[Duration]]-1),WorkWeek,Holidays)))</f>
        <v>46286</v>
      </c>
      <c r="EL11"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M11" s="73" t="b">
        <f aca="false">AND(Tasks[[#This Row],[_IsLeaf]]=1,Tasks[[#This Row],[_LeafProgress]]&lt;1,N(Tasks[[#This Row],[_LeafTotalSlack]])&lt;=CriticalSlackDays)</f>
        <v>0</v>
      </c>
      <c r="EN11" s="45" t="n">
        <f aca="false">IF(AND(Tasks[[#This Row],[_IsLeaf]]=1,Tasks[[#This Row],[_ConstraintCode]]=1,Tasks[[#This Row],[Mode]]&lt;&gt;"Manual",N(Tasks[[#This Row],[Actual Start]])=0),MAX(0,N(Tasks[[#This Row],[Free Slack]])),0)</f>
        <v>0</v>
      </c>
      <c r="EO11" s="74" t="n">
        <f aca="false">IF(NOT(Tasks[[#This Row],[_IsLeaf]]=1),"",IF(Tasks[[#This Row],[_AlapShift]]=0,Tasks[[#This Row],[_LeafCalcStart]],WORKDAY.INTL(Tasks[[#This Row],[_LeafCalcStart]],Tasks[[#This Row],[_AlapShift]],WorkWeek,Holidays)))</f>
        <v>46279</v>
      </c>
      <c r="EP11" s="74" t="n">
        <f aca="false">IF(NOT(Tasks[[#This Row],[_IsLeaf]]=1),"",IF(Tasks[[#This Row],[_AlapShift]]=0,Tasks[[#This Row],[_LeafCalcFinish]],WORKDAY.INTL(Tasks[[#This Row],[_LeafCalcFinish]],Tasks[[#This Row],[_AlapShift]],WorkWeek,Holidays)))</f>
        <v>46288</v>
      </c>
      <c r="EQ11" s="74" t="n">
        <f aca="false">IF(NOT(Tasks[[#This Row],[_IsLeaf]]=1),"",IF(Tasks[[#This Row],[_AlapShift]]=0,Tasks[[#This Row],[_LeafFcstStart]],WORKDAY.INTL(Tasks[[#This Row],[_LeafFcstStart]],Tasks[[#This Row],[_AlapShift]],WorkWeek,Holidays)))</f>
        <v>46280</v>
      </c>
      <c r="ER11" s="74" t="n">
        <f aca="false">IF(NOT(Tasks[[#This Row],[_IsLeaf]]=1),"",IF(Tasks[[#This Row],[_AlapShift]]=0,Tasks[[#This Row],[_LeafFcstFinish]],WORKDAY.INTL(Tasks[[#This Row],[_LeafFcstFinish]],Tasks[[#This Row],[_AlapShift]],WorkWeek,Holidays)))</f>
        <v>46290</v>
      </c>
      <c r="ES11" s="74" t="n">
        <f aca="false">IF(Tasks[[#This Row],[Task Name]]="","",IF(Tasks[[#This Row],[_IsSummary]],MIN(INDEX(Tasks[_ShownCalcStart],Tasks[[#This Row],[_Row]]+1):INDEX(Tasks[_ShownCalcStart],Tasks[[#This Row],[_Row]]+Tasks[[#This Row],[_Descendants]])),Tasks[[#This Row],[_ShownCalcStart]]))</f>
        <v>46279</v>
      </c>
      <c r="ET11" s="74" t="n">
        <f aca="false">IF(Tasks[[#This Row],[Task Name]]="","",IF(Tasks[[#This Row],[_IsSummary]],MAX(INDEX(Tasks[_ShownCalcFinish],Tasks[[#This Row],[_Row]]+1):INDEX(Tasks[_ShownCalcFinish],Tasks[[#This Row],[_Row]]+Tasks[[#This Row],[_Descendants]])),Tasks[[#This Row],[_ShownCalcFinish]]))</f>
        <v>46288</v>
      </c>
      <c r="EU1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46279</v>
      </c>
      <c r="EZ1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46280</v>
      </c>
      <c r="FD1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1" s="45" t="n">
        <f aca="false">IF(AND(Tasks[[#This Row],[_IsLeaf]]=1,Tasks[[#This Row],[_LeafTotalWork]]&gt;0),NETWORKDAYS.INTL(ProjectStart,Tasks[[#This Row],[_ShownFcstStart]],WorkWeek,Holidays),0)</f>
        <v>7</v>
      </c>
      <c r="FH11" s="45" t="n">
        <f aca="false">IF(AND(Tasks[[#This Row],[_IsLeaf]]=1,Tasks[[#This Row],[_LeafTotalWork]]&gt;0),MAX(Tasks[[#This Row],[_StartWorkday]],NETWORKDAYS.INTL(ProjectStart,Tasks[[#This Row],[_ShownFcstFinish]],WorkWeek,Holidays)),0)</f>
        <v>15</v>
      </c>
      <c r="FI11" s="45" t="n">
        <f aca="false">IF(AND(Tasks[[#This Row],[_IsLeaf]]=1,Tasks[[#This Row],[_LeafTotalWork]]&gt;0),Tasks[[#This Row],[_LeafWork]]/(Tasks[[#This Row],[_FinishWorkday]]-Tasks[[#This Row],[_StartWorkday]]+1),0)</f>
        <v>7.11111111111111</v>
      </c>
      <c r="FJ11" s="45" t="n">
        <f aca="false">Tasks[[#This Row],[_WorkPerWorkday]]*(Tasks[[#This Row],[_StartWorkday]]-1)</f>
        <v>42.6666666666667</v>
      </c>
      <c r="FK11" s="45" t="n">
        <f aca="false">IF(Tasks[[#This Row],[_IsLeaf]]=1,MAX(N(Tasks[[#This Row],[Duration]]),0.1),0)</f>
        <v>8</v>
      </c>
      <c r="FL11" s="45" t="n">
        <f aca="false">Tasks[[#This Row],[_WeightDur]]*Tasks[[#This Row],[_LeafProgress]]</f>
        <v>8</v>
      </c>
      <c r="FM1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4</v>
      </c>
      <c r="FN11" s="45" t="str">
        <f aca="false">IF(AND(Tasks[[#This Row],[_IsLeaf]]=1,N(Tasks[[#This Row],[Duration]])=0,Tasks[[#This Row],[_LeafProgress]]&lt;1),Tasks[[#This Row],[_ShownFcstFinish]]+Tasks[[#This Row],[_Row]]/100000,"")</f>
        <v/>
      </c>
      <c r="FO1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P11" s="45" t="n">
        <f aca="false">IF(NOT(Tasks[[#This Row],[_IsLeaf]]=1),0,IF(Tasks[[#This Row],[Baseline Cost]]="",Tasks[[#This Row],[_LeafTotalCost]],N(Tasks[[#This Row],[Baseline Cost]])))</f>
        <v>4480</v>
      </c>
      <c r="FQ11" s="45" t="n">
        <f aca="false">Tasks[[#This Row],[_LeafBudget]]*Tasks[[#This Row],[_PlannedPct]]</f>
        <v>4480</v>
      </c>
      <c r="FR11" s="45" t="n">
        <f aca="false">Tasks[[#This Row],[_LeafBudget]]*Tasks[[#This Row],[_LeafProgress]]</f>
        <v>4480</v>
      </c>
      <c r="FS11" s="45" t="n">
        <f aca="false">IF(NOT(Tasks[[#This Row],[_IsLeaf]]=1),0,IF(Tasks[[#This Row],[Actual Cost]]="",Tasks[[#This Row],[_LeafTotalCost]]*Tasks[[#This Row],[_LeafProgress]],N(Tasks[[#This Row],[Actual Cost]])))</f>
        <v>5040</v>
      </c>
      <c r="FT11" s="45" t="str">
        <f aca="false">IF(Tasks[[#This Row],[Task Name]]="","",LEFT(Tasks[[#This Row],[WBS]],FIND(".",Tasks[[#This Row],[WBS]]&amp;".")-1))</f>
        <v>2</v>
      </c>
      <c r="FU11" s="45" t="str">
        <f aca="false">IF(AND(Tasks[[#This Row],[Task Name]]&lt;&gt;"",Tasks[[#This Row],[_Level]]=1),Tasks[[#This Row],[_Row]],"")</f>
        <v/>
      </c>
      <c r="FV11" s="45" t="str">
        <f aca="false">IF(AND(Tasks[[#This Row],[_IsLeaf]]=1,N(Tasks[[#This Row],[Duration]])=0),Tasks[[#This Row],[Planned Finish]]+Tasks[[#This Row],[_Row]]/100000,"")</f>
        <v/>
      </c>
      <c r="FW11" s="45" t="str">
        <f aca="false">IF(AND(Tasks[[#This Row],[_IsLeaf]]=1,Tasks[[#This Row],[_LeafProgress]]&lt;1,OR(N(Tasks[[#This Row],[Finish Var]])&gt;0,Tasks[[#This Row],[Status]]="Late Start")),MAX(0,Tasks[[#This Row],[Finish Var]])+1-Tasks[[#This Row],[_Row]]/1000000,"")</f>
        <v/>
      </c>
      <c r="FX11" s="45" t="str">
        <f aca="false">IF(AND(Tasks[[#This Row],[_IsLeaf]]=1,N(Tasks[[#This Row],[Actual Start]])=0,Tasks[[#This Row],[_ShownFcstStart]]&gt;=StatusDate,Tasks[[#This Row],[_ShownFcstStart]]&lt;=LookaheadEnd),Tasks[[#This Row],[_ShownFcstStart]]+Tasks[[#This Row],[_Row]]/100000,"")</f>
        <v/>
      </c>
      <c r="FY11" s="45" t="str">
        <f aca="false">IF(AND(Tasks[[#This Row],[_IsLeaf]]=1,Tasks[[#This Row],[_LeafProgress]]&lt;1,Tasks[[#This Row],[_ShownFcstFinish]]&gt;=StatusDate,Tasks[[#This Row],[_ShownFcstFinish]]&lt;=LookaheadEnd),Tasks[[#This Row],[_ShownFcstFinish]]+Tasks[[#This Row],[_Row]]/100000,"")</f>
        <v/>
      </c>
      <c r="FZ11" s="45" t="str">
        <f aca="false">IF(Tasks[[#This Row],[_LeafCritical]],Tasks[[#This Row],[_ShownFcstStart]]+Tasks[[#This Row],[_Row]]/100000,"")</f>
        <v/>
      </c>
      <c r="GA11" s="45" t="n">
        <f aca="false">Tasks[[#This Row],[_LeafWork]]*Tasks[[#This Row],[_LeafProgress]]</f>
        <v>64</v>
      </c>
      <c r="GB11" s="74" t="n">
        <f aca="false">IF(AND(Tasks[[#This Row],[_IsLeaf]]=1,Tasks[[#This Row],[_LeafProgress]]&gt;=1),IF(N(Tasks[[#This Row],[Actual Finish]])&gt;0,Tasks[[#This Row],[Actual Finish]],Tasks[[#This Row],[_ShownFcstFinish]]),"")</f>
        <v>46290</v>
      </c>
    </row>
    <row r="12" customFormat="false" ht="15" hidden="false" customHeight="false" outlineLevel="1" collapsed="false">
      <c r="A12" s="67" t="n">
        <f aca="false">IF(Tasks[[#This Row],[Task Name]]="","",COUNTA(Tasks[[#Headers],[Task Name]]:Tasks[[#This Row],[Task Name]])-1)</f>
        <v>7</v>
      </c>
      <c r="B12" s="21" t="n">
        <v>7</v>
      </c>
      <c r="C1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D12" s="21" t="n">
        <v>2</v>
      </c>
      <c r="E12" s="75" t="s">
        <v>512</v>
      </c>
      <c r="F12" s="21" t="n">
        <v>5</v>
      </c>
      <c r="G12" s="22" t="s">
        <v>513</v>
      </c>
      <c r="H12" s="22" t="s">
        <v>514</v>
      </c>
      <c r="I12" s="22" t="s">
        <v>125</v>
      </c>
      <c r="J12" s="7" t="n">
        <v>46283</v>
      </c>
      <c r="K12" s="7" t="n">
        <v>46290</v>
      </c>
      <c r="L12" s="22" t="s">
        <v>515</v>
      </c>
      <c r="M12" s="58" t="n">
        <f aca="false">IF(Tasks[[#This Row],[Task Name]]="","",IF(Tasks[[#This Row],[_IsSummary]],MIN(INDEX(Tasks[_ShownFcstStart],Tasks[[#This Row],[_Row]]+1):INDEX(Tasks[_ShownFcstStart],Tasks[[#This Row],[_Row]]+Tasks[[#This Row],[_Descendants]])),Tasks[[#This Row],[_ShownFcstStart]]))</f>
        <v>46283</v>
      </c>
      <c r="N12" s="58" t="n">
        <f aca="false">IF(Tasks[[#This Row],[Task Name]]="","",IF(Tasks[[#This Row],[_IsSummary]],MAX(INDEX(Tasks[_ShownFcstFinish],Tasks[[#This Row],[_Row]]+1):INDEX(Tasks[_ShownFcstFinish],Tasks[[#This Row],[_Row]]+Tasks[[#This Row],[_Descendants]])),Tasks[[#This Row],[_ShownFcstFinish]]))</f>
        <v>46290</v>
      </c>
      <c r="O12" s="20" t="str">
        <f aca="false">IF(Tasks[[#This Row],[Task Name]]="","",IF(Tasks[[#This Row],[Progress]]&gt;=1,"Complete",IF(OR(N(Tasks[[#This Row],[Actual Start]])&gt;0,Tasks[[#This Row],[Progress]]&gt;0),IF(Tasks[[#This Row],[Finish Var]]&gt;0,"Behind","In Progress"),IF(Tasks[[#This Row],[Planned Start]]&lt;StatusDate,"Late Start","Not Started"))))</f>
        <v>Complete</v>
      </c>
      <c r="P12" s="20" t="str">
        <f aca="false">IF(Tasks[[#This Row],[Task Name]]="","",IF(IF(Tasks[[#This Row],[_IsSummary]],COUNTIF(INDEX(Tasks[_LeafCritical],Tasks[[#This Row],[_Row]]+1):INDEX(Tasks[_LeafCritical],Tasks[[#This Row],[_Row]]+Tasks[[#This Row],[_Descendants]]),TRUE())&gt;0,Tasks[[#This Row],[_LeafCritical]]),"Yes",""))</f>
        <v/>
      </c>
      <c r="Q1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2" s="67" t="str">
        <f aca="false">IF(Tasks[[#This Row],[Task Name]]="","",IF(Tasks[[#This Row],[_Level]]&lt;=OutlineShowLevel,"Yes","No"))</f>
        <v>Yes</v>
      </c>
      <c r="S12" s="7"/>
      <c r="T12" s="21" t="s">
        <v>195</v>
      </c>
      <c r="U12" s="22"/>
      <c r="V12" s="7"/>
      <c r="W12" s="67" t="n">
        <f aca="false">IF(Tasks[[#This Row],[Task Name]]="","",IF(Tasks[[#This Row],[Finish]]&gt;=Tasks[[#This Row],[Planned Finish]],NETWORKDAYS.INTL(Tasks[[#This Row],[Planned Finish]],Tasks[[#This Row],[Finish]],WorkWeek,Holidays)-1,1-NETWORKDAYS.INTL(Tasks[[#This Row],[Finish]],Tasks[[#This Row],[Planned Finish]],WorkWeek,Holidays)))</f>
        <v>2</v>
      </c>
      <c r="X12" s="58" t="n">
        <f aca="false">IF(Tasks[[#This Row],[Task Name]]="","",IF(N(Tasks[[#This Row],[Baseline Start]])&gt;0,Tasks[[#This Row],[Baseline Start]],Tasks[[#This Row],[_CalcStart]]))</f>
        <v>46282</v>
      </c>
      <c r="Y12" s="58" t="n">
        <f aca="false">IF(Tasks[[#This Row],[Task Name]]="","",IF(N(Tasks[[#This Row],[Baseline Finish]])&gt;0,Tasks[[#This Row],[Baseline Finish]],Tasks[[#This Row],[_CalcFinish]]))</f>
        <v>46288</v>
      </c>
      <c r="Z12" s="67" t="n">
        <f aca="false">IF(Tasks[[#This Row],[Task Name]]="","",IF(Tasks[[#This Row],[Start]]&gt;=Tasks[[#This Row],[Planned Start]],NETWORKDAYS.INTL(Tasks[[#This Row],[Planned Start]],Tasks[[#This Row],[Start]],WorkWeek,Holidays)-1,1-NETWORKDAYS.INTL(Tasks[[#This Row],[Start]],Tasks[[#This Row],[Planned Start]],WorkWeek,Holidays)))</f>
        <v>1</v>
      </c>
      <c r="AA12" s="58" t="n">
        <f aca="false">IF(Tasks[[#This Row],[Task Name]]="","",IF(Tasks[[#This Row],[_IsSummary]],MIN(INDEX(Tasks[_LeafLateStart],Tasks[[#This Row],[_Row]]+1):INDEX(Tasks[_LeafLateStart],Tasks[[#This Row],[_Row]]+Tasks[[#This Row],[_Descendants]])),Tasks[[#This Row],[_LeafLateStart]]))</f>
        <v>46297</v>
      </c>
      <c r="AB12" s="58" t="n">
        <f aca="false">IF(Tasks[[#This Row],[Task Name]]="","",IF(Tasks[[#This Row],[_IsSummary]],MAX(INDEX(Tasks[_LeafLateFinish],Tasks[[#This Row],[_Row]]+1):INDEX(Tasks[_LeafLateFinish],Tasks[[#This Row],[_Row]]+Tasks[[#This Row],[_Descendants]])),Tasks[[#This Row],[_LeafLateFinish]]))</f>
        <v>46303</v>
      </c>
      <c r="AC12" s="67" t="n">
        <f aca="false">IF(Tasks[[#This Row],[Task Name]]="","",IF(Tasks[[#This Row],[_IsSummary]],MIN(INDEX(Tasks[_LeafTotalSlack],Tasks[[#This Row],[_Row]]+1):INDEX(Tasks[_LeafTotalSlack],Tasks[[#This Row],[_Row]]+Tasks[[#This Row],[_Descendants]])),Tasks[[#This Row],[_LeafTotalSlack]]))</f>
        <v>9</v>
      </c>
      <c r="AD12"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7</v>
      </c>
      <c r="AE1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2" s="60"/>
      <c r="AH12"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I1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6SS+3d</v>
      </c>
      <c r="AJ12" s="69" t="n">
        <f aca="false">IF(Tasks[[#This Row],[Task Name]]="","",IF(Tasks[[#This Row],[_IsSummary]],SUM(INDEX(Tasks[_LeafTotalWork],Tasks[[#This Row],[_Row]]+1):INDEX(Tasks[_LeafTotalWork],Tasks[[#This Row],[_Row]]+Tasks[[#This Row],[_Descendants]])),Tasks[[#This Row],[_LeafTotalWork]]))</f>
        <v>60</v>
      </c>
      <c r="AK1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Alex Chen, Jordan Lee[50%]</v>
      </c>
      <c r="AL12" s="70" t="n">
        <f aca="false">IF(Tasks[[#This Row],[Task Name]]="","",IF(Tasks[[#This Row],[_IsSummary]],SUM(INDEX(Tasks[_LeafTotalCost],Tasks[[#This Row],[_Row]]+1):INDEX(Tasks[_LeafTotalCost],Tasks[[#This Row],[_Row]]+Tasks[[#This Row],[_Descendants]])),Tasks[[#This Row],[_LeafTotalCost]]))</f>
        <v>6100</v>
      </c>
      <c r="AM12" s="71"/>
      <c r="AN12" s="20" t="str">
        <f aca="false">IF(OR(Tasks[[#This Row],[Task Name]]="",Tasks[[#This Row],[Baseline Duration]]=""),"",Tasks[[#This Row],[BL Source Duration]]-N(Tasks[[#This Row],[Baseline Duration]]))</f>
        <v/>
      </c>
      <c r="AO12" s="69" t="str">
        <f aca="false">IF(OR(Tasks[[#This Row],[Task Name]]="",Tasks[[#This Row],[Baseline Work]]=""),"",Tasks[[#This Row],[Work]]-N(Tasks[[#This Row],[Baseline Work]]))</f>
        <v/>
      </c>
      <c r="AP12" s="70" t="str">
        <f aca="false">IF(OR(Tasks[[#This Row],[Task Name]]="",Tasks[[#This Row],[Baseline Cost]]=""),"",Tasks[[#This Row],[Cost]]-N(Tasks[[#This Row],[Baseline Cost]]))</f>
        <v/>
      </c>
      <c r="AQ12" s="58" t="n">
        <f aca="false">IF(Tasks[[#This Row],[Task Name]]="","",Tasks[[#This Row],[Start]])</f>
        <v>46283</v>
      </c>
      <c r="AR12" s="58" t="n">
        <f aca="false">IF(Tasks[[#This Row],[Task Name]]="","",Tasks[[#This Row],[Finish]])</f>
        <v>46290</v>
      </c>
      <c r="AS12" s="67" t="n">
        <f aca="false">IF(Tasks[[#This Row],[Task Name]]="","",IF(Tasks[[#This Row],[_IsSummary]],NETWORKDAYS.INTL(Tasks[[#This Row],[Start]],Tasks[[#This Row],[Finish]],WorkWeek,Holidays),N(Tasks[[#This Row],[Duration]])))</f>
        <v>5</v>
      </c>
      <c r="AT12" s="69" t="n">
        <f aca="false">IF(Tasks[[#This Row],[Task Name]]="","",Tasks[[#This Row],[Work]])</f>
        <v>60</v>
      </c>
      <c r="AU12" s="70" t="n">
        <f aca="false">IF(Tasks[[#This Row],[Task Name]]="","",Tasks[[#This Row],[Cost]])</f>
        <v>6100</v>
      </c>
      <c r="AV12" s="7"/>
      <c r="AW12" s="7"/>
      <c r="AX12" s="21"/>
      <c r="AY12" s="72"/>
      <c r="AZ12" s="71"/>
      <c r="BA12" s="70" t="n">
        <f aca="false">IF(Tasks[[#This Row],[Task Name]]="","",IF(Tasks[[#This Row],[_IsSummary]],SUM(INDEX(Tasks[_LeafEV],Tasks[[#This Row],[_Row]]+1):INDEX(Tasks[_LeafEV],Tasks[[#This Row],[_Row]]+Tasks[[#This Row],[_Descendants]])),Tasks[[#This Row],[_LeafEV]]))</f>
        <v>6100</v>
      </c>
      <c r="BB12" s="70" t="n">
        <f aca="false">IF(Tasks[[#This Row],[Task Name]]="","",IF(Tasks[[#This Row],[_IsSummary]],SUM(INDEX(Tasks[_LeafBudget],Tasks[[#This Row],[_Row]]+1):INDEX(Tasks[_LeafBudget],Tasks[[#This Row],[_Row]]+Tasks[[#This Row],[_Descendants]])),Tasks[[#This Row],[_LeafBudget]]))</f>
        <v>6100</v>
      </c>
      <c r="BC12" s="70" t="n">
        <f aca="false">IF(Tasks[[#This Row],[Task Name]]="","",IF(Tasks[[#This Row],[_IsSummary]],SUM(INDEX(Tasks[_LeafPV],Tasks[[#This Row],[_Row]]+1):INDEX(Tasks[_LeafPV],Tasks[[#This Row],[_Row]]+Tasks[[#This Row],[_Descendants]])),Tasks[[#This Row],[_LeafPV]]))</f>
        <v>6100</v>
      </c>
      <c r="BD12" s="70" t="n">
        <f aca="false">IF(Tasks[[#This Row],[Task Name]]="","",IF(Tasks[[#This Row],[_IsSummary]],SUM(INDEX(Tasks[_LeafAC],Tasks[[#This Row],[_Row]]+1):INDEX(Tasks[_LeafAC],Tasks[[#This Row],[_Row]]+Tasks[[#This Row],[_Descendants]])),Tasks[[#This Row],[_LeafAC]]))</f>
        <v>6100</v>
      </c>
      <c r="BE12" s="45" t="n">
        <f aca="false">IF(Tasks[[#This Row],[Task Name]]="","",MAX(1,N(Tasks[[#This Row],[Level]])))</f>
        <v>2</v>
      </c>
      <c r="BF12" s="45" t="n">
        <f aca="false">ROW()-ROW(Tasks[[#Headers],[ID]])</f>
        <v>7</v>
      </c>
      <c r="BG12" s="45" t="n">
        <f aca="false">IF(OR(Tasks[[#This Row],[Task Name]]="",Tasks[[#This Row],[_Level]]&lt;=1),0,IFERROR(LOOKUP(2,1/(Tasks[[#Headers],[_Level]]:Tasks[[#This Row],[_Level]]=Tasks[[#This Row],[_Level]]-1),ROW(Tasks[[#Headers],[_Level]]:Tasks[[#This Row],[_Level]])),0))</f>
        <v>10</v>
      </c>
      <c r="BH12" s="45" t="n">
        <f aca="false">IFERROR(N(INDEX(Tasks[_Level],Tasks[[#This Row],[_Row]]+1)),0)</f>
        <v>2</v>
      </c>
      <c r="BI12" s="73" t="b">
        <f aca="false">AND(Tasks[[#This Row],[Task Name]]&lt;&gt;"",Tasks[[#This Row],[_NextLevel]]&gt;Tasks[[#This Row],[_Level]])</f>
        <v>0</v>
      </c>
      <c r="BJ12" s="45" t="n">
        <f aca="false">IF(Tasks[[#This Row],[_IsSummary]],COUNTIF(Tasks[WBS],Tasks[[#This Row],[WBS]]&amp;".*"),0)</f>
        <v>0</v>
      </c>
      <c r="BK12" s="45" t="n">
        <f aca="false">IF(AND(Tasks[[#This Row],[Task Name]]&lt;&gt;"",NOT(Tasks[[#This Row],[_IsSummary]])),1,0)</f>
        <v>1</v>
      </c>
      <c r="BL12" s="45" t="n">
        <f aca="false">IF(N(Tasks[[#This Row],[_Pred1UID]])=0,0,IFERROR(MATCH(Tasks[[#This Row],[_Pred1UID]],Tasks[UID],0),-1))</f>
        <v>6</v>
      </c>
      <c r="BM12" s="45" t="n">
        <f aca="false">IF(N(Tasks[[#This Row],[_Pred2UID]])=0,0,IFERROR(MATCH(Tasks[[#This Row],[_Pred2UID]],Tasks[UID],0),-1))</f>
        <v>0</v>
      </c>
      <c r="BN12" s="45" t="n">
        <f aca="false">IF(N(Tasks[[#This Row],[_Pred3UID]])=0,0,IFERROR(MATCH(Tasks[[#This Row],[_Pred3UID]],Tasks[UID],0),-1))</f>
        <v>0</v>
      </c>
      <c r="BO12" s="45" t="n">
        <f aca="false">IF(N(Tasks[[#This Row],[_Pred4UID]])=0,0,IFERROR(MATCH(Tasks[[#This Row],[_Pred4UID]],Tasks[UID],0),-1))</f>
        <v>0</v>
      </c>
      <c r="BP12"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1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2" s="74" t="n">
        <f aca="false">IF(OR(Tasks[[#This Row],[_ConstraintCode]]=2,Tasks[[#This Row],[_ConstraintCode]]=3,Tasks[[#This Row],[_ConstraintCode]]=4,Tasks[[#This Row],[_ConstraintCode]]=6),Tasks[[#This Row],[_ConstraintStart]],0)</f>
        <v>0</v>
      </c>
      <c r="BS12" s="74" t="n">
        <f aca="false">IF(OR(Tasks[[#This Row],[_ConstraintCode]]=2,Tasks[[#This Row],[_ConstraintCode]]=3,Tasks[[#This Row],[_ConstraintCode]]=5,Tasks[[#This Row],[_ConstraintCode]]=7),Tasks[[#This Row],[_ConstraintStart]],2958465)</f>
        <v>2958465</v>
      </c>
      <c r="BT12"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46282</v>
      </c>
      <c r="BU12" s="74" t="n">
        <f aca="false">IF(NOT(Tasks[[#This Row],[_IsLeaf]]=1),"",IF(N(Tasks[[#This Row],[Duration]])&lt;=0,Tasks[[#This Row],[_LeafCalcStart]],WORKDAY.INTL(Tasks[[#This Row],[_LeafCalcStart]],Tasks[[#This Row],[Duration]]-1,WorkWeek,Holidays)))</f>
        <v>46288</v>
      </c>
      <c r="BV12"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46283</v>
      </c>
      <c r="BW12"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46290</v>
      </c>
      <c r="BX12" s="45" t="str">
        <f aca="false">IF(Tasks[[#This Row],[Predecessors]]="","",TRIM(MID(SUBSTITUTE(SUBSTITUTE(SUBSTITUTE(UPPER(Tasks[[#This Row],[Predecessors]]),";",",")," ",""),",",REPT(" ",99)),1,99)))</f>
        <v>6SS+3D</v>
      </c>
      <c r="BY12" s="45" t="n">
        <f aca="false">IF(Tasks[[#This Row],[_Pred1Text]]="","",IFERROR(VALUE(LEFT(Tasks[[#This Row],[_Pred1Text]],MIN(FIND("F",Tasks[[#This Row],[_Pred1Text]]&amp;"F"),FIND("S",Tasks[[#This Row],[_Pred1Text]]&amp;"S"),FIND("+",Tasks[[#This Row],[_Pred1Text]]&amp;"+"),FIND("-",Tasks[[#This Row],[_Pred1Text]]&amp;"-"))-1)),""))</f>
        <v>6</v>
      </c>
      <c r="BZ1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SS</v>
      </c>
      <c r="CA12"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3</v>
      </c>
      <c r="CB12" s="45" t="str">
        <f aca="false">IF(Tasks[[#This Row],[_Pred1Text]]="","",TRIM(MID(SUBSTITUTE(SUBSTITUTE(SUBSTITUTE(UPPER(Tasks[[#This Row],[Predecessors]]),";",",")," ",""),",",REPT(" ",99)),100,99)))</f>
        <v/>
      </c>
      <c r="CC12" s="45" t="str">
        <f aca="false">IF(Tasks[[#This Row],[_Pred2Text]]="","",IFERROR(VALUE(LEFT(Tasks[[#This Row],[_Pred2Text]],MIN(FIND("F",Tasks[[#This Row],[_Pred2Text]]&amp;"F"),FIND("S",Tasks[[#This Row],[_Pred2Text]]&amp;"S"),FIND("+",Tasks[[#This Row],[_Pred2Text]]&amp;"+"),FIND("-",Tasks[[#This Row],[_Pred2Text]]&amp;"-"))-1)),""))</f>
        <v/>
      </c>
      <c r="CD1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2" s="45" t="str">
        <f aca="false">IF(Tasks[[#This Row],[_Pred2Text]]="","",TRIM(MID(SUBSTITUTE(SUBSTITUTE(SUBSTITUTE(UPPER(Tasks[[#This Row],[Predecessors]]),";",",")," ",""),",",REPT(" ",99)),199,99)))</f>
        <v/>
      </c>
      <c r="CG12" s="45" t="str">
        <f aca="false">IF(Tasks[[#This Row],[_Pred3Text]]="","",IFERROR(VALUE(LEFT(Tasks[[#This Row],[_Pred3Text]],MIN(FIND("F",Tasks[[#This Row],[_Pred3Text]]&amp;"F"),FIND("S",Tasks[[#This Row],[_Pred3Text]]&amp;"S"),FIND("+",Tasks[[#This Row],[_Pred3Text]]&amp;"+"),FIND("-",Tasks[[#This Row],[_Pred3Text]]&amp;"-"))-1)),""))</f>
        <v/>
      </c>
      <c r="CH1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2" s="45" t="str">
        <f aca="false">IF(Tasks[[#This Row],[_Pred3Text]]="","",TRIM(MID(SUBSTITUTE(SUBSTITUTE(SUBSTITUTE(UPPER(Tasks[[#This Row],[Predecessors]]),";",",")," ",""),",",REPT(" ",99)),298,99)))</f>
        <v/>
      </c>
      <c r="CK12" s="45" t="str">
        <f aca="false">IF(Tasks[[#This Row],[_Pred4Text]]="","",IFERROR(VALUE(LEFT(Tasks[[#This Row],[_Pred4Text]],MIN(FIND("F",Tasks[[#This Row],[_Pred4Text]]&amp;"F"),FIND("S",Tasks[[#This Row],[_Pred4Text]]&amp;"S"),FIND("+",Tasks[[#This Row],[_Pred4Text]]&amp;"+"),FIND("-",Tasks[[#This Row],[_Pred4Text]]&amp;"-"))-1)),""))</f>
        <v/>
      </c>
      <c r="CL1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2" s="45" t="str">
        <f aca="false">IF(OR(Tasks[[#This Row],[Task Name]]="",Tasks[[#This Row],[Resources]]=""),"",TRIM(MID(SUBSTITUTE(Tasks[[#This Row],[Resources]],",",REPT(" ",99)),1,99)))</f>
        <v>Alex Chen</v>
      </c>
      <c r="CO12" s="45" t="str">
        <f aca="false">IF(Tasks[[#This Row],[_Res1Text]]="","",TRIM(MID(SUBSTITUTE(Tasks[[#This Row],[Resources]],",",REPT(" ",99)),100,99)))</f>
        <v>Jordan Lee[50%]</v>
      </c>
      <c r="CP12" s="45" t="str">
        <f aca="false">IF(Tasks[[#This Row],[_Res2Text]]="","",TRIM(MID(SUBSTITUTE(Tasks[[#This Row],[Resources]],",",REPT(" ",99)),199,99)))</f>
        <v/>
      </c>
      <c r="CQ12" s="45" t="str">
        <f aca="false">IF(Tasks[[#This Row],[_Res3Text]]="","",TRIM(MID(SUBSTITUTE(Tasks[[#This Row],[Resources]],",",REPT(" ",99)),298,99)))</f>
        <v/>
      </c>
      <c r="CR1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Alex Chen</v>
      </c>
      <c r="CS1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 s="45" t="n">
        <f aca="false">IF(NOT(Tasks[[#This Row],[_IsLeaf]]=1),0,(Tasks[[#This Row],[_Resource1]]&lt;&gt;"")+(Tasks[[#This Row],[_Res2]]&lt;&gt;"")+(Tasks[[#This Row],[_Res3]]&lt;&gt;"")+(Tasks[[#This Row],[_Res4]]&lt;&gt;""))</f>
        <v>2</v>
      </c>
      <c r="CU1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Jordan Lee</v>
      </c>
      <c r="CV12" s="45"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CW12" s="45" t="n">
        <f aca="false">IF(OR(NOT(Tasks[[#This Row],[_IsLeaf]]=1),Tasks[[#This Row],[_Res2]]=""),0,IF(ISNA(MATCH(Tasks[[#This Row],[_Res2]],res_Name,0)),0,N(Tasks[[#This Row],[Duration]])*HoursPerDay*IF(Tasks[[#This Row],[_Res2Units]]="",DefaultUnits,Tasks[[#This Row],[_Res2Units]])))</f>
        <v>20</v>
      </c>
      <c r="CX12" s="45" t="n">
        <f aca="false">IF(Tasks[[#This Row],[_Res2Work]]=0,0,Tasks[[#This Row],[_Res2Work]]*IFERROR(INDEX(res_Rate,MATCH(Tasks[[#This Row],[_Res2]],res_Name,0)),0))</f>
        <v>1700</v>
      </c>
      <c r="CY12" s="45" t="n">
        <f aca="false">IF(AND(AND(Tasks[[#This Row],[_IsLeaf]]=1,Tasks[[#This Row],[_LeafTotalWork]]&gt;0),Tasks[[#This Row],[_Res2Work]]&gt;0),Tasks[[#This Row],[_Res2Work]]/(Tasks[[#This Row],[_FinishWorkday]]-Tasks[[#This Row],[_StartWorkday]]+1),0)</f>
        <v>3.33333333333333</v>
      </c>
      <c r="CZ12" s="45" t="n">
        <f aca="false">Tasks[[#This Row],[_Res2WorkPerWD]]*MAX(0,Tasks[[#This Row],[_StartWorkday]]-1)</f>
        <v>30</v>
      </c>
      <c r="DA12" s="45" t="n">
        <f aca="false">Tasks[[#This Row],[_Res2Work]]*Tasks[[#This Row],[_LeafProgress]]</f>
        <v>20</v>
      </c>
      <c r="DB12" s="45" t="n">
        <f aca="false">IF(Tasks[[#This Row],[_LeafTotalCost]]=0,0,Tasks[[#This Row],[_LeafAC]]*Tasks[[#This Row],[_Res2Cost]]/Tasks[[#This Row],[_LeafTotalCost]])</f>
        <v>1700</v>
      </c>
      <c r="DC1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2" s="45" t="n">
        <f aca="false">IF(OR(NOT(Tasks[[#This Row],[_IsLeaf]]=1),Tasks[[#This Row],[_Res3]]=""),0,IF(ISNA(MATCH(Tasks[[#This Row],[_Res3]],res_Name,0)),0,N(Tasks[[#This Row],[Duration]])*HoursPerDay*IF(Tasks[[#This Row],[_Res3Units]]="",DefaultUnits,Tasks[[#This Row],[_Res3Units]])))</f>
        <v>0</v>
      </c>
      <c r="DF12" s="45" t="n">
        <f aca="false">IF(Tasks[[#This Row],[_Res3Work]]=0,0,Tasks[[#This Row],[_Res3Work]]*IFERROR(INDEX(res_Rate,MATCH(Tasks[[#This Row],[_Res3]],res_Name,0)),0))</f>
        <v>0</v>
      </c>
      <c r="DG12" s="45" t="n">
        <f aca="false">IF(AND(AND(Tasks[[#This Row],[_IsLeaf]]=1,Tasks[[#This Row],[_LeafTotalWork]]&gt;0),Tasks[[#This Row],[_Res3Work]]&gt;0),Tasks[[#This Row],[_Res3Work]]/(Tasks[[#This Row],[_FinishWorkday]]-Tasks[[#This Row],[_StartWorkday]]+1),0)</f>
        <v>0</v>
      </c>
      <c r="DH12" s="45" t="n">
        <f aca="false">Tasks[[#This Row],[_Res3WorkPerWD]]*MAX(0,Tasks[[#This Row],[_StartWorkday]]-1)</f>
        <v>0</v>
      </c>
      <c r="DI12" s="45" t="n">
        <f aca="false">Tasks[[#This Row],[_Res3Work]]*Tasks[[#This Row],[_LeafProgress]]</f>
        <v>0</v>
      </c>
      <c r="DJ12" s="45" t="n">
        <f aca="false">IF(Tasks[[#This Row],[_LeafTotalCost]]=0,0,Tasks[[#This Row],[_LeafAC]]*Tasks[[#This Row],[_Res3Cost]]/Tasks[[#This Row],[_LeafTotalCost]])</f>
        <v>0</v>
      </c>
      <c r="DK1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2" s="45" t="n">
        <f aca="false">IF(OR(NOT(Tasks[[#This Row],[_IsLeaf]]=1),Tasks[[#This Row],[_Res4]]=""),0,IF(ISNA(MATCH(Tasks[[#This Row],[_Res4]],res_Name,0)),0,N(Tasks[[#This Row],[Duration]])*HoursPerDay*IF(Tasks[[#This Row],[_Res4Units]]="",DefaultUnits,Tasks[[#This Row],[_Res4Units]])))</f>
        <v>0</v>
      </c>
      <c r="DN12" s="45" t="n">
        <f aca="false">IF(Tasks[[#This Row],[_Res4Work]]=0,0,Tasks[[#This Row],[_Res4Work]]*IFERROR(INDEX(res_Rate,MATCH(Tasks[[#This Row],[_Res4]],res_Name,0)),0))</f>
        <v>0</v>
      </c>
      <c r="DO12" s="45" t="n">
        <f aca="false">IF(AND(AND(Tasks[[#This Row],[_IsLeaf]]=1,Tasks[[#This Row],[_LeafTotalWork]]&gt;0),Tasks[[#This Row],[_Res4Work]]&gt;0),Tasks[[#This Row],[_Res4Work]]/(Tasks[[#This Row],[_FinishWorkday]]-Tasks[[#This Row],[_StartWorkday]]+1),0)</f>
        <v>0</v>
      </c>
      <c r="DP12" s="45" t="n">
        <f aca="false">Tasks[[#This Row],[_Res4WorkPerWD]]*MAX(0,Tasks[[#This Row],[_StartWorkday]]-1)</f>
        <v>0</v>
      </c>
      <c r="DQ12" s="45" t="n">
        <f aca="false">Tasks[[#This Row],[_Res4Work]]*Tasks[[#This Row],[_LeafProgress]]</f>
        <v>0</v>
      </c>
      <c r="DR12" s="45" t="n">
        <f aca="false">IF(Tasks[[#This Row],[_LeafTotalCost]]=0,0,Tasks[[#This Row],[_LeafAC]]*Tasks[[#This Row],[_Res4Cost]]/Tasks[[#This Row],[_LeafTotalCost]])</f>
        <v>0</v>
      </c>
      <c r="DS12" s="76" t="n">
        <f aca="false">IF(ISNUMBER(Tasks[[#This Row],[% Complete]]),Tasks[[#This Row],[% Complete]],IF(Tasks[[#This Row],[Stage]]="",0,IFERROR(INDEX(stg_Pct,MATCH(Tasks[[#This Row],[Stage]],stg_Name,0)),0)))</f>
        <v>1</v>
      </c>
      <c r="DT12" s="45" t="n">
        <f aca="false">IF(NOT(Tasks[[#This Row],[_IsLeaf]]=1),0,IF(N(Tasks[[#This Row],[Actual Finish]])&gt;0,1,MIN(1,Tasks[[#This Row],[_Pct]])))</f>
        <v>1</v>
      </c>
      <c r="DU12" s="45" t="n">
        <f aca="false">IF(OR(NOT(Tasks[[#This Row],[_IsLeaf]]=1),Tasks[[#This Row],[_Resource1]]=""),0,IF(ISNA(MATCH(Tasks[[#This Row],[_Resource1]],res_Name,0)),0,N(Tasks[[#This Row],[Duration]])*HoursPerDay*IF(Tasks[[#This Row],[_Units1]]="",DefaultUnits,Tasks[[#This Row],[_Units1]])))</f>
        <v>40</v>
      </c>
      <c r="DV12" s="45" t="n">
        <f aca="false">IF(Tasks[[#This Row],[_LeafWork]]=0,0,Tasks[[#This Row],[_LeafWork]]*IFERROR(INDEX(res_Rate,MATCH(Tasks[[#This Row],[_Resource1]],res_Name,0)),0))</f>
        <v>4400</v>
      </c>
      <c r="DW12" s="45" t="n">
        <f aca="false">Tasks[[#This Row],[_LeafWork]]+Tasks[[#This Row],[_Res2Work]]+Tasks[[#This Row],[_Res3Work]]+Tasks[[#This Row],[_Res4Work]]</f>
        <v>60</v>
      </c>
      <c r="DX12" s="45" t="n">
        <f aca="false">Tasks[[#This Row],[_LeafCost]]+Tasks[[#This Row],[_Res2Cost]]+Tasks[[#This Row],[_Res3Cost]]+Tasks[[#This Row],[_Res4Cost]]</f>
        <v>6100</v>
      </c>
      <c r="DY12" s="45" t="n">
        <f aca="false">IF(Tasks[[#This Row],[_LeafTotalCost]]=0,Tasks[[#This Row],[_LeafAC]],Tasks[[#This Row],[_LeafAC]]*Tasks[[#This Row],[_LeafCost]]/Tasks[[#This Row],[_LeafTotalCost]])</f>
        <v>4400</v>
      </c>
      <c r="DZ12"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2912162</v>
      </c>
      <c r="EA1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2"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1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2" s="45" t="n">
        <f aca="false">IF(NOT(Tasks[[#This Row],[_IsLeaf]]=1),0,MAX(_xlfn.MAXIFS(Tasks[_Row],Tasks[_Pred1UID],Tasks[[#This Row],[UID]]),_xlfn.MAXIFS(Tasks[_Row],Tasks[_Pred2UID],Tasks[[#This Row],[UID]]),_xlfn.MAXIFS(Tasks[_Row],Tasks[_Pred3UID],Tasks[[#This Row],[UID]]),_xlfn.MAXIFS(Tasks[_Row],Tasks[_Pred4UID],Tasks[[#This Row],[UID]])))</f>
        <v>9</v>
      </c>
      <c r="EI12"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46303</v>
      </c>
      <c r="EJ12"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EK12" s="74" t="n">
        <f aca="false">IF(NOT(Tasks[[#This Row],[_IsLeaf]]=1),"",IF(N(Tasks[[#This Row],[Duration]])&lt;=0,Tasks[[#This Row],[_LeafLateFinish]],WORKDAY.INTL(Tasks[[#This Row],[_LeafLateFinish]],-(Tasks[[#This Row],[Duration]]-1),WorkWeek,Holidays)))</f>
        <v>46297</v>
      </c>
      <c r="EL12"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9</v>
      </c>
      <c r="EM12" s="73" t="b">
        <f aca="false">AND(Tasks[[#This Row],[_IsLeaf]]=1,Tasks[[#This Row],[_LeafProgress]]&lt;1,N(Tasks[[#This Row],[_LeafTotalSlack]])&lt;=CriticalSlackDays)</f>
        <v>0</v>
      </c>
      <c r="EN12" s="45" t="n">
        <f aca="false">IF(AND(Tasks[[#This Row],[_IsLeaf]]=1,Tasks[[#This Row],[_ConstraintCode]]=1,Tasks[[#This Row],[Mode]]&lt;&gt;"Manual",N(Tasks[[#This Row],[Actual Start]])=0),MAX(0,N(Tasks[[#This Row],[Free Slack]])),0)</f>
        <v>0</v>
      </c>
      <c r="EO12" s="74" t="n">
        <f aca="false">IF(NOT(Tasks[[#This Row],[_IsLeaf]]=1),"",IF(Tasks[[#This Row],[_AlapShift]]=0,Tasks[[#This Row],[_LeafCalcStart]],WORKDAY.INTL(Tasks[[#This Row],[_LeafCalcStart]],Tasks[[#This Row],[_AlapShift]],WorkWeek,Holidays)))</f>
        <v>46282</v>
      </c>
      <c r="EP12" s="74" t="n">
        <f aca="false">IF(NOT(Tasks[[#This Row],[_IsLeaf]]=1),"",IF(Tasks[[#This Row],[_AlapShift]]=0,Tasks[[#This Row],[_LeafCalcFinish]],WORKDAY.INTL(Tasks[[#This Row],[_LeafCalcFinish]],Tasks[[#This Row],[_AlapShift]],WorkWeek,Holidays)))</f>
        <v>46288</v>
      </c>
      <c r="EQ12" s="74" t="n">
        <f aca="false">IF(NOT(Tasks[[#This Row],[_IsLeaf]]=1),"",IF(Tasks[[#This Row],[_AlapShift]]=0,Tasks[[#This Row],[_LeafFcstStart]],WORKDAY.INTL(Tasks[[#This Row],[_LeafFcstStart]],Tasks[[#This Row],[_AlapShift]],WorkWeek,Holidays)))</f>
        <v>46283</v>
      </c>
      <c r="ER12" s="74" t="n">
        <f aca="false">IF(NOT(Tasks[[#This Row],[_IsLeaf]]=1),"",IF(Tasks[[#This Row],[_AlapShift]]=0,Tasks[[#This Row],[_LeafFcstFinish]],WORKDAY.INTL(Tasks[[#This Row],[_LeafFcstFinish]],Tasks[[#This Row],[_AlapShift]],WorkWeek,Holidays)))</f>
        <v>46290</v>
      </c>
      <c r="ES12" s="74" t="n">
        <f aca="false">IF(Tasks[[#This Row],[Task Name]]="","",IF(Tasks[[#This Row],[_IsSummary]],MIN(INDEX(Tasks[_ShownCalcStart],Tasks[[#This Row],[_Row]]+1):INDEX(Tasks[_ShownCalcStart],Tasks[[#This Row],[_Row]]+Tasks[[#This Row],[_Descendants]])),Tasks[[#This Row],[_ShownCalcStart]]))</f>
        <v>46282</v>
      </c>
      <c r="ET12" s="74" t="n">
        <f aca="false">IF(Tasks[[#This Row],[Task Name]]="","",IF(Tasks[[#This Row],[_IsSummary]],MAX(INDEX(Tasks[_ShownCalcFinish],Tasks[[#This Row],[_Row]]+1):INDEX(Tasks[_ShownCalcFinish],Tasks[[#This Row],[_Row]]+Tasks[[#This Row],[_Descendants]])),Tasks[[#This Row],[_ShownCalcFinish]]))</f>
        <v>46288</v>
      </c>
      <c r="EU1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46282</v>
      </c>
      <c r="EZ1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46283</v>
      </c>
      <c r="FD1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2" s="45" t="n">
        <f aca="false">IF(AND(Tasks[[#This Row],[_IsLeaf]]=1,Tasks[[#This Row],[_LeafTotalWork]]&gt;0),NETWORKDAYS.INTL(ProjectStart,Tasks[[#This Row],[_ShownFcstStart]],WorkWeek,Holidays),0)</f>
        <v>10</v>
      </c>
      <c r="FH12" s="45" t="n">
        <f aca="false">IF(AND(Tasks[[#This Row],[_IsLeaf]]=1,Tasks[[#This Row],[_LeafTotalWork]]&gt;0),MAX(Tasks[[#This Row],[_StartWorkday]],NETWORKDAYS.INTL(ProjectStart,Tasks[[#This Row],[_ShownFcstFinish]],WorkWeek,Holidays)),0)</f>
        <v>15</v>
      </c>
      <c r="FI12" s="45" t="n">
        <f aca="false">IF(AND(Tasks[[#This Row],[_IsLeaf]]=1,Tasks[[#This Row],[_LeafTotalWork]]&gt;0),Tasks[[#This Row],[_LeafWork]]/(Tasks[[#This Row],[_FinishWorkday]]-Tasks[[#This Row],[_StartWorkday]]+1),0)</f>
        <v>6.66666666666667</v>
      </c>
      <c r="FJ12" s="45" t="n">
        <f aca="false">Tasks[[#This Row],[_WorkPerWorkday]]*(Tasks[[#This Row],[_StartWorkday]]-1)</f>
        <v>60</v>
      </c>
      <c r="FK12" s="45" t="n">
        <f aca="false">IF(Tasks[[#This Row],[_IsLeaf]]=1,MAX(N(Tasks[[#This Row],[Duration]]),0.1),0)</f>
        <v>5</v>
      </c>
      <c r="FL12" s="45" t="n">
        <f aca="false">Tasks[[#This Row],[_WeightDur]]*Tasks[[#This Row],[_LeafProgress]]</f>
        <v>5</v>
      </c>
      <c r="FM1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6SS+3d</v>
      </c>
      <c r="FN12" s="45" t="str">
        <f aca="false">IF(AND(Tasks[[#This Row],[_IsLeaf]]=1,N(Tasks[[#This Row],[Duration]])=0,Tasks[[#This Row],[_LeafProgress]]&lt;1),Tasks[[#This Row],[_ShownFcstFinish]]+Tasks[[#This Row],[_Row]]/100000,"")</f>
        <v/>
      </c>
      <c r="FO1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P12" s="45" t="n">
        <f aca="false">IF(NOT(Tasks[[#This Row],[_IsLeaf]]=1),0,IF(Tasks[[#This Row],[Baseline Cost]]="",Tasks[[#This Row],[_LeafTotalCost]],N(Tasks[[#This Row],[Baseline Cost]])))</f>
        <v>6100</v>
      </c>
      <c r="FQ12" s="45" t="n">
        <f aca="false">Tasks[[#This Row],[_LeafBudget]]*Tasks[[#This Row],[_PlannedPct]]</f>
        <v>6100</v>
      </c>
      <c r="FR12" s="45" t="n">
        <f aca="false">Tasks[[#This Row],[_LeafBudget]]*Tasks[[#This Row],[_LeafProgress]]</f>
        <v>6100</v>
      </c>
      <c r="FS12" s="45" t="n">
        <f aca="false">IF(NOT(Tasks[[#This Row],[_IsLeaf]]=1),0,IF(Tasks[[#This Row],[Actual Cost]]="",Tasks[[#This Row],[_LeafTotalCost]]*Tasks[[#This Row],[_LeafProgress]],N(Tasks[[#This Row],[Actual Cost]])))</f>
        <v>6100</v>
      </c>
      <c r="FT12" s="45" t="str">
        <f aca="false">IF(Tasks[[#This Row],[Task Name]]="","",LEFT(Tasks[[#This Row],[WBS]],FIND(".",Tasks[[#This Row],[WBS]]&amp;".")-1))</f>
        <v>2</v>
      </c>
      <c r="FU12" s="45" t="str">
        <f aca="false">IF(AND(Tasks[[#This Row],[Task Name]]&lt;&gt;"",Tasks[[#This Row],[_Level]]=1),Tasks[[#This Row],[_Row]],"")</f>
        <v/>
      </c>
      <c r="FV12" s="45" t="str">
        <f aca="false">IF(AND(Tasks[[#This Row],[_IsLeaf]]=1,N(Tasks[[#This Row],[Duration]])=0),Tasks[[#This Row],[Planned Finish]]+Tasks[[#This Row],[_Row]]/100000,"")</f>
        <v/>
      </c>
      <c r="FW12" s="45" t="str">
        <f aca="false">IF(AND(Tasks[[#This Row],[_IsLeaf]]=1,Tasks[[#This Row],[_LeafProgress]]&lt;1,OR(N(Tasks[[#This Row],[Finish Var]])&gt;0,Tasks[[#This Row],[Status]]="Late Start")),MAX(0,Tasks[[#This Row],[Finish Var]])+1-Tasks[[#This Row],[_Row]]/1000000,"")</f>
        <v/>
      </c>
      <c r="FX12" s="45" t="str">
        <f aca="false">IF(AND(Tasks[[#This Row],[_IsLeaf]]=1,N(Tasks[[#This Row],[Actual Start]])=0,Tasks[[#This Row],[_ShownFcstStart]]&gt;=StatusDate,Tasks[[#This Row],[_ShownFcstStart]]&lt;=LookaheadEnd),Tasks[[#This Row],[_ShownFcstStart]]+Tasks[[#This Row],[_Row]]/100000,"")</f>
        <v/>
      </c>
      <c r="FY12" s="45" t="str">
        <f aca="false">IF(AND(Tasks[[#This Row],[_IsLeaf]]=1,Tasks[[#This Row],[_LeafProgress]]&lt;1,Tasks[[#This Row],[_ShownFcstFinish]]&gt;=StatusDate,Tasks[[#This Row],[_ShownFcstFinish]]&lt;=LookaheadEnd),Tasks[[#This Row],[_ShownFcstFinish]]+Tasks[[#This Row],[_Row]]/100000,"")</f>
        <v/>
      </c>
      <c r="FZ12" s="45" t="str">
        <f aca="false">IF(Tasks[[#This Row],[_LeafCritical]],Tasks[[#This Row],[_ShownFcstStart]]+Tasks[[#This Row],[_Row]]/100000,"")</f>
        <v/>
      </c>
      <c r="GA12" s="45" t="n">
        <f aca="false">Tasks[[#This Row],[_LeafWork]]*Tasks[[#This Row],[_LeafProgress]]</f>
        <v>40</v>
      </c>
      <c r="GB12" s="74" t="n">
        <f aca="false">IF(AND(Tasks[[#This Row],[_IsLeaf]]=1,Tasks[[#This Row],[_LeafProgress]]&gt;=1),IF(N(Tasks[[#This Row],[Actual Finish]])&gt;0,Tasks[[#This Row],[Actual Finish]],Tasks[[#This Row],[_ShownFcstFinish]]),"")</f>
        <v>46290</v>
      </c>
    </row>
    <row r="13" customFormat="false" ht="15" hidden="false" customHeight="false" outlineLevel="1" collapsed="false">
      <c r="A13" s="67" t="n">
        <f aca="false">IF(Tasks[[#This Row],[Task Name]]="","",COUNTA(Tasks[[#Headers],[Task Name]]:Tasks[[#This Row],[Task Name]])-1)</f>
        <v>8</v>
      </c>
      <c r="B13" s="21" t="n">
        <v>8</v>
      </c>
      <c r="C1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D13" s="21" t="n">
        <v>2</v>
      </c>
      <c r="E13" s="75" t="s">
        <v>516</v>
      </c>
      <c r="F13" s="21" t="n">
        <v>6</v>
      </c>
      <c r="G13" s="22" t="s">
        <v>517</v>
      </c>
      <c r="H13" s="22" t="s">
        <v>518</v>
      </c>
      <c r="I13" s="22" t="s">
        <v>125</v>
      </c>
      <c r="J13" s="7" t="n">
        <v>46293</v>
      </c>
      <c r="K13" s="7" t="n">
        <v>46301</v>
      </c>
      <c r="L13" s="22"/>
      <c r="M13" s="58" t="n">
        <f aca="false">IF(Tasks[[#This Row],[Task Name]]="","",IF(Tasks[[#This Row],[_IsSummary]],MIN(INDEX(Tasks[_ShownFcstStart],Tasks[[#This Row],[_Row]]+1):INDEX(Tasks[_ShownFcstStart],Tasks[[#This Row],[_Row]]+Tasks[[#This Row],[_Descendants]])),Tasks[[#This Row],[_ShownFcstStart]]))</f>
        <v>46293</v>
      </c>
      <c r="N13" s="58" t="n">
        <f aca="false">IF(Tasks[[#This Row],[Task Name]]="","",IF(Tasks[[#This Row],[_IsSummary]],MAX(INDEX(Tasks[_ShownFcstFinish],Tasks[[#This Row],[_Row]]+1):INDEX(Tasks[_ShownFcstFinish],Tasks[[#This Row],[_Row]]+Tasks[[#This Row],[_Descendants]])),Tasks[[#This Row],[_ShownFcstFinish]]))</f>
        <v>46301</v>
      </c>
      <c r="O13" s="20" t="str">
        <f aca="false">IF(Tasks[[#This Row],[Task Name]]="","",IF(Tasks[[#This Row],[Progress]]&gt;=1,"Complete",IF(OR(N(Tasks[[#This Row],[Actual Start]])&gt;0,Tasks[[#This Row],[Progress]]&gt;0),IF(Tasks[[#This Row],[Finish Var]]&gt;0,"Behind","In Progress"),IF(Tasks[[#This Row],[Planned Start]]&lt;StatusDate,"Late Start","Not Started"))))</f>
        <v>Complete</v>
      </c>
      <c r="P13" s="20" t="str">
        <f aca="false">IF(Tasks[[#This Row],[Task Name]]="","",IF(IF(Tasks[[#This Row],[_IsSummary]],COUNTIF(INDEX(Tasks[_LeafCritical],Tasks[[#This Row],[_Row]]+1):INDEX(Tasks[_LeafCritical],Tasks[[#This Row],[_Row]]+Tasks[[#This Row],[_Descendants]]),TRUE())&gt;0,Tasks[[#This Row],[_LeafCritical]]),"Yes",""))</f>
        <v/>
      </c>
      <c r="Q1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3" s="67" t="str">
        <f aca="false">IF(Tasks[[#This Row],[Task Name]]="","",IF(Tasks[[#This Row],[_Level]]&lt;=OutlineShowLevel,"Yes","No"))</f>
        <v>Yes</v>
      </c>
      <c r="S13" s="7"/>
      <c r="T13" s="21" t="s">
        <v>195</v>
      </c>
      <c r="U13" s="22"/>
      <c r="V13" s="7"/>
      <c r="W13" s="67" t="n">
        <f aca="false">IF(Tasks[[#This Row],[Task Name]]="","",IF(Tasks[[#This Row],[Finish]]&gt;=Tasks[[#This Row],[Planned Finish]],NETWORKDAYS.INTL(Tasks[[#This Row],[Planned Finish]],Tasks[[#This Row],[Finish]],WorkWeek,Holidays)-1,1-NETWORKDAYS.INTL(Tasks[[#This Row],[Finish]],Tasks[[#This Row],[Planned Finish]],WorkWeek,Holidays)))</f>
        <v>3</v>
      </c>
      <c r="X13" s="58" t="n">
        <f aca="false">IF(Tasks[[#This Row],[Task Name]]="","",IF(N(Tasks[[#This Row],[Baseline Start]])&gt;0,Tasks[[#This Row],[Baseline Start]],Tasks[[#This Row],[_CalcStart]]))</f>
        <v>46289</v>
      </c>
      <c r="Y13" s="58" t="n">
        <f aca="false">IF(Tasks[[#This Row],[Task Name]]="","",IF(N(Tasks[[#This Row],[Baseline Finish]])&gt;0,Tasks[[#This Row],[Baseline Finish]],Tasks[[#This Row],[_CalcFinish]]))</f>
        <v>46296</v>
      </c>
      <c r="Z13" s="67" t="n">
        <f aca="false">IF(Tasks[[#This Row],[Task Name]]="","",IF(Tasks[[#This Row],[Start]]&gt;=Tasks[[#This Row],[Planned Start]],NETWORKDAYS.INTL(Tasks[[#This Row],[Planned Start]],Tasks[[#This Row],[Start]],WorkWeek,Holidays)-1,1-NETWORKDAYS.INTL(Tasks[[#This Row],[Start]],Tasks[[#This Row],[Planned Start]],WorkWeek,Holidays)))</f>
        <v>2</v>
      </c>
      <c r="AA13" s="58" t="n">
        <f aca="false">IF(Tasks[[#This Row],[Task Name]]="","",IF(Tasks[[#This Row],[_IsSummary]],MIN(INDEX(Tasks[_LeafLateStart],Tasks[[#This Row],[_Row]]+1):INDEX(Tasks[_LeafLateStart],Tasks[[#This Row],[_Row]]+Tasks[[#This Row],[_Descendants]])),Tasks[[#This Row],[_LeafLateStart]]))</f>
        <v>46296</v>
      </c>
      <c r="AB13" s="58" t="n">
        <f aca="false">IF(Tasks[[#This Row],[Task Name]]="","",IF(Tasks[[#This Row],[_IsSummary]],MAX(INDEX(Tasks[_LeafLateFinish],Tasks[[#This Row],[_Row]]+1):INDEX(Tasks[_LeafLateFinish],Tasks[[#This Row],[_Row]]+Tasks[[#This Row],[_Descendants]])),Tasks[[#This Row],[_LeafLateFinish]]))</f>
        <v>46303</v>
      </c>
      <c r="AC13" s="67" t="n">
        <f aca="false">IF(Tasks[[#This Row],[Task Name]]="","",IF(Tasks[[#This Row],[_IsSummary]],MIN(INDEX(Tasks[_LeafTotalSlack],Tasks[[#This Row],[_Row]]+1):INDEX(Tasks[_LeafTotalSlack],Tasks[[#This Row],[_Row]]+Tasks[[#This Row],[_Descendants]])),Tasks[[#This Row],[_LeafTotalSlack]]))</f>
        <v>2</v>
      </c>
      <c r="AD13"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1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3" s="60"/>
      <c r="AH13"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I1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v>
      </c>
      <c r="AJ13" s="69" t="n">
        <f aca="false">IF(Tasks[[#This Row],[Task Name]]="","",IF(Tasks[[#This Row],[_IsSummary]],SUM(INDEX(Tasks[_LeafTotalWork],Tasks[[#This Row],[_Row]]+1):INDEX(Tasks[_LeafTotalWork],Tasks[[#This Row],[_Row]]+Tasks[[#This Row],[_Descendants]])),Tasks[[#This Row],[_LeafTotalWork]]))</f>
        <v>48</v>
      </c>
      <c r="AK1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Casey Kim</v>
      </c>
      <c r="AL13" s="70" t="n">
        <f aca="false">IF(Tasks[[#This Row],[Task Name]]="","",IF(Tasks[[#This Row],[_IsSummary]],SUM(INDEX(Tasks[_LeafTotalCost],Tasks[[#This Row],[_Row]]+1):INDEX(Tasks[_LeafTotalCost],Tasks[[#This Row],[_Row]]+Tasks[[#This Row],[_Descendants]])),Tasks[[#This Row],[_LeafTotalCost]]))</f>
        <v>3600</v>
      </c>
      <c r="AM13" s="71"/>
      <c r="AN13" s="20" t="str">
        <f aca="false">IF(OR(Tasks[[#This Row],[Task Name]]="",Tasks[[#This Row],[Baseline Duration]]=""),"",Tasks[[#This Row],[BL Source Duration]]-N(Tasks[[#This Row],[Baseline Duration]]))</f>
        <v/>
      </c>
      <c r="AO13" s="69" t="str">
        <f aca="false">IF(OR(Tasks[[#This Row],[Task Name]]="",Tasks[[#This Row],[Baseline Work]]=""),"",Tasks[[#This Row],[Work]]-N(Tasks[[#This Row],[Baseline Work]]))</f>
        <v/>
      </c>
      <c r="AP13" s="70" t="str">
        <f aca="false">IF(OR(Tasks[[#This Row],[Task Name]]="",Tasks[[#This Row],[Baseline Cost]]=""),"",Tasks[[#This Row],[Cost]]-N(Tasks[[#This Row],[Baseline Cost]]))</f>
        <v/>
      </c>
      <c r="AQ13" s="58" t="n">
        <f aca="false">IF(Tasks[[#This Row],[Task Name]]="","",Tasks[[#This Row],[Start]])</f>
        <v>46293</v>
      </c>
      <c r="AR13" s="58" t="n">
        <f aca="false">IF(Tasks[[#This Row],[Task Name]]="","",Tasks[[#This Row],[Finish]])</f>
        <v>46301</v>
      </c>
      <c r="AS13" s="67" t="n">
        <f aca="false">IF(Tasks[[#This Row],[Task Name]]="","",IF(Tasks[[#This Row],[_IsSummary]],NETWORKDAYS.INTL(Tasks[[#This Row],[Start]],Tasks[[#This Row],[Finish]],WorkWeek,Holidays),N(Tasks[[#This Row],[Duration]])))</f>
        <v>6</v>
      </c>
      <c r="AT13" s="69" t="n">
        <f aca="false">IF(Tasks[[#This Row],[Task Name]]="","",Tasks[[#This Row],[Work]])</f>
        <v>48</v>
      </c>
      <c r="AU13" s="70" t="n">
        <f aca="false">IF(Tasks[[#This Row],[Task Name]]="","",Tasks[[#This Row],[Cost]])</f>
        <v>3600</v>
      </c>
      <c r="AV13" s="7"/>
      <c r="AW13" s="7"/>
      <c r="AX13" s="21"/>
      <c r="AY13" s="72"/>
      <c r="AZ13" s="71"/>
      <c r="BA13" s="70" t="n">
        <f aca="false">IF(Tasks[[#This Row],[Task Name]]="","",IF(Tasks[[#This Row],[_IsSummary]],SUM(INDEX(Tasks[_LeafEV],Tasks[[#This Row],[_Row]]+1):INDEX(Tasks[_LeafEV],Tasks[[#This Row],[_Row]]+Tasks[[#This Row],[_Descendants]])),Tasks[[#This Row],[_LeafEV]]))</f>
        <v>3600</v>
      </c>
      <c r="BB13" s="70" t="n">
        <f aca="false">IF(Tasks[[#This Row],[Task Name]]="","",IF(Tasks[[#This Row],[_IsSummary]],SUM(INDEX(Tasks[_LeafBudget],Tasks[[#This Row],[_Row]]+1):INDEX(Tasks[_LeafBudget],Tasks[[#This Row],[_Row]]+Tasks[[#This Row],[_Descendants]])),Tasks[[#This Row],[_LeafBudget]]))</f>
        <v>3600</v>
      </c>
      <c r="BC13" s="70" t="n">
        <f aca="false">IF(Tasks[[#This Row],[Task Name]]="","",IF(Tasks[[#This Row],[_IsSummary]],SUM(INDEX(Tasks[_LeafPV],Tasks[[#This Row],[_Row]]+1):INDEX(Tasks[_LeafPV],Tasks[[#This Row],[_Row]]+Tasks[[#This Row],[_Descendants]])),Tasks[[#This Row],[_LeafPV]]))</f>
        <v>3600</v>
      </c>
      <c r="BD13" s="70" t="n">
        <f aca="false">IF(Tasks[[#This Row],[Task Name]]="","",IF(Tasks[[#This Row],[_IsSummary]],SUM(INDEX(Tasks[_LeafAC],Tasks[[#This Row],[_Row]]+1):INDEX(Tasks[_LeafAC],Tasks[[#This Row],[_Row]]+Tasks[[#This Row],[_Descendants]])),Tasks[[#This Row],[_LeafAC]]))</f>
        <v>3600</v>
      </c>
      <c r="BE13" s="45" t="n">
        <f aca="false">IF(Tasks[[#This Row],[Task Name]]="","",MAX(1,N(Tasks[[#This Row],[Level]])))</f>
        <v>2</v>
      </c>
      <c r="BF13" s="45" t="n">
        <f aca="false">ROW()-ROW(Tasks[[#Headers],[ID]])</f>
        <v>8</v>
      </c>
      <c r="BG13" s="45" t="n">
        <f aca="false">IF(OR(Tasks[[#This Row],[Task Name]]="",Tasks[[#This Row],[_Level]]&lt;=1),0,IFERROR(LOOKUP(2,1/(Tasks[[#Headers],[_Level]]:Tasks[[#This Row],[_Level]]=Tasks[[#This Row],[_Level]]-1),ROW(Tasks[[#Headers],[_Level]]:Tasks[[#This Row],[_Level]])),0))</f>
        <v>10</v>
      </c>
      <c r="BH13" s="45" t="n">
        <f aca="false">IFERROR(N(INDEX(Tasks[_Level],Tasks[[#This Row],[_Row]]+1)),0)</f>
        <v>2</v>
      </c>
      <c r="BI13" s="73" t="b">
        <f aca="false">AND(Tasks[[#This Row],[Task Name]]&lt;&gt;"",Tasks[[#This Row],[_NextLevel]]&gt;Tasks[[#This Row],[_Level]])</f>
        <v>0</v>
      </c>
      <c r="BJ13" s="45" t="n">
        <f aca="false">IF(Tasks[[#This Row],[_IsSummary]],COUNTIF(Tasks[WBS],Tasks[[#This Row],[WBS]]&amp;".*"),0)</f>
        <v>0</v>
      </c>
      <c r="BK13" s="45" t="n">
        <f aca="false">IF(AND(Tasks[[#This Row],[Task Name]]&lt;&gt;"",NOT(Tasks[[#This Row],[_IsSummary]])),1,0)</f>
        <v>1</v>
      </c>
      <c r="BL13" s="45" t="n">
        <f aca="false">IF(N(Tasks[[#This Row],[_Pred1UID]])=0,0,IFERROR(MATCH(Tasks[[#This Row],[_Pred1UID]],Tasks[UID],0),-1))</f>
        <v>6</v>
      </c>
      <c r="BM13" s="45" t="n">
        <f aca="false">IF(N(Tasks[[#This Row],[_Pred2UID]])=0,0,IFERROR(MATCH(Tasks[[#This Row],[_Pred2UID]],Tasks[UID],0),-1))</f>
        <v>0</v>
      </c>
      <c r="BN13" s="45" t="n">
        <f aca="false">IF(N(Tasks[[#This Row],[_Pred3UID]])=0,0,IFERROR(MATCH(Tasks[[#This Row],[_Pred3UID]],Tasks[UID],0),-1))</f>
        <v>0</v>
      </c>
      <c r="BO13" s="45" t="n">
        <f aca="false">IF(N(Tasks[[#This Row],[_Pred4UID]])=0,0,IFERROR(MATCH(Tasks[[#This Row],[_Pred4UID]],Tasks[UID],0),-1))</f>
        <v>0</v>
      </c>
      <c r="BP13"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1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3" s="74" t="n">
        <f aca="false">IF(OR(Tasks[[#This Row],[_ConstraintCode]]=2,Tasks[[#This Row],[_ConstraintCode]]=3,Tasks[[#This Row],[_ConstraintCode]]=4,Tasks[[#This Row],[_ConstraintCode]]=6),Tasks[[#This Row],[_ConstraintStart]],0)</f>
        <v>0</v>
      </c>
      <c r="BS13" s="74" t="n">
        <f aca="false">IF(OR(Tasks[[#This Row],[_ConstraintCode]]=2,Tasks[[#This Row],[_ConstraintCode]]=3,Tasks[[#This Row],[_ConstraintCode]]=5,Tasks[[#This Row],[_ConstraintCode]]=7),Tasks[[#This Row],[_ConstraintStart]],2958465)</f>
        <v>2958465</v>
      </c>
      <c r="BT13"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BU13" s="74" t="n">
        <f aca="false">IF(NOT(Tasks[[#This Row],[_IsLeaf]]=1),"",IF(N(Tasks[[#This Row],[Duration]])&lt;=0,Tasks[[#This Row],[_LeafCalcStart]],WORKDAY.INTL(Tasks[[#This Row],[_LeafCalcStart]],Tasks[[#This Row],[Duration]]-1,WorkWeek,Holidays)))</f>
        <v>46296</v>
      </c>
      <c r="BV13"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BW13"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46301</v>
      </c>
      <c r="BX13" s="45" t="str">
        <f aca="false">IF(Tasks[[#This Row],[Predecessors]]="","",TRIM(MID(SUBSTITUTE(SUBSTITUTE(SUBSTITUTE(UPPER(Tasks[[#This Row],[Predecessors]]),";",",")," ",""),",",REPT(" ",99)),1,99)))</f>
        <v>6</v>
      </c>
      <c r="BY13" s="45" t="n">
        <f aca="false">IF(Tasks[[#This Row],[_Pred1Text]]="","",IFERROR(VALUE(LEFT(Tasks[[#This Row],[_Pred1Text]],MIN(FIND("F",Tasks[[#This Row],[_Pred1Text]]&amp;"F"),FIND("S",Tasks[[#This Row],[_Pred1Text]]&amp;"S"),FIND("+",Tasks[[#This Row],[_Pred1Text]]&amp;"+"),FIND("-",Tasks[[#This Row],[_Pred1Text]]&amp;"-"))-1)),""))</f>
        <v>6</v>
      </c>
      <c r="BZ1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13"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13" s="45" t="str">
        <f aca="false">IF(Tasks[[#This Row],[_Pred1Text]]="","",TRIM(MID(SUBSTITUTE(SUBSTITUTE(SUBSTITUTE(UPPER(Tasks[[#This Row],[Predecessors]]),";",",")," ",""),",",REPT(" ",99)),100,99)))</f>
        <v/>
      </c>
      <c r="CC13" s="45" t="str">
        <f aca="false">IF(Tasks[[#This Row],[_Pred2Text]]="","",IFERROR(VALUE(LEFT(Tasks[[#This Row],[_Pred2Text]],MIN(FIND("F",Tasks[[#This Row],[_Pred2Text]]&amp;"F"),FIND("S",Tasks[[#This Row],[_Pred2Text]]&amp;"S"),FIND("+",Tasks[[#This Row],[_Pred2Text]]&amp;"+"),FIND("-",Tasks[[#This Row],[_Pred2Text]]&amp;"-"))-1)),""))</f>
        <v/>
      </c>
      <c r="CD1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3" s="45" t="str">
        <f aca="false">IF(Tasks[[#This Row],[_Pred2Text]]="","",TRIM(MID(SUBSTITUTE(SUBSTITUTE(SUBSTITUTE(UPPER(Tasks[[#This Row],[Predecessors]]),";",",")," ",""),",",REPT(" ",99)),199,99)))</f>
        <v/>
      </c>
      <c r="CG13" s="45" t="str">
        <f aca="false">IF(Tasks[[#This Row],[_Pred3Text]]="","",IFERROR(VALUE(LEFT(Tasks[[#This Row],[_Pred3Text]],MIN(FIND("F",Tasks[[#This Row],[_Pred3Text]]&amp;"F"),FIND("S",Tasks[[#This Row],[_Pred3Text]]&amp;"S"),FIND("+",Tasks[[#This Row],[_Pred3Text]]&amp;"+"),FIND("-",Tasks[[#This Row],[_Pred3Text]]&amp;"-"))-1)),""))</f>
        <v/>
      </c>
      <c r="CH1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3" s="45" t="str">
        <f aca="false">IF(Tasks[[#This Row],[_Pred3Text]]="","",TRIM(MID(SUBSTITUTE(SUBSTITUTE(SUBSTITUTE(UPPER(Tasks[[#This Row],[Predecessors]]),";",",")," ",""),",",REPT(" ",99)),298,99)))</f>
        <v/>
      </c>
      <c r="CK13" s="45" t="str">
        <f aca="false">IF(Tasks[[#This Row],[_Pred4Text]]="","",IFERROR(VALUE(LEFT(Tasks[[#This Row],[_Pred4Text]],MIN(FIND("F",Tasks[[#This Row],[_Pred4Text]]&amp;"F"),FIND("S",Tasks[[#This Row],[_Pred4Text]]&amp;"S"),FIND("+",Tasks[[#This Row],[_Pred4Text]]&amp;"+"),FIND("-",Tasks[[#This Row],[_Pred4Text]]&amp;"-"))-1)),""))</f>
        <v/>
      </c>
      <c r="CL1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3" s="45" t="str">
        <f aca="false">IF(OR(Tasks[[#This Row],[Task Name]]="",Tasks[[#This Row],[Resources]]=""),"",TRIM(MID(SUBSTITUTE(Tasks[[#This Row],[Resources]],",",REPT(" ",99)),1,99)))</f>
        <v>Casey Kim</v>
      </c>
      <c r="CO13" s="45" t="str">
        <f aca="false">IF(Tasks[[#This Row],[_Res1Text]]="","",TRIM(MID(SUBSTITUTE(Tasks[[#This Row],[Resources]],",",REPT(" ",99)),100,99)))</f>
        <v/>
      </c>
      <c r="CP13" s="45" t="str">
        <f aca="false">IF(Tasks[[#This Row],[_Res2Text]]="","",TRIM(MID(SUBSTITUTE(Tasks[[#This Row],[Resources]],",",REPT(" ",99)),199,99)))</f>
        <v/>
      </c>
      <c r="CQ13" s="45" t="str">
        <f aca="false">IF(Tasks[[#This Row],[_Res3Text]]="","",TRIM(MID(SUBSTITUTE(Tasks[[#This Row],[Resources]],",",REPT(" ",99)),298,99)))</f>
        <v/>
      </c>
      <c r="CR1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Casey Kim</v>
      </c>
      <c r="CS1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 s="45" t="n">
        <f aca="false">IF(NOT(Tasks[[#This Row],[_IsLeaf]]=1),0,(Tasks[[#This Row],[_Resource1]]&lt;&gt;"")+(Tasks[[#This Row],[_Res2]]&lt;&gt;"")+(Tasks[[#This Row],[_Res3]]&lt;&gt;"")+(Tasks[[#This Row],[_Res4]]&lt;&gt;""))</f>
        <v>1</v>
      </c>
      <c r="CU1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 s="45" t="n">
        <f aca="false">IF(OR(NOT(Tasks[[#This Row],[_IsLeaf]]=1),Tasks[[#This Row],[_Res2]]=""),0,IF(ISNA(MATCH(Tasks[[#This Row],[_Res2]],res_Name,0)),0,N(Tasks[[#This Row],[Duration]])*HoursPerDay*IF(Tasks[[#This Row],[_Res2Units]]="",DefaultUnits,Tasks[[#This Row],[_Res2Units]])))</f>
        <v>0</v>
      </c>
      <c r="CX13" s="45" t="n">
        <f aca="false">IF(Tasks[[#This Row],[_Res2Work]]=0,0,Tasks[[#This Row],[_Res2Work]]*IFERROR(INDEX(res_Rate,MATCH(Tasks[[#This Row],[_Res2]],res_Name,0)),0))</f>
        <v>0</v>
      </c>
      <c r="CY13" s="45" t="n">
        <f aca="false">IF(AND(AND(Tasks[[#This Row],[_IsLeaf]]=1,Tasks[[#This Row],[_LeafTotalWork]]&gt;0),Tasks[[#This Row],[_Res2Work]]&gt;0),Tasks[[#This Row],[_Res2Work]]/(Tasks[[#This Row],[_FinishWorkday]]-Tasks[[#This Row],[_StartWorkday]]+1),0)</f>
        <v>0</v>
      </c>
      <c r="CZ13" s="45" t="n">
        <f aca="false">Tasks[[#This Row],[_Res2WorkPerWD]]*MAX(0,Tasks[[#This Row],[_StartWorkday]]-1)</f>
        <v>0</v>
      </c>
      <c r="DA13" s="45" t="n">
        <f aca="false">Tasks[[#This Row],[_Res2Work]]*Tasks[[#This Row],[_LeafProgress]]</f>
        <v>0</v>
      </c>
      <c r="DB13" s="45" t="n">
        <f aca="false">IF(Tasks[[#This Row],[_LeafTotalCost]]=0,0,Tasks[[#This Row],[_LeafAC]]*Tasks[[#This Row],[_Res2Cost]]/Tasks[[#This Row],[_LeafTotalCost]])</f>
        <v>0</v>
      </c>
      <c r="DC1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3" s="45" t="n">
        <f aca="false">IF(OR(NOT(Tasks[[#This Row],[_IsLeaf]]=1),Tasks[[#This Row],[_Res3]]=""),0,IF(ISNA(MATCH(Tasks[[#This Row],[_Res3]],res_Name,0)),0,N(Tasks[[#This Row],[Duration]])*HoursPerDay*IF(Tasks[[#This Row],[_Res3Units]]="",DefaultUnits,Tasks[[#This Row],[_Res3Units]])))</f>
        <v>0</v>
      </c>
      <c r="DF13" s="45" t="n">
        <f aca="false">IF(Tasks[[#This Row],[_Res3Work]]=0,0,Tasks[[#This Row],[_Res3Work]]*IFERROR(INDEX(res_Rate,MATCH(Tasks[[#This Row],[_Res3]],res_Name,0)),0))</f>
        <v>0</v>
      </c>
      <c r="DG13" s="45" t="n">
        <f aca="false">IF(AND(AND(Tasks[[#This Row],[_IsLeaf]]=1,Tasks[[#This Row],[_LeafTotalWork]]&gt;0),Tasks[[#This Row],[_Res3Work]]&gt;0),Tasks[[#This Row],[_Res3Work]]/(Tasks[[#This Row],[_FinishWorkday]]-Tasks[[#This Row],[_StartWorkday]]+1),0)</f>
        <v>0</v>
      </c>
      <c r="DH13" s="45" t="n">
        <f aca="false">Tasks[[#This Row],[_Res3WorkPerWD]]*MAX(0,Tasks[[#This Row],[_StartWorkday]]-1)</f>
        <v>0</v>
      </c>
      <c r="DI13" s="45" t="n">
        <f aca="false">Tasks[[#This Row],[_Res3Work]]*Tasks[[#This Row],[_LeafProgress]]</f>
        <v>0</v>
      </c>
      <c r="DJ13" s="45" t="n">
        <f aca="false">IF(Tasks[[#This Row],[_LeafTotalCost]]=0,0,Tasks[[#This Row],[_LeafAC]]*Tasks[[#This Row],[_Res3Cost]]/Tasks[[#This Row],[_LeafTotalCost]])</f>
        <v>0</v>
      </c>
      <c r="DK1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3" s="45" t="n">
        <f aca="false">IF(OR(NOT(Tasks[[#This Row],[_IsLeaf]]=1),Tasks[[#This Row],[_Res4]]=""),0,IF(ISNA(MATCH(Tasks[[#This Row],[_Res4]],res_Name,0)),0,N(Tasks[[#This Row],[Duration]])*HoursPerDay*IF(Tasks[[#This Row],[_Res4Units]]="",DefaultUnits,Tasks[[#This Row],[_Res4Units]])))</f>
        <v>0</v>
      </c>
      <c r="DN13" s="45" t="n">
        <f aca="false">IF(Tasks[[#This Row],[_Res4Work]]=0,0,Tasks[[#This Row],[_Res4Work]]*IFERROR(INDEX(res_Rate,MATCH(Tasks[[#This Row],[_Res4]],res_Name,0)),0))</f>
        <v>0</v>
      </c>
      <c r="DO13" s="45" t="n">
        <f aca="false">IF(AND(AND(Tasks[[#This Row],[_IsLeaf]]=1,Tasks[[#This Row],[_LeafTotalWork]]&gt;0),Tasks[[#This Row],[_Res4Work]]&gt;0),Tasks[[#This Row],[_Res4Work]]/(Tasks[[#This Row],[_FinishWorkday]]-Tasks[[#This Row],[_StartWorkday]]+1),0)</f>
        <v>0</v>
      </c>
      <c r="DP13" s="45" t="n">
        <f aca="false">Tasks[[#This Row],[_Res4WorkPerWD]]*MAX(0,Tasks[[#This Row],[_StartWorkday]]-1)</f>
        <v>0</v>
      </c>
      <c r="DQ13" s="45" t="n">
        <f aca="false">Tasks[[#This Row],[_Res4Work]]*Tasks[[#This Row],[_LeafProgress]]</f>
        <v>0</v>
      </c>
      <c r="DR13" s="45" t="n">
        <f aca="false">IF(Tasks[[#This Row],[_LeafTotalCost]]=0,0,Tasks[[#This Row],[_LeafAC]]*Tasks[[#This Row],[_Res4Cost]]/Tasks[[#This Row],[_LeafTotalCost]])</f>
        <v>0</v>
      </c>
      <c r="DS13" s="76" t="n">
        <f aca="false">IF(ISNUMBER(Tasks[[#This Row],[% Complete]]),Tasks[[#This Row],[% Complete]],IF(Tasks[[#This Row],[Stage]]="",0,IFERROR(INDEX(stg_Pct,MATCH(Tasks[[#This Row],[Stage]],stg_Name,0)),0)))</f>
        <v>1</v>
      </c>
      <c r="DT13" s="45" t="n">
        <f aca="false">IF(NOT(Tasks[[#This Row],[_IsLeaf]]=1),0,IF(N(Tasks[[#This Row],[Actual Finish]])&gt;0,1,MIN(1,Tasks[[#This Row],[_Pct]])))</f>
        <v>1</v>
      </c>
      <c r="DU13" s="45" t="n">
        <f aca="false">IF(OR(NOT(Tasks[[#This Row],[_IsLeaf]]=1),Tasks[[#This Row],[_Resource1]]=""),0,IF(ISNA(MATCH(Tasks[[#This Row],[_Resource1]],res_Name,0)),0,N(Tasks[[#This Row],[Duration]])*HoursPerDay*IF(Tasks[[#This Row],[_Units1]]="",DefaultUnits,Tasks[[#This Row],[_Units1]])))</f>
        <v>48</v>
      </c>
      <c r="DV13" s="45" t="n">
        <f aca="false">IF(Tasks[[#This Row],[_LeafWork]]=0,0,Tasks[[#This Row],[_LeafWork]]*IFERROR(INDEX(res_Rate,MATCH(Tasks[[#This Row],[_Resource1]],res_Name,0)),0))</f>
        <v>3600</v>
      </c>
      <c r="DW13" s="45" t="n">
        <f aca="false">Tasks[[#This Row],[_LeafWork]]+Tasks[[#This Row],[_Res2Work]]+Tasks[[#This Row],[_Res3Work]]+Tasks[[#This Row],[_Res4Work]]</f>
        <v>48</v>
      </c>
      <c r="DX13" s="45" t="n">
        <f aca="false">Tasks[[#This Row],[_LeafCost]]+Tasks[[#This Row],[_Res2Cost]]+Tasks[[#This Row],[_Res3Cost]]+Tasks[[#This Row],[_Res4Cost]]</f>
        <v>3600</v>
      </c>
      <c r="DY13" s="45" t="n">
        <f aca="false">IF(Tasks[[#This Row],[_LeafTotalCost]]=0,Tasks[[#This Row],[_LeafAC]],Tasks[[#This Row],[_LeafAC]]*Tasks[[#This Row],[_LeafCost]]/Tasks[[#This Row],[_LeafTotalCost]])</f>
        <v>3600</v>
      </c>
      <c r="DZ13"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2912170</v>
      </c>
      <c r="EA1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3"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1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3" s="45" t="n">
        <f aca="false">IF(NOT(Tasks[[#This Row],[_IsLeaf]]=1),0,MAX(_xlfn.MAXIFS(Tasks[_Row],Tasks[_Pred1UID],Tasks[[#This Row],[UID]]),_xlfn.MAXIFS(Tasks[_Row],Tasks[_Pred2UID],Tasks[[#This Row],[UID]]),_xlfn.MAXIFS(Tasks[_Row],Tasks[_Pred3UID],Tasks[[#This Row],[UID]]),_xlfn.MAXIFS(Tasks[_Row],Tasks[_Pred4UID],Tasks[[#This Row],[UID]])))</f>
        <v>9</v>
      </c>
      <c r="EI13"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46303</v>
      </c>
      <c r="EJ13"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EK13" s="74" t="n">
        <f aca="false">IF(NOT(Tasks[[#This Row],[_IsLeaf]]=1),"",IF(N(Tasks[[#This Row],[Duration]])&lt;=0,Tasks[[#This Row],[_LeafLateFinish]],WORKDAY.INTL(Tasks[[#This Row],[_LeafLateFinish]],-(Tasks[[#This Row],[Duration]]-1),WorkWeek,Holidays)))</f>
        <v>46296</v>
      </c>
      <c r="EL13"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EM13" s="73" t="b">
        <f aca="false">AND(Tasks[[#This Row],[_IsLeaf]]=1,Tasks[[#This Row],[_LeafProgress]]&lt;1,N(Tasks[[#This Row],[_LeafTotalSlack]])&lt;=CriticalSlackDays)</f>
        <v>0</v>
      </c>
      <c r="EN13" s="45" t="n">
        <f aca="false">IF(AND(Tasks[[#This Row],[_IsLeaf]]=1,Tasks[[#This Row],[_ConstraintCode]]=1,Tasks[[#This Row],[Mode]]&lt;&gt;"Manual",N(Tasks[[#This Row],[Actual Start]])=0),MAX(0,N(Tasks[[#This Row],[Free Slack]])),0)</f>
        <v>0</v>
      </c>
      <c r="EO13" s="74" t="n">
        <f aca="false">IF(NOT(Tasks[[#This Row],[_IsLeaf]]=1),"",IF(Tasks[[#This Row],[_AlapShift]]=0,Tasks[[#This Row],[_LeafCalcStart]],WORKDAY.INTL(Tasks[[#This Row],[_LeafCalcStart]],Tasks[[#This Row],[_AlapShift]],WorkWeek,Holidays)))</f>
        <v>46289</v>
      </c>
      <c r="EP13" s="74" t="n">
        <f aca="false">IF(NOT(Tasks[[#This Row],[_IsLeaf]]=1),"",IF(Tasks[[#This Row],[_AlapShift]]=0,Tasks[[#This Row],[_LeafCalcFinish]],WORKDAY.INTL(Tasks[[#This Row],[_LeafCalcFinish]],Tasks[[#This Row],[_AlapShift]],WorkWeek,Holidays)))</f>
        <v>46296</v>
      </c>
      <c r="EQ13" s="74" t="n">
        <f aca="false">IF(NOT(Tasks[[#This Row],[_IsLeaf]]=1),"",IF(Tasks[[#This Row],[_AlapShift]]=0,Tasks[[#This Row],[_LeafFcstStart]],WORKDAY.INTL(Tasks[[#This Row],[_LeafFcstStart]],Tasks[[#This Row],[_AlapShift]],WorkWeek,Holidays)))</f>
        <v>46293</v>
      </c>
      <c r="ER13" s="74" t="n">
        <f aca="false">IF(NOT(Tasks[[#This Row],[_IsLeaf]]=1),"",IF(Tasks[[#This Row],[_AlapShift]]=0,Tasks[[#This Row],[_LeafFcstFinish]],WORKDAY.INTL(Tasks[[#This Row],[_LeafFcstFinish]],Tasks[[#This Row],[_AlapShift]],WorkWeek,Holidays)))</f>
        <v>46301</v>
      </c>
      <c r="ES13" s="74" t="n">
        <f aca="false">IF(Tasks[[#This Row],[Task Name]]="","",IF(Tasks[[#This Row],[_IsSummary]],MIN(INDEX(Tasks[_ShownCalcStart],Tasks[[#This Row],[_Row]]+1):INDEX(Tasks[_ShownCalcStart],Tasks[[#This Row],[_Row]]+Tasks[[#This Row],[_Descendants]])),Tasks[[#This Row],[_ShownCalcStart]]))</f>
        <v>46289</v>
      </c>
      <c r="ET13" s="74" t="n">
        <f aca="false">IF(Tasks[[#This Row],[Task Name]]="","",IF(Tasks[[#This Row],[_IsSummary]],MAX(INDEX(Tasks[_ShownCalcFinish],Tasks[[#This Row],[_Row]]+1):INDEX(Tasks[_ShownCalcFinish],Tasks[[#This Row],[_Row]]+Tasks[[#This Row],[_Descendants]])),Tasks[[#This Row],[_ShownCalcFinish]]))</f>
        <v>46296</v>
      </c>
      <c r="EU1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46289</v>
      </c>
      <c r="EZ1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46293</v>
      </c>
      <c r="FD1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3" s="45" t="n">
        <f aca="false">IF(AND(Tasks[[#This Row],[_IsLeaf]]=1,Tasks[[#This Row],[_LeafTotalWork]]&gt;0),NETWORKDAYS.INTL(ProjectStart,Tasks[[#This Row],[_ShownFcstStart]],WorkWeek,Holidays),0)</f>
        <v>16</v>
      </c>
      <c r="FH13" s="45" t="n">
        <f aca="false">IF(AND(Tasks[[#This Row],[_IsLeaf]]=1,Tasks[[#This Row],[_LeafTotalWork]]&gt;0),MAX(Tasks[[#This Row],[_StartWorkday]],NETWORKDAYS.INTL(ProjectStart,Tasks[[#This Row],[_ShownFcstFinish]],WorkWeek,Holidays)),0)</f>
        <v>22</v>
      </c>
      <c r="FI13" s="45" t="n">
        <f aca="false">IF(AND(Tasks[[#This Row],[_IsLeaf]]=1,Tasks[[#This Row],[_LeafTotalWork]]&gt;0),Tasks[[#This Row],[_LeafWork]]/(Tasks[[#This Row],[_FinishWorkday]]-Tasks[[#This Row],[_StartWorkday]]+1),0)</f>
        <v>6.85714285714286</v>
      </c>
      <c r="FJ13" s="45" t="n">
        <f aca="false">Tasks[[#This Row],[_WorkPerWorkday]]*(Tasks[[#This Row],[_StartWorkday]]-1)</f>
        <v>102.857142857143</v>
      </c>
      <c r="FK13" s="45" t="n">
        <f aca="false">IF(Tasks[[#This Row],[_IsLeaf]]=1,MAX(N(Tasks[[#This Row],[Duration]]),0.1),0)</f>
        <v>6</v>
      </c>
      <c r="FL13" s="45" t="n">
        <f aca="false">Tasks[[#This Row],[_WeightDur]]*Tasks[[#This Row],[_LeafProgress]]</f>
        <v>6</v>
      </c>
      <c r="FM1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v>
      </c>
      <c r="FN13" s="45" t="str">
        <f aca="false">IF(AND(Tasks[[#This Row],[_IsLeaf]]=1,N(Tasks[[#This Row],[Duration]])=0,Tasks[[#This Row],[_LeafProgress]]&lt;1),Tasks[[#This Row],[_ShownFcstFinish]]+Tasks[[#This Row],[_Row]]/100000,"")</f>
        <v/>
      </c>
      <c r="FO1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P13" s="45" t="n">
        <f aca="false">IF(NOT(Tasks[[#This Row],[_IsLeaf]]=1),0,IF(Tasks[[#This Row],[Baseline Cost]]="",Tasks[[#This Row],[_LeafTotalCost]],N(Tasks[[#This Row],[Baseline Cost]])))</f>
        <v>3600</v>
      </c>
      <c r="FQ13" s="45" t="n">
        <f aca="false">Tasks[[#This Row],[_LeafBudget]]*Tasks[[#This Row],[_PlannedPct]]</f>
        <v>3600</v>
      </c>
      <c r="FR13" s="45" t="n">
        <f aca="false">Tasks[[#This Row],[_LeafBudget]]*Tasks[[#This Row],[_LeafProgress]]</f>
        <v>3600</v>
      </c>
      <c r="FS13" s="45" t="n">
        <f aca="false">IF(NOT(Tasks[[#This Row],[_IsLeaf]]=1),0,IF(Tasks[[#This Row],[Actual Cost]]="",Tasks[[#This Row],[_LeafTotalCost]]*Tasks[[#This Row],[_LeafProgress]],N(Tasks[[#This Row],[Actual Cost]])))</f>
        <v>3600</v>
      </c>
      <c r="FT13" s="45" t="str">
        <f aca="false">IF(Tasks[[#This Row],[Task Name]]="","",LEFT(Tasks[[#This Row],[WBS]],FIND(".",Tasks[[#This Row],[WBS]]&amp;".")-1))</f>
        <v>2</v>
      </c>
      <c r="FU13" s="45" t="str">
        <f aca="false">IF(AND(Tasks[[#This Row],[Task Name]]&lt;&gt;"",Tasks[[#This Row],[_Level]]=1),Tasks[[#This Row],[_Row]],"")</f>
        <v/>
      </c>
      <c r="FV13" s="45" t="str">
        <f aca="false">IF(AND(Tasks[[#This Row],[_IsLeaf]]=1,N(Tasks[[#This Row],[Duration]])=0),Tasks[[#This Row],[Planned Finish]]+Tasks[[#This Row],[_Row]]/100000,"")</f>
        <v/>
      </c>
      <c r="FW13" s="45" t="str">
        <f aca="false">IF(AND(Tasks[[#This Row],[_IsLeaf]]=1,Tasks[[#This Row],[_LeafProgress]]&lt;1,OR(N(Tasks[[#This Row],[Finish Var]])&gt;0,Tasks[[#This Row],[Status]]="Late Start")),MAX(0,Tasks[[#This Row],[Finish Var]])+1-Tasks[[#This Row],[_Row]]/1000000,"")</f>
        <v/>
      </c>
      <c r="FX13" s="45" t="str">
        <f aca="false">IF(AND(Tasks[[#This Row],[_IsLeaf]]=1,N(Tasks[[#This Row],[Actual Start]])=0,Tasks[[#This Row],[_ShownFcstStart]]&gt;=StatusDate,Tasks[[#This Row],[_ShownFcstStart]]&lt;=LookaheadEnd),Tasks[[#This Row],[_ShownFcstStart]]+Tasks[[#This Row],[_Row]]/100000,"")</f>
        <v/>
      </c>
      <c r="FY13" s="45" t="str">
        <f aca="false">IF(AND(Tasks[[#This Row],[_IsLeaf]]=1,Tasks[[#This Row],[_LeafProgress]]&lt;1,Tasks[[#This Row],[_ShownFcstFinish]]&gt;=StatusDate,Tasks[[#This Row],[_ShownFcstFinish]]&lt;=LookaheadEnd),Tasks[[#This Row],[_ShownFcstFinish]]+Tasks[[#This Row],[_Row]]/100000,"")</f>
        <v/>
      </c>
      <c r="FZ13" s="45" t="str">
        <f aca="false">IF(Tasks[[#This Row],[_LeafCritical]],Tasks[[#This Row],[_ShownFcstStart]]+Tasks[[#This Row],[_Row]]/100000,"")</f>
        <v/>
      </c>
      <c r="GA13" s="45" t="n">
        <f aca="false">Tasks[[#This Row],[_LeafWork]]*Tasks[[#This Row],[_LeafProgress]]</f>
        <v>48</v>
      </c>
      <c r="GB13" s="74" t="n">
        <f aca="false">IF(AND(Tasks[[#This Row],[_IsLeaf]]=1,Tasks[[#This Row],[_LeafProgress]]&gt;=1),IF(N(Tasks[[#This Row],[Actual Finish]])&gt;0,Tasks[[#This Row],[Actual Finish]],Tasks[[#This Row],[_ShownFcstFinish]]),"")</f>
        <v>46301</v>
      </c>
    </row>
    <row r="14" customFormat="false" ht="15" hidden="false" customHeight="false" outlineLevel="1" collapsed="false">
      <c r="A14" s="67" t="n">
        <f aca="false">IF(Tasks[[#This Row],[Task Name]]="","",COUNTA(Tasks[[#Headers],[Task Name]]:Tasks[[#This Row],[Task Name]])-1)</f>
        <v>9</v>
      </c>
      <c r="B14" s="21" t="n">
        <v>9</v>
      </c>
      <c r="C1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2.4</v>
      </c>
      <c r="D14" s="21" t="n">
        <v>2</v>
      </c>
      <c r="E14" s="75" t="s">
        <v>519</v>
      </c>
      <c r="F14" s="21" t="n">
        <v>0</v>
      </c>
      <c r="G14" s="22" t="s">
        <v>520</v>
      </c>
      <c r="H14" s="22"/>
      <c r="I14" s="22" t="s">
        <v>125</v>
      </c>
      <c r="J14" s="7" t="n">
        <v>46301</v>
      </c>
      <c r="K14" s="7" t="n">
        <v>46301</v>
      </c>
      <c r="L14" s="22" t="s">
        <v>521</v>
      </c>
      <c r="M14" s="58" t="n">
        <f aca="false">IF(Tasks[[#This Row],[Task Name]]="","",IF(Tasks[[#This Row],[_IsSummary]],MIN(INDEX(Tasks[_ShownFcstStart],Tasks[[#This Row],[_Row]]+1):INDEX(Tasks[_ShownFcstStart],Tasks[[#This Row],[_Row]]+Tasks[[#This Row],[_Descendants]])),Tasks[[#This Row],[_ShownFcstStart]]))</f>
        <v>46301</v>
      </c>
      <c r="N14" s="58" t="n">
        <f aca="false">IF(Tasks[[#This Row],[Task Name]]="","",IF(Tasks[[#This Row],[_IsSummary]],MAX(INDEX(Tasks[_ShownFcstFinish],Tasks[[#This Row],[_Row]]+1):INDEX(Tasks[_ShownFcstFinish],Tasks[[#This Row],[_Row]]+Tasks[[#This Row],[_Descendants]])),Tasks[[#This Row],[_ShownFcstFinish]]))</f>
        <v>46301</v>
      </c>
      <c r="O14" s="20" t="str">
        <f aca="false">IF(Tasks[[#This Row],[Task Name]]="","",IF(Tasks[[#This Row],[Progress]]&gt;=1,"Complete",IF(OR(N(Tasks[[#This Row],[Actual Start]])&gt;0,Tasks[[#This Row],[Progress]]&gt;0),IF(Tasks[[#This Row],[Finish Var]]&gt;0,"Behind","In Progress"),IF(Tasks[[#This Row],[Planned Start]]&lt;StatusDate,"Late Start","Not Started"))))</f>
        <v>Complete</v>
      </c>
      <c r="P14" s="20" t="str">
        <f aca="false">IF(Tasks[[#This Row],[Task Name]]="","",IF(IF(Tasks[[#This Row],[_IsSummary]],COUNTIF(INDEX(Tasks[_LeafCritical],Tasks[[#This Row],[_Row]]+1):INDEX(Tasks[_LeafCritical],Tasks[[#This Row],[_Row]]+Tasks[[#This Row],[_Descendants]]),TRUE())&gt;0,Tasks[[#This Row],[_LeafCritical]]),"Yes",""))</f>
        <v/>
      </c>
      <c r="Q1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4" s="67" t="str">
        <f aca="false">IF(Tasks[[#This Row],[Task Name]]="","",IF(Tasks[[#This Row],[_Level]]&lt;=OutlineShowLevel,"Yes","No"))</f>
        <v>Yes</v>
      </c>
      <c r="S14" s="7"/>
      <c r="T14" s="21" t="s">
        <v>195</v>
      </c>
      <c r="U14" s="22"/>
      <c r="V14" s="7"/>
      <c r="W14" s="67" t="n">
        <f aca="false">IF(Tasks[[#This Row],[Task Name]]="","",IF(Tasks[[#This Row],[Finish]]&gt;=Tasks[[#This Row],[Planned Finish]],NETWORKDAYS.INTL(Tasks[[#This Row],[Planned Finish]],Tasks[[#This Row],[Finish]],WorkWeek,Holidays)-1,1-NETWORKDAYS.INTL(Tasks[[#This Row],[Finish]],Tasks[[#This Row],[Planned Finish]],WorkWeek,Holidays)))</f>
        <v>3</v>
      </c>
      <c r="X14" s="58" t="n">
        <f aca="false">IF(Tasks[[#This Row],[Task Name]]="","",IF(N(Tasks[[#This Row],[Baseline Start]])&gt;0,Tasks[[#This Row],[Baseline Start]],Tasks[[#This Row],[_CalcStart]]))</f>
        <v>46296</v>
      </c>
      <c r="Y14" s="58" t="n">
        <f aca="false">IF(Tasks[[#This Row],[Task Name]]="","",IF(N(Tasks[[#This Row],[Baseline Finish]])&gt;0,Tasks[[#This Row],[Baseline Finish]],Tasks[[#This Row],[_CalcFinish]]))</f>
        <v>46296</v>
      </c>
      <c r="Z14" s="67" t="n">
        <f aca="false">IF(Tasks[[#This Row],[Task Name]]="","",IF(Tasks[[#This Row],[Start]]&gt;=Tasks[[#This Row],[Planned Start]],NETWORKDAYS.INTL(Tasks[[#This Row],[Planned Start]],Tasks[[#This Row],[Start]],WorkWeek,Holidays)-1,1-NETWORKDAYS.INTL(Tasks[[#This Row],[Start]],Tasks[[#This Row],[Planned Start]],WorkWeek,Holidays)))</f>
        <v>3</v>
      </c>
      <c r="AA14" s="58" t="n">
        <f aca="false">IF(Tasks[[#This Row],[Task Name]]="","",IF(Tasks[[#This Row],[_IsSummary]],MIN(INDEX(Tasks[_LeafLateStart],Tasks[[#This Row],[_Row]]+1):INDEX(Tasks[_LeafLateStart],Tasks[[#This Row],[_Row]]+Tasks[[#This Row],[_Descendants]])),Tasks[[#This Row],[_LeafLateStart]]))</f>
        <v>46303</v>
      </c>
      <c r="AB14" s="58" t="n">
        <f aca="false">IF(Tasks[[#This Row],[Task Name]]="","",IF(Tasks[[#This Row],[_IsSummary]],MAX(INDEX(Tasks[_LeafLateFinish],Tasks[[#This Row],[_Row]]+1):INDEX(Tasks[_LeafLateFinish],Tasks[[#This Row],[_Row]]+Tasks[[#This Row],[_Descendants]])),Tasks[[#This Row],[_LeafLateFinish]]))</f>
        <v>46303</v>
      </c>
      <c r="AC14" s="67" t="n">
        <f aca="false">IF(Tasks[[#This Row],[Task Name]]="","",IF(Tasks[[#This Row],[_IsSummary]],MIN(INDEX(Tasks[_LeafTotalSlack],Tasks[[#This Row],[_Row]]+1):INDEX(Tasks[_LeafTotalSlack],Tasks[[#This Row],[_Row]]+Tasks[[#This Row],[_Descendants]])),Tasks[[#This Row],[_LeafTotalSlack]]))</f>
        <v>2</v>
      </c>
      <c r="AD14"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1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4" s="60"/>
      <c r="AH14"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I1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7,8</v>
      </c>
      <c r="AJ14" s="69" t="n">
        <f aca="false">IF(Tasks[[#This Row],[Task Name]]="","",IF(Tasks[[#This Row],[_IsSummary]],SUM(INDEX(Tasks[_LeafTotalWork],Tasks[[#This Row],[_Row]]+1):INDEX(Tasks[_LeafTotalWork],Tasks[[#This Row],[_Row]]+Tasks[[#This Row],[_Descendants]])),Tasks[[#This Row],[_LeafTotalWork]]))</f>
        <v>0</v>
      </c>
      <c r="AK1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4" s="70" t="n">
        <f aca="false">IF(Tasks[[#This Row],[Task Name]]="","",IF(Tasks[[#This Row],[_IsSummary]],SUM(INDEX(Tasks[_LeafTotalCost],Tasks[[#This Row],[_Row]]+1):INDEX(Tasks[_LeafTotalCost],Tasks[[#This Row],[_Row]]+Tasks[[#This Row],[_Descendants]])),Tasks[[#This Row],[_LeafTotalCost]]))</f>
        <v>0</v>
      </c>
      <c r="AM14" s="71"/>
      <c r="AN14" s="20" t="str">
        <f aca="false">IF(OR(Tasks[[#This Row],[Task Name]]="",Tasks[[#This Row],[Baseline Duration]]=""),"",Tasks[[#This Row],[BL Source Duration]]-N(Tasks[[#This Row],[Baseline Duration]]))</f>
        <v/>
      </c>
      <c r="AO14" s="69" t="str">
        <f aca="false">IF(OR(Tasks[[#This Row],[Task Name]]="",Tasks[[#This Row],[Baseline Work]]=""),"",Tasks[[#This Row],[Work]]-N(Tasks[[#This Row],[Baseline Work]]))</f>
        <v/>
      </c>
      <c r="AP14" s="70" t="str">
        <f aca="false">IF(OR(Tasks[[#This Row],[Task Name]]="",Tasks[[#This Row],[Baseline Cost]]=""),"",Tasks[[#This Row],[Cost]]-N(Tasks[[#This Row],[Baseline Cost]]))</f>
        <v/>
      </c>
      <c r="AQ14" s="58" t="n">
        <f aca="false">IF(Tasks[[#This Row],[Task Name]]="","",Tasks[[#This Row],[Start]])</f>
        <v>46301</v>
      </c>
      <c r="AR14" s="58" t="n">
        <f aca="false">IF(Tasks[[#This Row],[Task Name]]="","",Tasks[[#This Row],[Finish]])</f>
        <v>46301</v>
      </c>
      <c r="AS14" s="67" t="n">
        <f aca="false">IF(Tasks[[#This Row],[Task Name]]="","",IF(Tasks[[#This Row],[_IsSummary]],NETWORKDAYS.INTL(Tasks[[#This Row],[Start]],Tasks[[#This Row],[Finish]],WorkWeek,Holidays),N(Tasks[[#This Row],[Duration]])))</f>
        <v>0</v>
      </c>
      <c r="AT14" s="69" t="n">
        <f aca="false">IF(Tasks[[#This Row],[Task Name]]="","",Tasks[[#This Row],[Work]])</f>
        <v>0</v>
      </c>
      <c r="AU14" s="70" t="n">
        <f aca="false">IF(Tasks[[#This Row],[Task Name]]="","",Tasks[[#This Row],[Cost]])</f>
        <v>0</v>
      </c>
      <c r="AV14" s="7"/>
      <c r="AW14" s="7"/>
      <c r="AX14" s="21"/>
      <c r="AY14" s="72"/>
      <c r="AZ14" s="71"/>
      <c r="BA14" s="70" t="n">
        <f aca="false">IF(Tasks[[#This Row],[Task Name]]="","",IF(Tasks[[#This Row],[_IsSummary]],SUM(INDEX(Tasks[_LeafEV],Tasks[[#This Row],[_Row]]+1):INDEX(Tasks[_LeafEV],Tasks[[#This Row],[_Row]]+Tasks[[#This Row],[_Descendants]])),Tasks[[#This Row],[_LeafEV]]))</f>
        <v>0</v>
      </c>
      <c r="BB14" s="70" t="n">
        <f aca="false">IF(Tasks[[#This Row],[Task Name]]="","",IF(Tasks[[#This Row],[_IsSummary]],SUM(INDEX(Tasks[_LeafBudget],Tasks[[#This Row],[_Row]]+1):INDEX(Tasks[_LeafBudget],Tasks[[#This Row],[_Row]]+Tasks[[#This Row],[_Descendants]])),Tasks[[#This Row],[_LeafBudget]]))</f>
        <v>0</v>
      </c>
      <c r="BC14" s="70" t="n">
        <f aca="false">IF(Tasks[[#This Row],[Task Name]]="","",IF(Tasks[[#This Row],[_IsSummary]],SUM(INDEX(Tasks[_LeafPV],Tasks[[#This Row],[_Row]]+1):INDEX(Tasks[_LeafPV],Tasks[[#This Row],[_Row]]+Tasks[[#This Row],[_Descendants]])),Tasks[[#This Row],[_LeafPV]]))</f>
        <v>0</v>
      </c>
      <c r="BD14" s="70" t="n">
        <f aca="false">IF(Tasks[[#This Row],[Task Name]]="","",IF(Tasks[[#This Row],[_IsSummary]],SUM(INDEX(Tasks[_LeafAC],Tasks[[#This Row],[_Row]]+1):INDEX(Tasks[_LeafAC],Tasks[[#This Row],[_Row]]+Tasks[[#This Row],[_Descendants]])),Tasks[[#This Row],[_LeafAC]]))</f>
        <v>0</v>
      </c>
      <c r="BE14" s="45" t="n">
        <f aca="false">IF(Tasks[[#This Row],[Task Name]]="","",MAX(1,N(Tasks[[#This Row],[Level]])))</f>
        <v>2</v>
      </c>
      <c r="BF14" s="45" t="n">
        <f aca="false">ROW()-ROW(Tasks[[#Headers],[ID]])</f>
        <v>9</v>
      </c>
      <c r="BG14" s="45" t="n">
        <f aca="false">IF(OR(Tasks[[#This Row],[Task Name]]="",Tasks[[#This Row],[_Level]]&lt;=1),0,IFERROR(LOOKUP(2,1/(Tasks[[#Headers],[_Level]]:Tasks[[#This Row],[_Level]]=Tasks[[#This Row],[_Level]]-1),ROW(Tasks[[#Headers],[_Level]]:Tasks[[#This Row],[_Level]])),0))</f>
        <v>10</v>
      </c>
      <c r="BH14" s="45" t="n">
        <f aca="false">IFERROR(N(INDEX(Tasks[_Level],Tasks[[#This Row],[_Row]]+1)),0)</f>
        <v>1</v>
      </c>
      <c r="BI14" s="73" t="b">
        <f aca="false">AND(Tasks[[#This Row],[Task Name]]&lt;&gt;"",Tasks[[#This Row],[_NextLevel]]&gt;Tasks[[#This Row],[_Level]])</f>
        <v>0</v>
      </c>
      <c r="BJ14" s="45" t="n">
        <f aca="false">IF(Tasks[[#This Row],[_IsSummary]],COUNTIF(Tasks[WBS],Tasks[[#This Row],[WBS]]&amp;".*"),0)</f>
        <v>0</v>
      </c>
      <c r="BK14" s="45" t="n">
        <f aca="false">IF(AND(Tasks[[#This Row],[Task Name]]&lt;&gt;"",NOT(Tasks[[#This Row],[_IsSummary]])),1,0)</f>
        <v>1</v>
      </c>
      <c r="BL14" s="45" t="n">
        <f aca="false">IF(N(Tasks[[#This Row],[_Pred1UID]])=0,0,IFERROR(MATCH(Tasks[[#This Row],[_Pred1UID]],Tasks[UID],0),-1))</f>
        <v>7</v>
      </c>
      <c r="BM14" s="45" t="n">
        <f aca="false">IF(N(Tasks[[#This Row],[_Pred2UID]])=0,0,IFERROR(MATCH(Tasks[[#This Row],[_Pred2UID]],Tasks[UID],0),-1))</f>
        <v>8</v>
      </c>
      <c r="BN14" s="45" t="n">
        <f aca="false">IF(N(Tasks[[#This Row],[_Pred3UID]])=0,0,IFERROR(MATCH(Tasks[[#This Row],[_Pred3UID]],Tasks[UID],0),-1))</f>
        <v>0</v>
      </c>
      <c r="BO14" s="45" t="n">
        <f aca="false">IF(N(Tasks[[#This Row],[_Pred4UID]])=0,0,IFERROR(MATCH(Tasks[[#This Row],[_Pred4UID]],Tasks[UID],0),-1))</f>
        <v>0</v>
      </c>
      <c r="BP14"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1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4" s="74" t="n">
        <f aca="false">IF(OR(Tasks[[#This Row],[_ConstraintCode]]=2,Tasks[[#This Row],[_ConstraintCode]]=3,Tasks[[#This Row],[_ConstraintCode]]=4,Tasks[[#This Row],[_ConstraintCode]]=6),Tasks[[#This Row],[_ConstraintStart]],0)</f>
        <v>0</v>
      </c>
      <c r="BS14" s="74" t="n">
        <f aca="false">IF(OR(Tasks[[#This Row],[_ConstraintCode]]=2,Tasks[[#This Row],[_ConstraintCode]]=3,Tasks[[#This Row],[_ConstraintCode]]=5,Tasks[[#This Row],[_ConstraintCode]]=7),Tasks[[#This Row],[_ConstraintStart]],2958465)</f>
        <v>2958465</v>
      </c>
      <c r="BT14"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BU14" s="74" t="n">
        <f aca="false">IF(NOT(Tasks[[#This Row],[_IsLeaf]]=1),"",IF(N(Tasks[[#This Row],[Duration]])&lt;=0,Tasks[[#This Row],[_LeafCalcStart]],WORKDAY.INTL(Tasks[[#This Row],[_LeafCalcStart]],Tasks[[#This Row],[Duration]]-1,WorkWeek,Holidays)))</f>
        <v>46296</v>
      </c>
      <c r="BV14"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BW14"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46301</v>
      </c>
      <c r="BX14" s="45" t="str">
        <f aca="false">IF(Tasks[[#This Row],[Predecessors]]="","",TRIM(MID(SUBSTITUTE(SUBSTITUTE(SUBSTITUTE(UPPER(Tasks[[#This Row],[Predecessors]]),";",",")," ",""),",",REPT(" ",99)),1,99)))</f>
        <v>7</v>
      </c>
      <c r="BY14" s="45" t="n">
        <f aca="false">IF(Tasks[[#This Row],[_Pred1Text]]="","",IFERROR(VALUE(LEFT(Tasks[[#This Row],[_Pred1Text]],MIN(FIND("F",Tasks[[#This Row],[_Pred1Text]]&amp;"F"),FIND("S",Tasks[[#This Row],[_Pred1Text]]&amp;"S"),FIND("+",Tasks[[#This Row],[_Pred1Text]]&amp;"+"),FIND("-",Tasks[[#This Row],[_Pred1Text]]&amp;"-"))-1)),""))</f>
        <v>7</v>
      </c>
      <c r="BZ1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14"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14" s="45" t="str">
        <f aca="false">IF(Tasks[[#This Row],[_Pred1Text]]="","",TRIM(MID(SUBSTITUTE(SUBSTITUTE(SUBSTITUTE(UPPER(Tasks[[#This Row],[Predecessors]]),";",",")," ",""),",",REPT(" ",99)),100,99)))</f>
        <v>8</v>
      </c>
      <c r="CC14" s="45" t="n">
        <f aca="false">IF(Tasks[[#This Row],[_Pred2Text]]="","",IFERROR(VALUE(LEFT(Tasks[[#This Row],[_Pred2Text]],MIN(FIND("F",Tasks[[#This Row],[_Pred2Text]]&amp;"F"),FIND("S",Tasks[[#This Row],[_Pred2Text]]&amp;"S"),FIND("+",Tasks[[#This Row],[_Pred2Text]]&amp;"+"),FIND("-",Tasks[[#This Row],[_Pred2Text]]&amp;"-"))-1)),""))</f>
        <v>8</v>
      </c>
      <c r="CD1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FS</v>
      </c>
      <c r="CE14" s="45" t="n">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0</v>
      </c>
      <c r="CF14" s="45" t="str">
        <f aca="false">IF(Tasks[[#This Row],[_Pred2Text]]="","",TRIM(MID(SUBSTITUTE(SUBSTITUTE(SUBSTITUTE(UPPER(Tasks[[#This Row],[Predecessors]]),";",",")," ",""),",",REPT(" ",99)),199,99)))</f>
        <v/>
      </c>
      <c r="CG14" s="45" t="str">
        <f aca="false">IF(Tasks[[#This Row],[_Pred3Text]]="","",IFERROR(VALUE(LEFT(Tasks[[#This Row],[_Pred3Text]],MIN(FIND("F",Tasks[[#This Row],[_Pred3Text]]&amp;"F"),FIND("S",Tasks[[#This Row],[_Pred3Text]]&amp;"S"),FIND("+",Tasks[[#This Row],[_Pred3Text]]&amp;"+"),FIND("-",Tasks[[#This Row],[_Pred3Text]]&amp;"-"))-1)),""))</f>
        <v/>
      </c>
      <c r="CH1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4" s="45" t="str">
        <f aca="false">IF(Tasks[[#This Row],[_Pred3Text]]="","",TRIM(MID(SUBSTITUTE(SUBSTITUTE(SUBSTITUTE(UPPER(Tasks[[#This Row],[Predecessors]]),";",",")," ",""),",",REPT(" ",99)),298,99)))</f>
        <v/>
      </c>
      <c r="CK14" s="45" t="str">
        <f aca="false">IF(Tasks[[#This Row],[_Pred4Text]]="","",IFERROR(VALUE(LEFT(Tasks[[#This Row],[_Pred4Text]],MIN(FIND("F",Tasks[[#This Row],[_Pred4Text]]&amp;"F"),FIND("S",Tasks[[#This Row],[_Pred4Text]]&amp;"S"),FIND("+",Tasks[[#This Row],[_Pred4Text]]&amp;"+"),FIND("-",Tasks[[#This Row],[_Pred4Text]]&amp;"-"))-1)),""))</f>
        <v/>
      </c>
      <c r="CL1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4" s="45" t="str">
        <f aca="false">IF(OR(Tasks[[#This Row],[Task Name]]="",Tasks[[#This Row],[Resources]]=""),"",TRIM(MID(SUBSTITUTE(Tasks[[#This Row],[Resources]],",",REPT(" ",99)),1,99)))</f>
        <v/>
      </c>
      <c r="CO14" s="45" t="str">
        <f aca="false">IF(Tasks[[#This Row],[_Res1Text]]="","",TRIM(MID(SUBSTITUTE(Tasks[[#This Row],[Resources]],",",REPT(" ",99)),100,99)))</f>
        <v/>
      </c>
      <c r="CP14" s="45" t="str">
        <f aca="false">IF(Tasks[[#This Row],[_Res2Text]]="","",TRIM(MID(SUBSTITUTE(Tasks[[#This Row],[Resources]],",",REPT(" ",99)),199,99)))</f>
        <v/>
      </c>
      <c r="CQ14" s="45" t="str">
        <f aca="false">IF(Tasks[[#This Row],[_Res3Text]]="","",TRIM(MID(SUBSTITUTE(Tasks[[#This Row],[Resources]],",",REPT(" ",99)),298,99)))</f>
        <v/>
      </c>
      <c r="CR1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 s="45" t="n">
        <f aca="false">IF(NOT(Tasks[[#This Row],[_IsLeaf]]=1),0,(Tasks[[#This Row],[_Resource1]]&lt;&gt;"")+(Tasks[[#This Row],[_Res2]]&lt;&gt;"")+(Tasks[[#This Row],[_Res3]]&lt;&gt;"")+(Tasks[[#This Row],[_Res4]]&lt;&gt;""))</f>
        <v>0</v>
      </c>
      <c r="CU1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 s="45" t="n">
        <f aca="false">IF(OR(NOT(Tasks[[#This Row],[_IsLeaf]]=1),Tasks[[#This Row],[_Res2]]=""),0,IF(ISNA(MATCH(Tasks[[#This Row],[_Res2]],res_Name,0)),0,N(Tasks[[#This Row],[Duration]])*HoursPerDay*IF(Tasks[[#This Row],[_Res2Units]]="",DefaultUnits,Tasks[[#This Row],[_Res2Units]])))</f>
        <v>0</v>
      </c>
      <c r="CX14" s="45" t="n">
        <f aca="false">IF(Tasks[[#This Row],[_Res2Work]]=0,0,Tasks[[#This Row],[_Res2Work]]*IFERROR(INDEX(res_Rate,MATCH(Tasks[[#This Row],[_Res2]],res_Name,0)),0))</f>
        <v>0</v>
      </c>
      <c r="CY14" s="45" t="n">
        <f aca="false">IF(AND(AND(Tasks[[#This Row],[_IsLeaf]]=1,Tasks[[#This Row],[_LeafTotalWork]]&gt;0),Tasks[[#This Row],[_Res2Work]]&gt;0),Tasks[[#This Row],[_Res2Work]]/(Tasks[[#This Row],[_FinishWorkday]]-Tasks[[#This Row],[_StartWorkday]]+1),0)</f>
        <v>0</v>
      </c>
      <c r="CZ14" s="45" t="n">
        <f aca="false">Tasks[[#This Row],[_Res2WorkPerWD]]*MAX(0,Tasks[[#This Row],[_StartWorkday]]-1)</f>
        <v>0</v>
      </c>
      <c r="DA14" s="45" t="n">
        <f aca="false">Tasks[[#This Row],[_Res2Work]]*Tasks[[#This Row],[_LeafProgress]]</f>
        <v>0</v>
      </c>
      <c r="DB14" s="45" t="n">
        <f aca="false">IF(Tasks[[#This Row],[_LeafTotalCost]]=0,0,Tasks[[#This Row],[_LeafAC]]*Tasks[[#This Row],[_Res2Cost]]/Tasks[[#This Row],[_LeafTotalCost]])</f>
        <v>0</v>
      </c>
      <c r="DC1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4" s="45" t="n">
        <f aca="false">IF(OR(NOT(Tasks[[#This Row],[_IsLeaf]]=1),Tasks[[#This Row],[_Res3]]=""),0,IF(ISNA(MATCH(Tasks[[#This Row],[_Res3]],res_Name,0)),0,N(Tasks[[#This Row],[Duration]])*HoursPerDay*IF(Tasks[[#This Row],[_Res3Units]]="",DefaultUnits,Tasks[[#This Row],[_Res3Units]])))</f>
        <v>0</v>
      </c>
      <c r="DF14" s="45" t="n">
        <f aca="false">IF(Tasks[[#This Row],[_Res3Work]]=0,0,Tasks[[#This Row],[_Res3Work]]*IFERROR(INDEX(res_Rate,MATCH(Tasks[[#This Row],[_Res3]],res_Name,0)),0))</f>
        <v>0</v>
      </c>
      <c r="DG14" s="45" t="n">
        <f aca="false">IF(AND(AND(Tasks[[#This Row],[_IsLeaf]]=1,Tasks[[#This Row],[_LeafTotalWork]]&gt;0),Tasks[[#This Row],[_Res3Work]]&gt;0),Tasks[[#This Row],[_Res3Work]]/(Tasks[[#This Row],[_FinishWorkday]]-Tasks[[#This Row],[_StartWorkday]]+1),0)</f>
        <v>0</v>
      </c>
      <c r="DH14" s="45" t="n">
        <f aca="false">Tasks[[#This Row],[_Res3WorkPerWD]]*MAX(0,Tasks[[#This Row],[_StartWorkday]]-1)</f>
        <v>0</v>
      </c>
      <c r="DI14" s="45" t="n">
        <f aca="false">Tasks[[#This Row],[_Res3Work]]*Tasks[[#This Row],[_LeafProgress]]</f>
        <v>0</v>
      </c>
      <c r="DJ14" s="45" t="n">
        <f aca="false">IF(Tasks[[#This Row],[_LeafTotalCost]]=0,0,Tasks[[#This Row],[_LeafAC]]*Tasks[[#This Row],[_Res3Cost]]/Tasks[[#This Row],[_LeafTotalCost]])</f>
        <v>0</v>
      </c>
      <c r="DK1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4" s="45" t="n">
        <f aca="false">IF(OR(NOT(Tasks[[#This Row],[_IsLeaf]]=1),Tasks[[#This Row],[_Res4]]=""),0,IF(ISNA(MATCH(Tasks[[#This Row],[_Res4]],res_Name,0)),0,N(Tasks[[#This Row],[Duration]])*HoursPerDay*IF(Tasks[[#This Row],[_Res4Units]]="",DefaultUnits,Tasks[[#This Row],[_Res4Units]])))</f>
        <v>0</v>
      </c>
      <c r="DN14" s="45" t="n">
        <f aca="false">IF(Tasks[[#This Row],[_Res4Work]]=0,0,Tasks[[#This Row],[_Res4Work]]*IFERROR(INDEX(res_Rate,MATCH(Tasks[[#This Row],[_Res4]],res_Name,0)),0))</f>
        <v>0</v>
      </c>
      <c r="DO14" s="45" t="n">
        <f aca="false">IF(AND(AND(Tasks[[#This Row],[_IsLeaf]]=1,Tasks[[#This Row],[_LeafTotalWork]]&gt;0),Tasks[[#This Row],[_Res4Work]]&gt;0),Tasks[[#This Row],[_Res4Work]]/(Tasks[[#This Row],[_FinishWorkday]]-Tasks[[#This Row],[_StartWorkday]]+1),0)</f>
        <v>0</v>
      </c>
      <c r="DP14" s="45" t="n">
        <f aca="false">Tasks[[#This Row],[_Res4WorkPerWD]]*MAX(0,Tasks[[#This Row],[_StartWorkday]]-1)</f>
        <v>0</v>
      </c>
      <c r="DQ14" s="45" t="n">
        <f aca="false">Tasks[[#This Row],[_Res4Work]]*Tasks[[#This Row],[_LeafProgress]]</f>
        <v>0</v>
      </c>
      <c r="DR14" s="45" t="n">
        <f aca="false">IF(Tasks[[#This Row],[_LeafTotalCost]]=0,0,Tasks[[#This Row],[_LeafAC]]*Tasks[[#This Row],[_Res4Cost]]/Tasks[[#This Row],[_LeafTotalCost]])</f>
        <v>0</v>
      </c>
      <c r="DS14" s="76" t="n">
        <f aca="false">IF(ISNUMBER(Tasks[[#This Row],[% Complete]]),Tasks[[#This Row],[% Complete]],IF(Tasks[[#This Row],[Stage]]="",0,IFERROR(INDEX(stg_Pct,MATCH(Tasks[[#This Row],[Stage]],stg_Name,0)),0)))</f>
        <v>1</v>
      </c>
      <c r="DT14" s="45" t="n">
        <f aca="false">IF(NOT(Tasks[[#This Row],[_IsLeaf]]=1),0,IF(N(Tasks[[#This Row],[Actual Finish]])&gt;0,1,MIN(1,Tasks[[#This Row],[_Pct]])))</f>
        <v>1</v>
      </c>
      <c r="DU14" s="45" t="n">
        <f aca="false">IF(OR(NOT(Tasks[[#This Row],[_IsLeaf]]=1),Tasks[[#This Row],[_Resource1]]=""),0,IF(ISNA(MATCH(Tasks[[#This Row],[_Resource1]],res_Name,0)),0,N(Tasks[[#This Row],[Duration]])*HoursPerDay*IF(Tasks[[#This Row],[_Units1]]="",DefaultUnits,Tasks[[#This Row],[_Units1]])))</f>
        <v>0</v>
      </c>
      <c r="DV14" s="45" t="n">
        <f aca="false">IF(Tasks[[#This Row],[_LeafWork]]=0,0,Tasks[[#This Row],[_LeafWork]]*IFERROR(INDEX(res_Rate,MATCH(Tasks[[#This Row],[_Resource1]],res_Name,0)),0))</f>
        <v>0</v>
      </c>
      <c r="DW14" s="45" t="n">
        <f aca="false">Tasks[[#This Row],[_LeafWork]]+Tasks[[#This Row],[_Res2Work]]+Tasks[[#This Row],[_Res3Work]]+Tasks[[#This Row],[_Res4Work]]</f>
        <v>0</v>
      </c>
      <c r="DX14" s="45" t="n">
        <f aca="false">Tasks[[#This Row],[_LeafCost]]+Tasks[[#This Row],[_Res2Cost]]+Tasks[[#This Row],[_Res3Cost]]+Tasks[[#This Row],[_Res4Cost]]</f>
        <v>0</v>
      </c>
      <c r="DY14" s="45" t="n">
        <f aca="false">IF(Tasks[[#This Row],[_LeafTotalCost]]=0,Tasks[[#This Row],[_LeafAC]],Tasks[[#This Row],[_LeafAC]]*Tasks[[#This Row],[_LeafCost]]/Tasks[[#This Row],[_LeafTotalCost]])</f>
        <v>0</v>
      </c>
      <c r="DZ14"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2912162</v>
      </c>
      <c r="EA14" s="77" t="n">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2912162</v>
      </c>
      <c r="EB1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4"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99993</v>
      </c>
      <c r="EE14" s="45"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EF1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4" s="45" t="n">
        <f aca="false">IF(NOT(Tasks[[#This Row],[_IsLeaf]]=1),0,MAX(_xlfn.MAXIFS(Tasks[_Row],Tasks[_Pred1UID],Tasks[[#This Row],[UID]]),_xlfn.MAXIFS(Tasks[_Row],Tasks[_Pred2UID],Tasks[[#This Row],[UID]]),_xlfn.MAXIFS(Tasks[_Row],Tasks[_Pred3UID],Tasks[[#This Row],[UID]]),_xlfn.MAXIFS(Tasks[_Row],Tasks[_Pred4UID],Tasks[[#This Row],[UID]])))</f>
        <v>16</v>
      </c>
      <c r="EI14"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46303</v>
      </c>
      <c r="EJ14"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EK14" s="74" t="n">
        <f aca="false">IF(NOT(Tasks[[#This Row],[_IsLeaf]]=1),"",IF(N(Tasks[[#This Row],[Duration]])&lt;=0,Tasks[[#This Row],[_LeafLateFinish]],WORKDAY.INTL(Tasks[[#This Row],[_LeafLateFinish]],-(Tasks[[#This Row],[Duration]]-1),WorkWeek,Holidays)))</f>
        <v>46303</v>
      </c>
      <c r="EL14"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EM14" s="73" t="b">
        <f aca="false">AND(Tasks[[#This Row],[_IsLeaf]]=1,Tasks[[#This Row],[_LeafProgress]]&lt;1,N(Tasks[[#This Row],[_LeafTotalSlack]])&lt;=CriticalSlackDays)</f>
        <v>0</v>
      </c>
      <c r="EN14" s="45" t="n">
        <f aca="false">IF(AND(Tasks[[#This Row],[_IsLeaf]]=1,Tasks[[#This Row],[_ConstraintCode]]=1,Tasks[[#This Row],[Mode]]&lt;&gt;"Manual",N(Tasks[[#This Row],[Actual Start]])=0),MAX(0,N(Tasks[[#This Row],[Free Slack]])),0)</f>
        <v>0</v>
      </c>
      <c r="EO14" s="74" t="n">
        <f aca="false">IF(NOT(Tasks[[#This Row],[_IsLeaf]]=1),"",IF(Tasks[[#This Row],[_AlapShift]]=0,Tasks[[#This Row],[_LeafCalcStart]],WORKDAY.INTL(Tasks[[#This Row],[_LeafCalcStart]],Tasks[[#This Row],[_AlapShift]],WorkWeek,Holidays)))</f>
        <v>46296</v>
      </c>
      <c r="EP14" s="74" t="n">
        <f aca="false">IF(NOT(Tasks[[#This Row],[_IsLeaf]]=1),"",IF(Tasks[[#This Row],[_AlapShift]]=0,Tasks[[#This Row],[_LeafCalcFinish]],WORKDAY.INTL(Tasks[[#This Row],[_LeafCalcFinish]],Tasks[[#This Row],[_AlapShift]],WorkWeek,Holidays)))</f>
        <v>46296</v>
      </c>
      <c r="EQ14" s="74" t="n">
        <f aca="false">IF(NOT(Tasks[[#This Row],[_IsLeaf]]=1),"",IF(Tasks[[#This Row],[_AlapShift]]=0,Tasks[[#This Row],[_LeafFcstStart]],WORKDAY.INTL(Tasks[[#This Row],[_LeafFcstStart]],Tasks[[#This Row],[_AlapShift]],WorkWeek,Holidays)))</f>
        <v>46301</v>
      </c>
      <c r="ER14" s="74" t="n">
        <f aca="false">IF(NOT(Tasks[[#This Row],[_IsLeaf]]=1),"",IF(Tasks[[#This Row],[_AlapShift]]=0,Tasks[[#This Row],[_LeafFcstFinish]],WORKDAY.INTL(Tasks[[#This Row],[_LeafFcstFinish]],Tasks[[#This Row],[_AlapShift]],WorkWeek,Holidays)))</f>
        <v>46301</v>
      </c>
      <c r="ES14" s="74" t="n">
        <f aca="false">IF(Tasks[[#This Row],[Task Name]]="","",IF(Tasks[[#This Row],[_IsSummary]],MIN(INDEX(Tasks[_ShownCalcStart],Tasks[[#This Row],[_Row]]+1):INDEX(Tasks[_ShownCalcStart],Tasks[[#This Row],[_Row]]+Tasks[[#This Row],[_Descendants]])),Tasks[[#This Row],[_ShownCalcStart]]))</f>
        <v>46296</v>
      </c>
      <c r="ET14" s="74" t="n">
        <f aca="false">IF(Tasks[[#This Row],[Task Name]]="","",IF(Tasks[[#This Row],[_IsSummary]],MAX(INDEX(Tasks[_ShownCalcFinish],Tasks[[#This Row],[_Row]]+1):INDEX(Tasks[_ShownCalcFinish],Tasks[[#This Row],[_Row]]+Tasks[[#This Row],[_Descendants]])),Tasks[[#This Row],[_ShownCalcFinish]]))</f>
        <v>46296</v>
      </c>
      <c r="EU1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46288</v>
      </c>
      <c r="EZ1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46296</v>
      </c>
      <c r="FA1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46290</v>
      </c>
      <c r="FD1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46301</v>
      </c>
      <c r="FE1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4" s="45" t="n">
        <f aca="false">IF(AND(Tasks[[#This Row],[_IsLeaf]]=1,Tasks[[#This Row],[_LeafTotalWork]]&gt;0),NETWORKDAYS.INTL(ProjectStart,Tasks[[#This Row],[_ShownFcstStart]],WorkWeek,Holidays),0)</f>
        <v>0</v>
      </c>
      <c r="FH14" s="45" t="n">
        <f aca="false">IF(AND(Tasks[[#This Row],[_IsLeaf]]=1,Tasks[[#This Row],[_LeafTotalWork]]&gt;0),MAX(Tasks[[#This Row],[_StartWorkday]],NETWORKDAYS.INTL(ProjectStart,Tasks[[#This Row],[_ShownFcstFinish]],WorkWeek,Holidays)),0)</f>
        <v>0</v>
      </c>
      <c r="FI14" s="45" t="n">
        <f aca="false">IF(AND(Tasks[[#This Row],[_IsLeaf]]=1,Tasks[[#This Row],[_LeafTotalWork]]&gt;0),Tasks[[#This Row],[_LeafWork]]/(Tasks[[#This Row],[_FinishWorkday]]-Tasks[[#This Row],[_StartWorkday]]+1),0)</f>
        <v>0</v>
      </c>
      <c r="FJ14" s="45" t="n">
        <f aca="false">Tasks[[#This Row],[_WorkPerWorkday]]*(Tasks[[#This Row],[_StartWorkday]]-1)</f>
        <v>-0</v>
      </c>
      <c r="FK14" s="45" t="n">
        <f aca="false">IF(Tasks[[#This Row],[_IsLeaf]]=1,MAX(N(Tasks[[#This Row],[Duration]]),0.1),0)</f>
        <v>0.1</v>
      </c>
      <c r="FL14" s="45" t="n">
        <f aca="false">Tasks[[#This Row],[_WeightDur]]*Tasks[[#This Row],[_LeafProgress]]</f>
        <v>0.1</v>
      </c>
      <c r="FM1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7,8</v>
      </c>
      <c r="FN14" s="45" t="str">
        <f aca="false">IF(AND(Tasks[[#This Row],[_IsLeaf]]=1,N(Tasks[[#This Row],[Duration]])=0,Tasks[[#This Row],[_LeafProgress]]&lt;1),Tasks[[#This Row],[_ShownFcstFinish]]+Tasks[[#This Row],[_Row]]/100000,"")</f>
        <v/>
      </c>
      <c r="FO1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P14" s="45" t="n">
        <f aca="false">IF(NOT(Tasks[[#This Row],[_IsLeaf]]=1),0,IF(Tasks[[#This Row],[Baseline Cost]]="",Tasks[[#This Row],[_LeafTotalCost]],N(Tasks[[#This Row],[Baseline Cost]])))</f>
        <v>0</v>
      </c>
      <c r="FQ14" s="45" t="n">
        <f aca="false">Tasks[[#This Row],[_LeafBudget]]*Tasks[[#This Row],[_PlannedPct]]</f>
        <v>0</v>
      </c>
      <c r="FR14" s="45" t="n">
        <f aca="false">Tasks[[#This Row],[_LeafBudget]]*Tasks[[#This Row],[_LeafProgress]]</f>
        <v>0</v>
      </c>
      <c r="FS14" s="45" t="n">
        <f aca="false">IF(NOT(Tasks[[#This Row],[_IsLeaf]]=1),0,IF(Tasks[[#This Row],[Actual Cost]]="",Tasks[[#This Row],[_LeafTotalCost]]*Tasks[[#This Row],[_LeafProgress]],N(Tasks[[#This Row],[Actual Cost]])))</f>
        <v>0</v>
      </c>
      <c r="FT14" s="45" t="str">
        <f aca="false">IF(Tasks[[#This Row],[Task Name]]="","",LEFT(Tasks[[#This Row],[WBS]],FIND(".",Tasks[[#This Row],[WBS]]&amp;".")-1))</f>
        <v>2</v>
      </c>
      <c r="FU14" s="45" t="str">
        <f aca="false">IF(AND(Tasks[[#This Row],[Task Name]]&lt;&gt;"",Tasks[[#This Row],[_Level]]=1),Tasks[[#This Row],[_Row]],"")</f>
        <v/>
      </c>
      <c r="FV14" s="77" t="n">
        <f aca="false">IF(AND(Tasks[[#This Row],[_IsLeaf]]=1,N(Tasks[[#This Row],[Duration]])=0),Tasks[[#This Row],[Planned Finish]]+Tasks[[#This Row],[_Row]]/100000,"")</f>
        <v>46296.00009</v>
      </c>
      <c r="FW14" s="45" t="str">
        <f aca="false">IF(AND(Tasks[[#This Row],[_IsLeaf]]=1,Tasks[[#This Row],[_LeafProgress]]&lt;1,OR(N(Tasks[[#This Row],[Finish Var]])&gt;0,Tasks[[#This Row],[Status]]="Late Start")),MAX(0,Tasks[[#This Row],[Finish Var]])+1-Tasks[[#This Row],[_Row]]/1000000,"")</f>
        <v/>
      </c>
      <c r="FX14" s="45" t="str">
        <f aca="false">IF(AND(Tasks[[#This Row],[_IsLeaf]]=1,N(Tasks[[#This Row],[Actual Start]])=0,Tasks[[#This Row],[_ShownFcstStart]]&gt;=StatusDate,Tasks[[#This Row],[_ShownFcstStart]]&lt;=LookaheadEnd),Tasks[[#This Row],[_ShownFcstStart]]+Tasks[[#This Row],[_Row]]/100000,"")</f>
        <v/>
      </c>
      <c r="FY14" s="45" t="str">
        <f aca="false">IF(AND(Tasks[[#This Row],[_IsLeaf]]=1,Tasks[[#This Row],[_LeafProgress]]&lt;1,Tasks[[#This Row],[_ShownFcstFinish]]&gt;=StatusDate,Tasks[[#This Row],[_ShownFcstFinish]]&lt;=LookaheadEnd),Tasks[[#This Row],[_ShownFcstFinish]]+Tasks[[#This Row],[_Row]]/100000,"")</f>
        <v/>
      </c>
      <c r="FZ14" s="45" t="str">
        <f aca="false">IF(Tasks[[#This Row],[_LeafCritical]],Tasks[[#This Row],[_ShownFcstStart]]+Tasks[[#This Row],[_Row]]/100000,"")</f>
        <v/>
      </c>
      <c r="GA14" s="45" t="n">
        <f aca="false">Tasks[[#This Row],[_LeafWork]]*Tasks[[#This Row],[_LeafProgress]]</f>
        <v>0</v>
      </c>
      <c r="GB14" s="74" t="n">
        <f aca="false">IF(AND(Tasks[[#This Row],[_IsLeaf]]=1,Tasks[[#This Row],[_LeafProgress]]&gt;=1),IF(N(Tasks[[#This Row],[Actual Finish]])&gt;0,Tasks[[#This Row],[Actual Finish]],Tasks[[#This Row],[_ShownFcstFinish]]),"")</f>
        <v>46301</v>
      </c>
    </row>
    <row r="15" customFormat="false" ht="15" hidden="false" customHeight="false" outlineLevel="0" collapsed="false">
      <c r="A15" s="67" t="n">
        <f aca="false">IF(Tasks[[#This Row],[Task Name]]="","",COUNTA(Tasks[[#Headers],[Task Name]]:Tasks[[#This Row],[Task Name]])-1)</f>
        <v>10</v>
      </c>
      <c r="B15" s="21" t="n">
        <v>10</v>
      </c>
      <c r="C1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D15" s="21" t="n">
        <v>1</v>
      </c>
      <c r="E15" s="22" t="s">
        <v>522</v>
      </c>
      <c r="F15" s="21"/>
      <c r="G15" s="22"/>
      <c r="H15" s="22"/>
      <c r="I15" s="22"/>
      <c r="J15" s="7"/>
      <c r="K15" s="7"/>
      <c r="L15" s="22"/>
      <c r="M15" s="58" t="n">
        <f aca="false">IF(Tasks[[#This Row],[Task Name]]="","",IF(Tasks[[#This Row],[_IsSummary]],MIN(INDEX(Tasks[_ShownFcstStart],Tasks[[#This Row],[_Row]]+1):INDEX(Tasks[_ShownFcstStart],Tasks[[#This Row],[_Row]]+Tasks[[#This Row],[_Descendants]])),Tasks[[#This Row],[_ShownFcstStart]]))</f>
        <v>46302</v>
      </c>
      <c r="N15" s="58" t="n">
        <f aca="false">IF(Tasks[[#This Row],[Task Name]]="","",IF(Tasks[[#This Row],[_IsSummary]],MAX(INDEX(Tasks[_ShownFcstFinish],Tasks[[#This Row],[_Row]]+1):INDEX(Tasks[_ShownFcstFinish],Tasks[[#This Row],[_Row]]+Tasks[[#This Row],[_Descendants]])),Tasks[[#This Row],[_ShownFcstFinish]]))</f>
        <v>46335</v>
      </c>
      <c r="O15" s="20" t="str">
        <f aca="false">IF(Tasks[[#This Row],[Task Name]]="","",IF(Tasks[[#This Row],[Progress]]&gt;=1,"Complete",IF(OR(N(Tasks[[#This Row],[Actual Start]])&gt;0,Tasks[[#This Row],[Progress]]&gt;0),IF(Tasks[[#This Row],[Finish Var]]&gt;0,"Behind","In Progress"),IF(Tasks[[#This Row],[Planned Start]]&lt;StatusDate,"Late Start","Not Started"))))</f>
        <v>Behind</v>
      </c>
      <c r="P15" s="20" t="str">
        <f aca="false">IF(Tasks[[#This Row],[Task Name]]="","",IF(IF(Tasks[[#This Row],[_IsSummary]],COUNTIF(INDEX(Tasks[_LeafCritical],Tasks[[#This Row],[_Row]]+1):INDEX(Tasks[_LeafCritical],Tasks[[#This Row],[_Row]]+Tasks[[#This Row],[_Descendants]]),TRUE())&gt;0,Tasks[[#This Row],[_LeafCritical]]),"Yes",""))</f>
        <v>Yes</v>
      </c>
      <c r="Q1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5" s="67" t="str">
        <f aca="false">IF(Tasks[[#This Row],[Task Name]]="","",IF(Tasks[[#This Row],[_Level]]&lt;=OutlineShowLevel,"Yes","No"))</f>
        <v>Yes</v>
      </c>
      <c r="S15" s="7"/>
      <c r="T15" s="21" t="s">
        <v>195</v>
      </c>
      <c r="U15" s="22"/>
      <c r="V15" s="7"/>
      <c r="W15" s="67" t="n">
        <f aca="false">IF(Tasks[[#This Row],[Task Name]]="","",IF(Tasks[[#This Row],[Finish]]&gt;=Tasks[[#This Row],[Planned Finish]],NETWORKDAYS.INTL(Tasks[[#This Row],[Planned Finish]],Tasks[[#This Row],[Finish]],WorkWeek,Holidays)-1,1-NETWORKDAYS.INTL(Tasks[[#This Row],[Finish]],Tasks[[#This Row],[Planned Finish]],WorkWeek,Holidays)))</f>
        <v>6</v>
      </c>
      <c r="X15" s="58" t="n">
        <f aca="false">IF(Tasks[[#This Row],[Task Name]]="","",IF(N(Tasks[[#This Row],[Baseline Start]])&gt;0,Tasks[[#This Row],[Baseline Start]],Tasks[[#This Row],[_CalcStart]]))</f>
        <v>46297</v>
      </c>
      <c r="Y15" s="58" t="n">
        <f aca="false">IF(Tasks[[#This Row],[Task Name]]="","",IF(N(Tasks[[#This Row],[Baseline Finish]])&gt;0,Tasks[[#This Row],[Baseline Finish]],Tasks[[#This Row],[_CalcFinish]]))</f>
        <v>46325</v>
      </c>
      <c r="Z15" s="67" t="n">
        <f aca="false">IF(Tasks[[#This Row],[Task Name]]="","",IF(Tasks[[#This Row],[Start]]&gt;=Tasks[[#This Row],[Planned Start]],NETWORKDAYS.INTL(Tasks[[#This Row],[Planned Start]],Tasks[[#This Row],[Start]],WorkWeek,Holidays)-1,1-NETWORKDAYS.INTL(Tasks[[#This Row],[Start]],Tasks[[#This Row],[Planned Start]],WorkWeek,Holidays)))</f>
        <v>3</v>
      </c>
      <c r="AA15" s="58" t="n">
        <f aca="false">IF(Tasks[[#This Row],[Task Name]]="","",IF(Tasks[[#This Row],[_IsSummary]],MIN(INDEX(Tasks[_LeafLateStart],Tasks[[#This Row],[_Row]]+1):INDEX(Tasks[_LeafLateStart],Tasks[[#This Row],[_Row]]+Tasks[[#This Row],[_Descendants]])),Tasks[[#This Row],[_LeafLateStart]]))</f>
        <v>46304</v>
      </c>
      <c r="AB15" s="58" t="n">
        <f aca="false">IF(Tasks[[#This Row],[Task Name]]="","",IF(Tasks[[#This Row],[_IsSummary]],MAX(INDEX(Tasks[_LeafLateFinish],Tasks[[#This Row],[_Row]]+1):INDEX(Tasks[_LeafLateFinish],Tasks[[#This Row],[_Row]]+Tasks[[#This Row],[_Descendants]])),Tasks[[#This Row],[_LeafLateFinish]]))</f>
        <v>46332</v>
      </c>
      <c r="AC15" s="67" t="n">
        <f aca="false">IF(Tasks[[#This Row],[Task Name]]="","",IF(Tasks[[#This Row],[_IsSummary]],MIN(INDEX(Tasks[_LeafTotalSlack],Tasks[[#This Row],[_Row]]+1):INDEX(Tasks[_LeafTotalSlack],Tasks[[#This Row],[_Row]]+Tasks[[#This Row],[_Descendants]])),Tasks[[#This Row],[_LeafTotalSlack]]))</f>
        <v>-1</v>
      </c>
      <c r="AD1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5" s="60"/>
      <c r="AH15"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0.451306413301663</v>
      </c>
      <c r="AI1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5" s="69" t="n">
        <f aca="false">IF(Tasks[[#This Row],[Task Name]]="","",IF(Tasks[[#This Row],[_IsSummary]],SUM(INDEX(Tasks[_LeafTotalWork],Tasks[[#This Row],[_Row]]+1):INDEX(Tasks[_LeafTotalWork],Tasks[[#This Row],[_Row]]+Tasks[[#This Row],[_Descendants]])),Tasks[[#This Row],[_LeafTotalWork]]))</f>
        <v>372</v>
      </c>
      <c r="AK1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5" s="70" t="n">
        <f aca="false">IF(Tasks[[#This Row],[Task Name]]="","",IF(Tasks[[#This Row],[_IsSummary]],SUM(INDEX(Tasks[_LeafTotalCost],Tasks[[#This Row],[_Row]]+1):INDEX(Tasks[_LeafTotalCost],Tasks[[#This Row],[_Row]]+Tasks[[#This Row],[_Descendants]])),Tasks[[#This Row],[_LeafTotalCost]]))</f>
        <v>30300</v>
      </c>
      <c r="AM15" s="71"/>
      <c r="AN15" s="20" t="str">
        <f aca="false">IF(OR(Tasks[[#This Row],[Task Name]]="",Tasks[[#This Row],[Baseline Duration]]=""),"",Tasks[[#This Row],[BL Source Duration]]-N(Tasks[[#This Row],[Baseline Duration]]))</f>
        <v/>
      </c>
      <c r="AO15" s="69" t="str">
        <f aca="false">IF(OR(Tasks[[#This Row],[Task Name]]="",Tasks[[#This Row],[Baseline Work]]=""),"",Tasks[[#This Row],[Work]]-N(Tasks[[#This Row],[Baseline Work]]))</f>
        <v/>
      </c>
      <c r="AP15" s="70" t="str">
        <f aca="false">IF(OR(Tasks[[#This Row],[Task Name]]="",Tasks[[#This Row],[Baseline Cost]]=""),"",Tasks[[#This Row],[Cost]]-N(Tasks[[#This Row],[Baseline Cost]]))</f>
        <v/>
      </c>
      <c r="AQ15" s="58" t="n">
        <f aca="false">IF(Tasks[[#This Row],[Task Name]]="","",Tasks[[#This Row],[Start]])</f>
        <v>46302</v>
      </c>
      <c r="AR15" s="58" t="n">
        <f aca="false">IF(Tasks[[#This Row],[Task Name]]="","",Tasks[[#This Row],[Finish]])</f>
        <v>46335</v>
      </c>
      <c r="AS15" s="67" t="n">
        <f aca="false">IF(Tasks[[#This Row],[Task Name]]="","",IF(Tasks[[#This Row],[_IsSummary]],NETWORKDAYS.INTL(Tasks[[#This Row],[Start]],Tasks[[#This Row],[Finish]],WorkWeek,Holidays),N(Tasks[[#This Row],[Duration]])))</f>
        <v>24</v>
      </c>
      <c r="AT15" s="69" t="n">
        <f aca="false">IF(Tasks[[#This Row],[Task Name]]="","",Tasks[[#This Row],[Work]])</f>
        <v>372</v>
      </c>
      <c r="AU15" s="70" t="n">
        <f aca="false">IF(Tasks[[#This Row],[Task Name]]="","",Tasks[[#This Row],[Cost]])</f>
        <v>30300</v>
      </c>
      <c r="AV15" s="7"/>
      <c r="AW15" s="7"/>
      <c r="AX15" s="21"/>
      <c r="AY15" s="72"/>
      <c r="AZ15" s="71"/>
      <c r="BA15" s="70" t="n">
        <f aca="false">IF(Tasks[[#This Row],[Task Name]]="","",IF(Tasks[[#This Row],[_IsSummary]],SUM(INDEX(Tasks[_LeafEV],Tasks[[#This Row],[_Row]]+1):INDEX(Tasks[_LeafEV],Tasks[[#This Row],[_Row]]+Tasks[[#This Row],[_Descendants]])),Tasks[[#This Row],[_LeafEV]]))</f>
        <v>13460</v>
      </c>
      <c r="BB15" s="70" t="n">
        <f aca="false">IF(Tasks[[#This Row],[Task Name]]="","",IF(Tasks[[#This Row],[_IsSummary]],SUM(INDEX(Tasks[_LeafBudget],Tasks[[#This Row],[_Row]]+1):INDEX(Tasks[_LeafBudget],Tasks[[#This Row],[_Row]]+Tasks[[#This Row],[_Descendants]])),Tasks[[#This Row],[_LeafBudget]]))</f>
        <v>30300</v>
      </c>
      <c r="BC15" s="70" t="n">
        <f aca="false">IF(Tasks[[#This Row],[Task Name]]="","",IF(Tasks[[#This Row],[_IsSummary]],SUM(INDEX(Tasks[_LeafPV],Tasks[[#This Row],[_Row]]+1):INDEX(Tasks[_LeafPV],Tasks[[#This Row],[_Row]]+Tasks[[#This Row],[_Descendants]])),Tasks[[#This Row],[_LeafPV]]))</f>
        <v>23180</v>
      </c>
      <c r="BD15" s="70" t="n">
        <f aca="false">IF(Tasks[[#This Row],[Task Name]]="","",IF(Tasks[[#This Row],[_IsSummary]],SUM(INDEX(Tasks[_LeafAC],Tasks[[#This Row],[_Row]]+1):INDEX(Tasks[_LeafAC],Tasks[[#This Row],[_Row]]+Tasks[[#This Row],[_Descendants]])),Tasks[[#This Row],[_LeafAC]]))</f>
        <v>14140</v>
      </c>
      <c r="BE15" s="45" t="n">
        <f aca="false">IF(Tasks[[#This Row],[Task Name]]="","",MAX(1,N(Tasks[[#This Row],[Level]])))</f>
        <v>1</v>
      </c>
      <c r="BF15" s="45" t="n">
        <f aca="false">ROW()-ROW(Tasks[[#Headers],[ID]])</f>
        <v>10</v>
      </c>
      <c r="BG15" s="45" t="n">
        <f aca="false">IF(OR(Tasks[[#This Row],[Task Name]]="",Tasks[[#This Row],[_Level]]&lt;=1),0,IFERROR(LOOKUP(2,1/(Tasks[[#Headers],[_Level]]:Tasks[[#This Row],[_Level]]=Tasks[[#This Row],[_Level]]-1),ROW(Tasks[[#Headers],[_Level]]:Tasks[[#This Row],[_Level]])),0))</f>
        <v>0</v>
      </c>
      <c r="BH15" s="45" t="n">
        <f aca="false">IFERROR(N(INDEX(Tasks[_Level],Tasks[[#This Row],[_Row]]+1)),0)</f>
        <v>2</v>
      </c>
      <c r="BI15" s="73" t="b">
        <f aca="false">AND(Tasks[[#This Row],[Task Name]]&lt;&gt;"",Tasks[[#This Row],[_NextLevel]]&gt;Tasks[[#This Row],[_Level]])</f>
        <v>1</v>
      </c>
      <c r="BJ15" s="45" t="n">
        <f aca="false">IF(Tasks[[#This Row],[_IsSummary]],COUNTIF(Tasks[WBS],Tasks[[#This Row],[WBS]]&amp;".*"),0)</f>
        <v>9</v>
      </c>
      <c r="BK15" s="45" t="n">
        <f aca="false">IF(AND(Tasks[[#This Row],[Task Name]]&lt;&gt;"",NOT(Tasks[[#This Row],[_IsSummary]])),1,0)</f>
        <v>0</v>
      </c>
      <c r="BL15" s="45" t="n">
        <f aca="false">IF(N(Tasks[[#This Row],[_Pred1UID]])=0,0,IFERROR(MATCH(Tasks[[#This Row],[_Pred1UID]],Tasks[UID],0),-1))</f>
        <v>0</v>
      </c>
      <c r="BM15" s="45" t="n">
        <f aca="false">IF(N(Tasks[[#This Row],[_Pred2UID]])=0,0,IFERROR(MATCH(Tasks[[#This Row],[_Pred2UID]],Tasks[UID],0),-1))</f>
        <v>0</v>
      </c>
      <c r="BN15" s="45" t="n">
        <f aca="false">IF(N(Tasks[[#This Row],[_Pred3UID]])=0,0,IFERROR(MATCH(Tasks[[#This Row],[_Pred3UID]],Tasks[UID],0),-1))</f>
        <v>0</v>
      </c>
      <c r="BO15" s="45" t="n">
        <f aca="false">IF(N(Tasks[[#This Row],[_Pred4UID]])=0,0,IFERROR(MATCH(Tasks[[#This Row],[_Pred4UID]],Tasks[UID],0),-1))</f>
        <v>0</v>
      </c>
      <c r="BP1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5" s="74" t="n">
        <f aca="false">IF(OR(Tasks[[#This Row],[_ConstraintCode]]=2,Tasks[[#This Row],[_ConstraintCode]]=3,Tasks[[#This Row],[_ConstraintCode]]=4,Tasks[[#This Row],[_ConstraintCode]]=6),Tasks[[#This Row],[_ConstraintStart]],0)</f>
        <v>0</v>
      </c>
      <c r="BS15" s="74" t="n">
        <f aca="false">IF(OR(Tasks[[#This Row],[_ConstraintCode]]=2,Tasks[[#This Row],[_ConstraintCode]]=3,Tasks[[#This Row],[_ConstraintCode]]=5,Tasks[[#This Row],[_ConstraintCode]]=7),Tasks[[#This Row],[_ConstraintStart]],2958465)</f>
        <v>2958465</v>
      </c>
      <c r="BT1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5" s="74" t="str">
        <f aca="false">IF(NOT(Tasks[[#This Row],[_IsLeaf]]=1),"",IF(N(Tasks[[#This Row],[Duration]])&lt;=0,Tasks[[#This Row],[_LeafCalcStart]],WORKDAY.INTL(Tasks[[#This Row],[_LeafCalcStart]],Tasks[[#This Row],[Duration]]-1,WorkWeek,Holidays)))</f>
        <v/>
      </c>
      <c r="BV1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5" s="45" t="str">
        <f aca="false">IF(Tasks[[#This Row],[Predecessors]]="","",TRIM(MID(SUBSTITUTE(SUBSTITUTE(SUBSTITUTE(UPPER(Tasks[[#This Row],[Predecessors]]),";",",")," ",""),",",REPT(" ",99)),1,99)))</f>
        <v/>
      </c>
      <c r="BY15" s="45" t="str">
        <f aca="false">IF(Tasks[[#This Row],[_Pred1Text]]="","",IFERROR(VALUE(LEFT(Tasks[[#This Row],[_Pred1Text]],MIN(FIND("F",Tasks[[#This Row],[_Pred1Text]]&amp;"F"),FIND("S",Tasks[[#This Row],[_Pred1Text]]&amp;"S"),FIND("+",Tasks[[#This Row],[_Pred1Text]]&amp;"+"),FIND("-",Tasks[[#This Row],[_Pred1Text]]&amp;"-"))-1)),""))</f>
        <v/>
      </c>
      <c r="BZ1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5" s="45" t="str">
        <f aca="false">IF(Tasks[[#This Row],[_Pred1Text]]="","",TRIM(MID(SUBSTITUTE(SUBSTITUTE(SUBSTITUTE(UPPER(Tasks[[#This Row],[Predecessors]]),";",",")," ",""),",",REPT(" ",99)),100,99)))</f>
        <v/>
      </c>
      <c r="CC15" s="45" t="str">
        <f aca="false">IF(Tasks[[#This Row],[_Pred2Text]]="","",IFERROR(VALUE(LEFT(Tasks[[#This Row],[_Pred2Text]],MIN(FIND("F",Tasks[[#This Row],[_Pred2Text]]&amp;"F"),FIND("S",Tasks[[#This Row],[_Pred2Text]]&amp;"S"),FIND("+",Tasks[[#This Row],[_Pred2Text]]&amp;"+"),FIND("-",Tasks[[#This Row],[_Pred2Text]]&amp;"-"))-1)),""))</f>
        <v/>
      </c>
      <c r="CD1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5" s="45" t="str">
        <f aca="false">IF(Tasks[[#This Row],[_Pred2Text]]="","",TRIM(MID(SUBSTITUTE(SUBSTITUTE(SUBSTITUTE(UPPER(Tasks[[#This Row],[Predecessors]]),";",",")," ",""),",",REPT(" ",99)),199,99)))</f>
        <v/>
      </c>
      <c r="CG15" s="45" t="str">
        <f aca="false">IF(Tasks[[#This Row],[_Pred3Text]]="","",IFERROR(VALUE(LEFT(Tasks[[#This Row],[_Pred3Text]],MIN(FIND("F",Tasks[[#This Row],[_Pred3Text]]&amp;"F"),FIND("S",Tasks[[#This Row],[_Pred3Text]]&amp;"S"),FIND("+",Tasks[[#This Row],[_Pred3Text]]&amp;"+"),FIND("-",Tasks[[#This Row],[_Pred3Text]]&amp;"-"))-1)),""))</f>
        <v/>
      </c>
      <c r="CH1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5" s="45" t="str">
        <f aca="false">IF(Tasks[[#This Row],[_Pred3Text]]="","",TRIM(MID(SUBSTITUTE(SUBSTITUTE(SUBSTITUTE(UPPER(Tasks[[#This Row],[Predecessors]]),";",",")," ",""),",",REPT(" ",99)),298,99)))</f>
        <v/>
      </c>
      <c r="CK15" s="45" t="str">
        <f aca="false">IF(Tasks[[#This Row],[_Pred4Text]]="","",IFERROR(VALUE(LEFT(Tasks[[#This Row],[_Pred4Text]],MIN(FIND("F",Tasks[[#This Row],[_Pred4Text]]&amp;"F"),FIND("S",Tasks[[#This Row],[_Pred4Text]]&amp;"S"),FIND("+",Tasks[[#This Row],[_Pred4Text]]&amp;"+"),FIND("-",Tasks[[#This Row],[_Pred4Text]]&amp;"-"))-1)),""))</f>
        <v/>
      </c>
      <c r="CL1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5" s="45" t="str">
        <f aca="false">IF(OR(Tasks[[#This Row],[Task Name]]="",Tasks[[#This Row],[Resources]]=""),"",TRIM(MID(SUBSTITUTE(Tasks[[#This Row],[Resources]],",",REPT(" ",99)),1,99)))</f>
        <v/>
      </c>
      <c r="CO15" s="45" t="str">
        <f aca="false">IF(Tasks[[#This Row],[_Res1Text]]="","",TRIM(MID(SUBSTITUTE(Tasks[[#This Row],[Resources]],",",REPT(" ",99)),100,99)))</f>
        <v/>
      </c>
      <c r="CP15" s="45" t="str">
        <f aca="false">IF(Tasks[[#This Row],[_Res2Text]]="","",TRIM(MID(SUBSTITUTE(Tasks[[#This Row],[Resources]],",",REPT(" ",99)),199,99)))</f>
        <v/>
      </c>
      <c r="CQ15" s="45" t="str">
        <f aca="false">IF(Tasks[[#This Row],[_Res3Text]]="","",TRIM(MID(SUBSTITUTE(Tasks[[#This Row],[Resources]],",",REPT(" ",99)),298,99)))</f>
        <v/>
      </c>
      <c r="CR1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 s="45" t="n">
        <f aca="false">IF(NOT(Tasks[[#This Row],[_IsLeaf]]=1),0,(Tasks[[#This Row],[_Resource1]]&lt;&gt;"")+(Tasks[[#This Row],[_Res2]]&lt;&gt;"")+(Tasks[[#This Row],[_Res3]]&lt;&gt;"")+(Tasks[[#This Row],[_Res4]]&lt;&gt;""))</f>
        <v>0</v>
      </c>
      <c r="CU1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 s="45" t="n">
        <f aca="false">IF(OR(NOT(Tasks[[#This Row],[_IsLeaf]]=1),Tasks[[#This Row],[_Res2]]=""),0,IF(ISNA(MATCH(Tasks[[#This Row],[_Res2]],res_Name,0)),0,N(Tasks[[#This Row],[Duration]])*HoursPerDay*IF(Tasks[[#This Row],[_Res2Units]]="",DefaultUnits,Tasks[[#This Row],[_Res2Units]])))</f>
        <v>0</v>
      </c>
      <c r="CX15" s="45" t="n">
        <f aca="false">IF(Tasks[[#This Row],[_Res2Work]]=0,0,Tasks[[#This Row],[_Res2Work]]*IFERROR(INDEX(res_Rate,MATCH(Tasks[[#This Row],[_Res2]],res_Name,0)),0))</f>
        <v>0</v>
      </c>
      <c r="CY15" s="45" t="n">
        <f aca="false">IF(AND(AND(Tasks[[#This Row],[_IsLeaf]]=1,Tasks[[#This Row],[_LeafTotalWork]]&gt;0),Tasks[[#This Row],[_Res2Work]]&gt;0),Tasks[[#This Row],[_Res2Work]]/(Tasks[[#This Row],[_FinishWorkday]]-Tasks[[#This Row],[_StartWorkday]]+1),0)</f>
        <v>0</v>
      </c>
      <c r="CZ15" s="45" t="n">
        <f aca="false">Tasks[[#This Row],[_Res2WorkPerWD]]*MAX(0,Tasks[[#This Row],[_StartWorkday]]-1)</f>
        <v>0</v>
      </c>
      <c r="DA15" s="45" t="n">
        <f aca="false">Tasks[[#This Row],[_Res2Work]]*Tasks[[#This Row],[_LeafProgress]]</f>
        <v>0</v>
      </c>
      <c r="DB15" s="45" t="n">
        <f aca="false">IF(Tasks[[#This Row],[_LeafTotalCost]]=0,0,Tasks[[#This Row],[_LeafAC]]*Tasks[[#This Row],[_Res2Cost]]/Tasks[[#This Row],[_LeafTotalCost]])</f>
        <v>0</v>
      </c>
      <c r="DC1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5" s="45" t="n">
        <f aca="false">IF(OR(NOT(Tasks[[#This Row],[_IsLeaf]]=1),Tasks[[#This Row],[_Res3]]=""),0,IF(ISNA(MATCH(Tasks[[#This Row],[_Res3]],res_Name,0)),0,N(Tasks[[#This Row],[Duration]])*HoursPerDay*IF(Tasks[[#This Row],[_Res3Units]]="",DefaultUnits,Tasks[[#This Row],[_Res3Units]])))</f>
        <v>0</v>
      </c>
      <c r="DF15" s="45" t="n">
        <f aca="false">IF(Tasks[[#This Row],[_Res3Work]]=0,0,Tasks[[#This Row],[_Res3Work]]*IFERROR(INDEX(res_Rate,MATCH(Tasks[[#This Row],[_Res3]],res_Name,0)),0))</f>
        <v>0</v>
      </c>
      <c r="DG15" s="45" t="n">
        <f aca="false">IF(AND(AND(Tasks[[#This Row],[_IsLeaf]]=1,Tasks[[#This Row],[_LeafTotalWork]]&gt;0),Tasks[[#This Row],[_Res3Work]]&gt;0),Tasks[[#This Row],[_Res3Work]]/(Tasks[[#This Row],[_FinishWorkday]]-Tasks[[#This Row],[_StartWorkday]]+1),0)</f>
        <v>0</v>
      </c>
      <c r="DH15" s="45" t="n">
        <f aca="false">Tasks[[#This Row],[_Res3WorkPerWD]]*MAX(0,Tasks[[#This Row],[_StartWorkday]]-1)</f>
        <v>0</v>
      </c>
      <c r="DI15" s="45" t="n">
        <f aca="false">Tasks[[#This Row],[_Res3Work]]*Tasks[[#This Row],[_LeafProgress]]</f>
        <v>0</v>
      </c>
      <c r="DJ15" s="45" t="n">
        <f aca="false">IF(Tasks[[#This Row],[_LeafTotalCost]]=0,0,Tasks[[#This Row],[_LeafAC]]*Tasks[[#This Row],[_Res3Cost]]/Tasks[[#This Row],[_LeafTotalCost]])</f>
        <v>0</v>
      </c>
      <c r="DK1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5" s="45" t="n">
        <f aca="false">IF(OR(NOT(Tasks[[#This Row],[_IsLeaf]]=1),Tasks[[#This Row],[_Res4]]=""),0,IF(ISNA(MATCH(Tasks[[#This Row],[_Res4]],res_Name,0)),0,N(Tasks[[#This Row],[Duration]])*HoursPerDay*IF(Tasks[[#This Row],[_Res4Units]]="",DefaultUnits,Tasks[[#This Row],[_Res4Units]])))</f>
        <v>0</v>
      </c>
      <c r="DN15" s="45" t="n">
        <f aca="false">IF(Tasks[[#This Row],[_Res4Work]]=0,0,Tasks[[#This Row],[_Res4Work]]*IFERROR(INDEX(res_Rate,MATCH(Tasks[[#This Row],[_Res4]],res_Name,0)),0))</f>
        <v>0</v>
      </c>
      <c r="DO15" s="45" t="n">
        <f aca="false">IF(AND(AND(Tasks[[#This Row],[_IsLeaf]]=1,Tasks[[#This Row],[_LeafTotalWork]]&gt;0),Tasks[[#This Row],[_Res4Work]]&gt;0),Tasks[[#This Row],[_Res4Work]]/(Tasks[[#This Row],[_FinishWorkday]]-Tasks[[#This Row],[_StartWorkday]]+1),0)</f>
        <v>0</v>
      </c>
      <c r="DP15" s="45" t="n">
        <f aca="false">Tasks[[#This Row],[_Res4WorkPerWD]]*MAX(0,Tasks[[#This Row],[_StartWorkday]]-1)</f>
        <v>0</v>
      </c>
      <c r="DQ15" s="45" t="n">
        <f aca="false">Tasks[[#This Row],[_Res4Work]]*Tasks[[#This Row],[_LeafProgress]]</f>
        <v>0</v>
      </c>
      <c r="DR15" s="45" t="n">
        <f aca="false">IF(Tasks[[#This Row],[_LeafTotalCost]]=0,0,Tasks[[#This Row],[_LeafAC]]*Tasks[[#This Row],[_Res4Cost]]/Tasks[[#This Row],[_LeafTotalCost]])</f>
        <v>0</v>
      </c>
      <c r="DS15" s="45" t="n">
        <f aca="false">IF(ISNUMBER(Tasks[[#This Row],[% Complete]]),Tasks[[#This Row],[% Complete]],IF(Tasks[[#This Row],[Stage]]="",0,IFERROR(INDEX(stg_Pct,MATCH(Tasks[[#This Row],[Stage]],stg_Name,0)),0)))</f>
        <v>0</v>
      </c>
      <c r="DT15" s="45" t="n">
        <f aca="false">IF(NOT(Tasks[[#This Row],[_IsLeaf]]=1),0,IF(N(Tasks[[#This Row],[Actual Finish]])&gt;0,1,MIN(1,Tasks[[#This Row],[_Pct]])))</f>
        <v>0</v>
      </c>
      <c r="DU15" s="45" t="n">
        <f aca="false">IF(OR(NOT(Tasks[[#This Row],[_IsLeaf]]=1),Tasks[[#This Row],[_Resource1]]=""),0,IF(ISNA(MATCH(Tasks[[#This Row],[_Resource1]],res_Name,0)),0,N(Tasks[[#This Row],[Duration]])*HoursPerDay*IF(Tasks[[#This Row],[_Units1]]="",DefaultUnits,Tasks[[#This Row],[_Units1]])))</f>
        <v>0</v>
      </c>
      <c r="DV15" s="45" t="n">
        <f aca="false">IF(Tasks[[#This Row],[_LeafWork]]=0,0,Tasks[[#This Row],[_LeafWork]]*IFERROR(INDEX(res_Rate,MATCH(Tasks[[#This Row],[_Resource1]],res_Name,0)),0))</f>
        <v>0</v>
      </c>
      <c r="DW15" s="45" t="n">
        <f aca="false">Tasks[[#This Row],[_LeafWork]]+Tasks[[#This Row],[_Res2Work]]+Tasks[[#This Row],[_Res3Work]]+Tasks[[#This Row],[_Res4Work]]</f>
        <v>0</v>
      </c>
      <c r="DX15" s="45" t="n">
        <f aca="false">Tasks[[#This Row],[_LeafCost]]+Tasks[[#This Row],[_Res2Cost]]+Tasks[[#This Row],[_Res3Cost]]+Tasks[[#This Row],[_Res4Cost]]</f>
        <v>0</v>
      </c>
      <c r="DY15" s="45" t="n">
        <f aca="false">IF(Tasks[[#This Row],[_LeafTotalCost]]=0,Tasks[[#This Row],[_LeafAC]],Tasks[[#This Row],[_LeafAC]]*Tasks[[#This Row],[_LeafCost]]/Tasks[[#This Row],[_LeafTotalCost]])</f>
        <v>0</v>
      </c>
      <c r="DZ1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5" s="45" t="n">
        <f aca="false">IF(NOT(Tasks[[#This Row],[_IsLeaf]]=1),0,MAX(_xlfn.MAXIFS(Tasks[_Row],Tasks[_Pred1UID],Tasks[[#This Row],[UID]]),_xlfn.MAXIFS(Tasks[_Row],Tasks[_Pred2UID],Tasks[[#This Row],[UID]]),_xlfn.MAXIFS(Tasks[_Row],Tasks[_Pred3UID],Tasks[[#This Row],[UID]]),_xlfn.MAXIFS(Tasks[_Row],Tasks[_Pred4UID],Tasks[[#This Row],[UID]])))</f>
        <v>0</v>
      </c>
      <c r="EI1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5" s="74" t="str">
        <f aca="false">IF(NOT(Tasks[[#This Row],[_IsLeaf]]=1),"",IF(N(Tasks[[#This Row],[Duration]])&lt;=0,Tasks[[#This Row],[_LeafLateFinish]],WORKDAY.INTL(Tasks[[#This Row],[_LeafLateFinish]],-(Tasks[[#This Row],[Duration]]-1),WorkWeek,Holidays)))</f>
        <v/>
      </c>
      <c r="EL1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5" s="73" t="b">
        <f aca="false">AND(Tasks[[#This Row],[_IsLeaf]]=1,Tasks[[#This Row],[_LeafProgress]]&lt;1,N(Tasks[[#This Row],[_LeafTotalSlack]])&lt;=CriticalSlackDays)</f>
        <v>0</v>
      </c>
      <c r="EN15" s="45" t="n">
        <f aca="false">IF(AND(Tasks[[#This Row],[_IsLeaf]]=1,Tasks[[#This Row],[_ConstraintCode]]=1,Tasks[[#This Row],[Mode]]&lt;&gt;"Manual",N(Tasks[[#This Row],[Actual Start]])=0),MAX(0,N(Tasks[[#This Row],[Free Slack]])),0)</f>
        <v>0</v>
      </c>
      <c r="EO15" s="74" t="str">
        <f aca="false">IF(NOT(Tasks[[#This Row],[_IsLeaf]]=1),"",IF(Tasks[[#This Row],[_AlapShift]]=0,Tasks[[#This Row],[_LeafCalcStart]],WORKDAY.INTL(Tasks[[#This Row],[_LeafCalcStart]],Tasks[[#This Row],[_AlapShift]],WorkWeek,Holidays)))</f>
        <v/>
      </c>
      <c r="EP15" s="74" t="str">
        <f aca="false">IF(NOT(Tasks[[#This Row],[_IsLeaf]]=1),"",IF(Tasks[[#This Row],[_AlapShift]]=0,Tasks[[#This Row],[_LeafCalcFinish]],WORKDAY.INTL(Tasks[[#This Row],[_LeafCalcFinish]],Tasks[[#This Row],[_AlapShift]],WorkWeek,Holidays)))</f>
        <v/>
      </c>
      <c r="EQ15" s="74" t="str">
        <f aca="false">IF(NOT(Tasks[[#This Row],[_IsLeaf]]=1),"",IF(Tasks[[#This Row],[_AlapShift]]=0,Tasks[[#This Row],[_LeafFcstStart]],WORKDAY.INTL(Tasks[[#This Row],[_LeafFcstStart]],Tasks[[#This Row],[_AlapShift]],WorkWeek,Holidays)))</f>
        <v/>
      </c>
      <c r="ER15" s="74" t="str">
        <f aca="false">IF(NOT(Tasks[[#This Row],[_IsLeaf]]=1),"",IF(Tasks[[#This Row],[_AlapShift]]=0,Tasks[[#This Row],[_LeafFcstFinish]],WORKDAY.INTL(Tasks[[#This Row],[_LeafFcstFinish]],Tasks[[#This Row],[_AlapShift]],WorkWeek,Holidays)))</f>
        <v/>
      </c>
      <c r="ES15" s="74" t="n">
        <f aca="false">IF(Tasks[[#This Row],[Task Name]]="","",IF(Tasks[[#This Row],[_IsSummary]],MIN(INDEX(Tasks[_ShownCalcStart],Tasks[[#This Row],[_Row]]+1):INDEX(Tasks[_ShownCalcStart],Tasks[[#This Row],[_Row]]+Tasks[[#This Row],[_Descendants]])),Tasks[[#This Row],[_ShownCalcStart]]))</f>
        <v>46297</v>
      </c>
      <c r="ET15" s="74" t="n">
        <f aca="false">IF(Tasks[[#This Row],[Task Name]]="","",IF(Tasks[[#This Row],[_IsSummary]],MAX(INDEX(Tasks[_ShownCalcFinish],Tasks[[#This Row],[_Row]]+1):INDEX(Tasks[_ShownCalcFinish],Tasks[[#This Row],[_Row]]+Tasks[[#This Row],[_Descendants]])),Tasks[[#This Row],[_ShownCalcFinish]]))</f>
        <v>46325</v>
      </c>
      <c r="EU1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5" s="45" t="n">
        <f aca="false">IF(AND(Tasks[[#This Row],[_IsLeaf]]=1,Tasks[[#This Row],[_LeafTotalWork]]&gt;0),NETWORKDAYS.INTL(ProjectStart,Tasks[[#This Row],[_ShownFcstStart]],WorkWeek,Holidays),0)</f>
        <v>0</v>
      </c>
      <c r="FH15" s="45" t="n">
        <f aca="false">IF(AND(Tasks[[#This Row],[_IsLeaf]]=1,Tasks[[#This Row],[_LeafTotalWork]]&gt;0),MAX(Tasks[[#This Row],[_StartWorkday]],NETWORKDAYS.INTL(ProjectStart,Tasks[[#This Row],[_ShownFcstFinish]],WorkWeek,Holidays)),0)</f>
        <v>0</v>
      </c>
      <c r="FI15" s="45" t="n">
        <f aca="false">IF(AND(Tasks[[#This Row],[_IsLeaf]]=1,Tasks[[#This Row],[_LeafTotalWork]]&gt;0),Tasks[[#This Row],[_LeafWork]]/(Tasks[[#This Row],[_FinishWorkday]]-Tasks[[#This Row],[_StartWorkday]]+1),0)</f>
        <v>0</v>
      </c>
      <c r="FJ15" s="45" t="n">
        <f aca="false">Tasks[[#This Row],[_WorkPerWorkday]]*(Tasks[[#This Row],[_StartWorkday]]-1)</f>
        <v>-0</v>
      </c>
      <c r="FK15" s="45" t="n">
        <f aca="false">IF(Tasks[[#This Row],[_IsLeaf]]=1,MAX(N(Tasks[[#This Row],[Duration]]),0.1),0)</f>
        <v>0</v>
      </c>
      <c r="FL15" s="45" t="n">
        <f aca="false">Tasks[[#This Row],[_WeightDur]]*Tasks[[#This Row],[_LeafProgress]]</f>
        <v>0</v>
      </c>
      <c r="FM1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5" s="45" t="str">
        <f aca="false">IF(AND(Tasks[[#This Row],[_IsLeaf]]=1,N(Tasks[[#This Row],[Duration]])=0,Tasks[[#This Row],[_LeafProgress]]&lt;1),Tasks[[#This Row],[_ShownFcstFinish]]+Tasks[[#This Row],[_Row]]/100000,"")</f>
        <v/>
      </c>
      <c r="FO1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5" s="45" t="n">
        <f aca="false">IF(NOT(Tasks[[#This Row],[_IsLeaf]]=1),0,IF(Tasks[[#This Row],[Baseline Cost]]="",Tasks[[#This Row],[_LeafTotalCost]],N(Tasks[[#This Row],[Baseline Cost]])))</f>
        <v>0</v>
      </c>
      <c r="FQ15" s="45" t="n">
        <f aca="false">Tasks[[#This Row],[_LeafBudget]]*Tasks[[#This Row],[_PlannedPct]]</f>
        <v>0</v>
      </c>
      <c r="FR15" s="45" t="n">
        <f aca="false">Tasks[[#This Row],[_LeafBudget]]*Tasks[[#This Row],[_LeafProgress]]</f>
        <v>0</v>
      </c>
      <c r="FS15" s="45" t="n">
        <f aca="false">IF(NOT(Tasks[[#This Row],[_IsLeaf]]=1),0,IF(Tasks[[#This Row],[Actual Cost]]="",Tasks[[#This Row],[_LeafTotalCost]]*Tasks[[#This Row],[_LeafProgress]],N(Tasks[[#This Row],[Actual Cost]])))</f>
        <v>0</v>
      </c>
      <c r="FT15" s="45" t="str">
        <f aca="false">IF(Tasks[[#This Row],[Task Name]]="","",LEFT(Tasks[[#This Row],[WBS]],FIND(".",Tasks[[#This Row],[WBS]]&amp;".")-1))</f>
        <v>3</v>
      </c>
      <c r="FU15" s="45" t="n">
        <f aca="false">IF(AND(Tasks[[#This Row],[Task Name]]&lt;&gt;"",Tasks[[#This Row],[_Level]]=1),Tasks[[#This Row],[_Row]],"")</f>
        <v>10</v>
      </c>
      <c r="FV15" s="45" t="str">
        <f aca="false">IF(AND(Tasks[[#This Row],[_IsLeaf]]=1,N(Tasks[[#This Row],[Duration]])=0),Tasks[[#This Row],[Planned Finish]]+Tasks[[#This Row],[_Row]]/100000,"")</f>
        <v/>
      </c>
      <c r="FW15" s="45" t="str">
        <f aca="false">IF(AND(Tasks[[#This Row],[_IsLeaf]]=1,Tasks[[#This Row],[_LeafProgress]]&lt;1,OR(N(Tasks[[#This Row],[Finish Var]])&gt;0,Tasks[[#This Row],[Status]]="Late Start")),MAX(0,Tasks[[#This Row],[Finish Var]])+1-Tasks[[#This Row],[_Row]]/1000000,"")</f>
        <v/>
      </c>
      <c r="FX15" s="45" t="str">
        <f aca="false">IF(AND(Tasks[[#This Row],[_IsLeaf]]=1,N(Tasks[[#This Row],[Actual Start]])=0,Tasks[[#This Row],[_ShownFcstStart]]&gt;=StatusDate,Tasks[[#This Row],[_ShownFcstStart]]&lt;=LookaheadEnd),Tasks[[#This Row],[_ShownFcstStart]]+Tasks[[#This Row],[_Row]]/100000,"")</f>
        <v/>
      </c>
      <c r="FY15" s="45" t="str">
        <f aca="false">IF(AND(Tasks[[#This Row],[_IsLeaf]]=1,Tasks[[#This Row],[_LeafProgress]]&lt;1,Tasks[[#This Row],[_ShownFcstFinish]]&gt;=StatusDate,Tasks[[#This Row],[_ShownFcstFinish]]&lt;=LookaheadEnd),Tasks[[#This Row],[_ShownFcstFinish]]+Tasks[[#This Row],[_Row]]/100000,"")</f>
        <v/>
      </c>
      <c r="FZ15" s="45" t="str">
        <f aca="false">IF(Tasks[[#This Row],[_LeafCritical]],Tasks[[#This Row],[_ShownFcstStart]]+Tasks[[#This Row],[_Row]]/100000,"")</f>
        <v/>
      </c>
      <c r="GA15" s="45" t="n">
        <f aca="false">Tasks[[#This Row],[_LeafWork]]*Tasks[[#This Row],[_LeafProgress]]</f>
        <v>0</v>
      </c>
      <c r="GB15" s="74" t="str">
        <f aca="false">IF(AND(Tasks[[#This Row],[_IsLeaf]]=1,Tasks[[#This Row],[_LeafProgress]]&gt;=1),IF(N(Tasks[[#This Row],[Actual Finish]])&gt;0,Tasks[[#This Row],[Actual Finish]],Tasks[[#This Row],[_ShownFcstFinish]]),"")</f>
        <v/>
      </c>
    </row>
    <row r="16" customFormat="false" ht="15" hidden="false" customHeight="false" outlineLevel="1" collapsed="false">
      <c r="A16" s="67" t="n">
        <f aca="false">IF(Tasks[[#This Row],[Task Name]]="","",COUNTA(Tasks[[#Headers],[Task Name]]:Tasks[[#This Row],[Task Name]])-1)</f>
        <v>11</v>
      </c>
      <c r="B16" s="21" t="n">
        <v>11</v>
      </c>
      <c r="C1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D16" s="21" t="n">
        <v>2</v>
      </c>
      <c r="E16" s="75" t="s">
        <v>523</v>
      </c>
      <c r="F16" s="21"/>
      <c r="G16" s="22"/>
      <c r="H16" s="22"/>
      <c r="I16" s="22"/>
      <c r="J16" s="7"/>
      <c r="K16" s="7"/>
      <c r="L16" s="22" t="s">
        <v>524</v>
      </c>
      <c r="M16" s="58" t="n">
        <f aca="false">IF(Tasks[[#This Row],[Task Name]]="","",IF(Tasks[[#This Row],[_IsSummary]],MIN(INDEX(Tasks[_ShownFcstStart],Tasks[[#This Row],[_Row]]+1):INDEX(Tasks[_ShownFcstStart],Tasks[[#This Row],[_Row]]+Tasks[[#This Row],[_Descendants]])),Tasks[[#This Row],[_ShownFcstStart]]))</f>
        <v>46302</v>
      </c>
      <c r="N16" s="58" t="n">
        <f aca="false">IF(Tasks[[#This Row],[Task Name]]="","",IF(Tasks[[#This Row],[_IsSummary]],MAX(INDEX(Tasks[_ShownFcstFinish],Tasks[[#This Row],[_Row]]+1):INDEX(Tasks[_ShownFcstFinish],Tasks[[#This Row],[_Row]]+Tasks[[#This Row],[_Descendants]])),Tasks[[#This Row],[_ShownFcstFinish]]))</f>
        <v>46335</v>
      </c>
      <c r="O16" s="20" t="str">
        <f aca="false">IF(Tasks[[#This Row],[Task Name]]="","",IF(Tasks[[#This Row],[Progress]]&gt;=1,"Complete",IF(OR(N(Tasks[[#This Row],[Actual Start]])&gt;0,Tasks[[#This Row],[Progress]]&gt;0),IF(Tasks[[#This Row],[Finish Var]]&gt;0,"Behind","In Progress"),IF(Tasks[[#This Row],[Planned Start]]&lt;StatusDate,"Late Start","Not Started"))))</f>
        <v>Behind</v>
      </c>
      <c r="P16" s="20" t="str">
        <f aca="false">IF(Tasks[[#This Row],[Task Name]]="","",IF(IF(Tasks[[#This Row],[_IsSummary]],COUNTIF(INDEX(Tasks[_LeafCritical],Tasks[[#This Row],[_Row]]+1):INDEX(Tasks[_LeafCritical],Tasks[[#This Row],[_Row]]+Tasks[[#This Row],[_Descendants]]),TRUE())&gt;0,Tasks[[#This Row],[_LeafCritical]]),"Yes",""))</f>
        <v>Yes</v>
      </c>
      <c r="Q1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6" s="67" t="str">
        <f aca="false">IF(Tasks[[#This Row],[Task Name]]="","",IF(Tasks[[#This Row],[_Level]]&lt;=OutlineShowLevel,"Yes","No"))</f>
        <v>Yes</v>
      </c>
      <c r="S16" s="7"/>
      <c r="T16" s="21" t="s">
        <v>195</v>
      </c>
      <c r="U16" s="22"/>
      <c r="V16" s="7"/>
      <c r="W16" s="67" t="n">
        <f aca="false">IF(Tasks[[#This Row],[Task Name]]="","",IF(Tasks[[#This Row],[Finish]]&gt;=Tasks[[#This Row],[Planned Finish]],NETWORKDAYS.INTL(Tasks[[#This Row],[Planned Finish]],Tasks[[#This Row],[Finish]],WorkWeek,Holidays)-1,1-NETWORKDAYS.INTL(Tasks[[#This Row],[Finish]],Tasks[[#This Row],[Planned Finish]],WorkWeek,Holidays)))</f>
        <v>6</v>
      </c>
      <c r="X16" s="58" t="n">
        <f aca="false">IF(Tasks[[#This Row],[Task Name]]="","",IF(N(Tasks[[#This Row],[Baseline Start]])&gt;0,Tasks[[#This Row],[Baseline Start]],Tasks[[#This Row],[_CalcStart]]))</f>
        <v>46297</v>
      </c>
      <c r="Y16" s="58" t="n">
        <f aca="false">IF(Tasks[[#This Row],[Task Name]]="","",IF(N(Tasks[[#This Row],[Baseline Finish]])&gt;0,Tasks[[#This Row],[Baseline Finish]],Tasks[[#This Row],[_CalcFinish]]))</f>
        <v>46325</v>
      </c>
      <c r="Z16" s="67" t="n">
        <f aca="false">IF(Tasks[[#This Row],[Task Name]]="","",IF(Tasks[[#This Row],[Start]]&gt;=Tasks[[#This Row],[Planned Start]],NETWORKDAYS.INTL(Tasks[[#This Row],[Planned Start]],Tasks[[#This Row],[Start]],WorkWeek,Holidays)-1,1-NETWORKDAYS.INTL(Tasks[[#This Row],[Start]],Tasks[[#This Row],[Planned Start]],WorkWeek,Holidays)))</f>
        <v>3</v>
      </c>
      <c r="AA16" s="58" t="n">
        <f aca="false">IF(Tasks[[#This Row],[Task Name]]="","",IF(Tasks[[#This Row],[_IsSummary]],MIN(INDEX(Tasks[_LeafLateStart],Tasks[[#This Row],[_Row]]+1):INDEX(Tasks[_LeafLateStart],Tasks[[#This Row],[_Row]]+Tasks[[#This Row],[_Descendants]])),Tasks[[#This Row],[_LeafLateStart]]))</f>
        <v>46304</v>
      </c>
      <c r="AB16" s="58" t="n">
        <f aca="false">IF(Tasks[[#This Row],[Task Name]]="","",IF(Tasks[[#This Row],[_IsSummary]],MAX(INDEX(Tasks[_LeafLateFinish],Tasks[[#This Row],[_Row]]+1):INDEX(Tasks[_LeafLateFinish],Tasks[[#This Row],[_Row]]+Tasks[[#This Row],[_Descendants]])),Tasks[[#This Row],[_LeafLateFinish]]))</f>
        <v>46332</v>
      </c>
      <c r="AC16" s="67" t="n">
        <f aca="false">IF(Tasks[[#This Row],[Task Name]]="","",IF(Tasks[[#This Row],[_IsSummary]],MIN(INDEX(Tasks[_LeafTotalSlack],Tasks[[#This Row],[_Row]]+1):INDEX(Tasks[_LeafTotalSlack],Tasks[[#This Row],[_Row]]+Tasks[[#This Row],[_Descendants]])),Tasks[[#This Row],[_LeafTotalSlack]]))</f>
        <v>-1</v>
      </c>
      <c r="AD1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6" s="60"/>
      <c r="AH16"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0.476190476190476</v>
      </c>
      <c r="AI1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6" s="69" t="n">
        <f aca="false">IF(Tasks[[#This Row],[Task Name]]="","",IF(Tasks[[#This Row],[_IsSummary]],SUM(INDEX(Tasks[_LeafTotalWork],Tasks[[#This Row],[_Row]]+1):INDEX(Tasks[_LeafTotalWork],Tasks[[#This Row],[_Row]]+Tasks[[#This Row],[_Descendants]])),Tasks[[#This Row],[_LeafTotalWork]]))</f>
        <v>168</v>
      </c>
      <c r="AK1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6" s="70" t="n">
        <f aca="false">IF(Tasks[[#This Row],[Task Name]]="","",IF(Tasks[[#This Row],[_IsSummary]],SUM(INDEX(Tasks[_LeafTotalCost],Tasks[[#This Row],[_Row]]+1):INDEX(Tasks[_LeafTotalCost],Tasks[[#This Row],[_Row]]+Tasks[[#This Row],[_Descendants]])),Tasks[[#This Row],[_LeafTotalCost]]))</f>
        <v>14280</v>
      </c>
      <c r="AM16" s="71"/>
      <c r="AN16" s="20" t="str">
        <f aca="false">IF(OR(Tasks[[#This Row],[Task Name]]="",Tasks[[#This Row],[Baseline Duration]]=""),"",Tasks[[#This Row],[BL Source Duration]]-N(Tasks[[#This Row],[Baseline Duration]]))</f>
        <v/>
      </c>
      <c r="AO16" s="69" t="str">
        <f aca="false">IF(OR(Tasks[[#This Row],[Task Name]]="",Tasks[[#This Row],[Baseline Work]]=""),"",Tasks[[#This Row],[Work]]-N(Tasks[[#This Row],[Baseline Work]]))</f>
        <v/>
      </c>
      <c r="AP16" s="70" t="str">
        <f aca="false">IF(OR(Tasks[[#This Row],[Task Name]]="",Tasks[[#This Row],[Baseline Cost]]=""),"",Tasks[[#This Row],[Cost]]-N(Tasks[[#This Row],[Baseline Cost]]))</f>
        <v/>
      </c>
      <c r="AQ16" s="58" t="n">
        <f aca="false">IF(Tasks[[#This Row],[Task Name]]="","",Tasks[[#This Row],[Start]])</f>
        <v>46302</v>
      </c>
      <c r="AR16" s="58" t="n">
        <f aca="false">IF(Tasks[[#This Row],[Task Name]]="","",Tasks[[#This Row],[Finish]])</f>
        <v>46335</v>
      </c>
      <c r="AS16" s="67" t="n">
        <f aca="false">IF(Tasks[[#This Row],[Task Name]]="","",IF(Tasks[[#This Row],[_IsSummary]],NETWORKDAYS.INTL(Tasks[[#This Row],[Start]],Tasks[[#This Row],[Finish]],WorkWeek,Holidays),N(Tasks[[#This Row],[Duration]])))</f>
        <v>24</v>
      </c>
      <c r="AT16" s="69" t="n">
        <f aca="false">IF(Tasks[[#This Row],[Task Name]]="","",Tasks[[#This Row],[Work]])</f>
        <v>168</v>
      </c>
      <c r="AU16" s="70" t="n">
        <f aca="false">IF(Tasks[[#This Row],[Task Name]]="","",Tasks[[#This Row],[Cost]])</f>
        <v>14280</v>
      </c>
      <c r="AV16" s="7"/>
      <c r="AW16" s="7"/>
      <c r="AX16" s="21"/>
      <c r="AY16" s="72"/>
      <c r="AZ16" s="71"/>
      <c r="BA16" s="70" t="n">
        <f aca="false">IF(Tasks[[#This Row],[Task Name]]="","",IF(Tasks[[#This Row],[_IsSummary]],SUM(INDEX(Tasks[_LeafEV],Tasks[[#This Row],[_Row]]+1):INDEX(Tasks[_LeafEV],Tasks[[#This Row],[_Row]]+Tasks[[#This Row],[_Descendants]])),Tasks[[#This Row],[_LeafEV]]))</f>
        <v>6800</v>
      </c>
      <c r="BB16" s="70" t="n">
        <f aca="false">IF(Tasks[[#This Row],[Task Name]]="","",IF(Tasks[[#This Row],[_IsSummary]],SUM(INDEX(Tasks[_LeafBudget],Tasks[[#This Row],[_Row]]+1):INDEX(Tasks[_LeafBudget],Tasks[[#This Row],[_Row]]+Tasks[[#This Row],[_Descendants]])),Tasks[[#This Row],[_LeafBudget]]))</f>
        <v>14280</v>
      </c>
      <c r="BC16" s="70" t="n">
        <f aca="false">IF(Tasks[[#This Row],[Task Name]]="","",IF(Tasks[[#This Row],[_IsSummary]],SUM(INDEX(Tasks[_LeafPV],Tasks[[#This Row],[_Row]]+1):INDEX(Tasks[_LeafPV],Tasks[[#This Row],[_Row]]+Tasks[[#This Row],[_Descendants]])),Tasks[[#This Row],[_LeafPV]]))</f>
        <v>10880</v>
      </c>
      <c r="BD16" s="70" t="n">
        <f aca="false">IF(Tasks[[#This Row],[Task Name]]="","",IF(Tasks[[#This Row],[_IsSummary]],SUM(INDEX(Tasks[_LeafAC],Tasks[[#This Row],[_Row]]+1):INDEX(Tasks[_LeafAC],Tasks[[#This Row],[_Row]]+Tasks[[#This Row],[_Descendants]])),Tasks[[#This Row],[_LeafAC]]))</f>
        <v>7480</v>
      </c>
      <c r="BE16" s="45" t="n">
        <f aca="false">IF(Tasks[[#This Row],[Task Name]]="","",MAX(1,N(Tasks[[#This Row],[Level]])))</f>
        <v>2</v>
      </c>
      <c r="BF16" s="45" t="n">
        <f aca="false">ROW()-ROW(Tasks[[#Headers],[ID]])</f>
        <v>11</v>
      </c>
      <c r="BG16" s="45" t="n">
        <f aca="false">IF(OR(Tasks[[#This Row],[Task Name]]="",Tasks[[#This Row],[_Level]]&lt;=1),0,IFERROR(LOOKUP(2,1/(Tasks[[#Headers],[_Level]]:Tasks[[#This Row],[_Level]]=Tasks[[#This Row],[_Level]]-1),ROW(Tasks[[#Headers],[_Level]]:Tasks[[#This Row],[_Level]])),0))</f>
        <v>15</v>
      </c>
      <c r="BH16" s="45" t="n">
        <f aca="false">IFERROR(N(INDEX(Tasks[_Level],Tasks[[#This Row],[_Row]]+1)),0)</f>
        <v>3</v>
      </c>
      <c r="BI16" s="73" t="b">
        <f aca="false">AND(Tasks[[#This Row],[Task Name]]&lt;&gt;"",Tasks[[#This Row],[_NextLevel]]&gt;Tasks[[#This Row],[_Level]])</f>
        <v>1</v>
      </c>
      <c r="BJ16" s="45" t="n">
        <f aca="false">IF(Tasks[[#This Row],[_IsSummary]],COUNTIF(Tasks[WBS],Tasks[[#This Row],[WBS]]&amp;".*"),0)</f>
        <v>3</v>
      </c>
      <c r="BK16" s="45" t="n">
        <f aca="false">IF(AND(Tasks[[#This Row],[Task Name]]&lt;&gt;"",NOT(Tasks[[#This Row],[_IsSummary]])),1,0)</f>
        <v>0</v>
      </c>
      <c r="BL16" s="45" t="n">
        <f aca="false">IF(N(Tasks[[#This Row],[_Pred1UID]])=0,0,IFERROR(MATCH(Tasks[[#This Row],[_Pred1UID]],Tasks[UID],0),-1))</f>
        <v>0</v>
      </c>
      <c r="BM16" s="45" t="n">
        <f aca="false">IF(N(Tasks[[#This Row],[_Pred2UID]])=0,0,IFERROR(MATCH(Tasks[[#This Row],[_Pred2UID]],Tasks[UID],0),-1))</f>
        <v>0</v>
      </c>
      <c r="BN16" s="45" t="n">
        <f aca="false">IF(N(Tasks[[#This Row],[_Pred3UID]])=0,0,IFERROR(MATCH(Tasks[[#This Row],[_Pred3UID]],Tasks[UID],0),-1))</f>
        <v>0</v>
      </c>
      <c r="BO16" s="45" t="n">
        <f aca="false">IF(N(Tasks[[#This Row],[_Pred4UID]])=0,0,IFERROR(MATCH(Tasks[[#This Row],[_Pred4UID]],Tasks[UID],0),-1))</f>
        <v>0</v>
      </c>
      <c r="BP1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6" s="74" t="n">
        <f aca="false">IF(OR(Tasks[[#This Row],[_ConstraintCode]]=2,Tasks[[#This Row],[_ConstraintCode]]=3,Tasks[[#This Row],[_ConstraintCode]]=4,Tasks[[#This Row],[_ConstraintCode]]=6),Tasks[[#This Row],[_ConstraintStart]],0)</f>
        <v>0</v>
      </c>
      <c r="BS16" s="74" t="n">
        <f aca="false">IF(OR(Tasks[[#This Row],[_ConstraintCode]]=2,Tasks[[#This Row],[_ConstraintCode]]=3,Tasks[[#This Row],[_ConstraintCode]]=5,Tasks[[#This Row],[_ConstraintCode]]=7),Tasks[[#This Row],[_ConstraintStart]],2958465)</f>
        <v>2958465</v>
      </c>
      <c r="BT1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6" s="74" t="str">
        <f aca="false">IF(NOT(Tasks[[#This Row],[_IsLeaf]]=1),"",IF(N(Tasks[[#This Row],[Duration]])&lt;=0,Tasks[[#This Row],[_LeafCalcStart]],WORKDAY.INTL(Tasks[[#This Row],[_LeafCalcStart]],Tasks[[#This Row],[Duration]]-1,WorkWeek,Holidays)))</f>
        <v/>
      </c>
      <c r="BV1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6" s="45" t="str">
        <f aca="false">IF(Tasks[[#This Row],[Predecessors]]="","",TRIM(MID(SUBSTITUTE(SUBSTITUTE(SUBSTITUTE(UPPER(Tasks[[#This Row],[Predecessors]]),";",",")," ",""),",",REPT(" ",99)),1,99)))</f>
        <v/>
      </c>
      <c r="BY16" s="45" t="str">
        <f aca="false">IF(Tasks[[#This Row],[_Pred1Text]]="","",IFERROR(VALUE(LEFT(Tasks[[#This Row],[_Pred1Text]],MIN(FIND("F",Tasks[[#This Row],[_Pred1Text]]&amp;"F"),FIND("S",Tasks[[#This Row],[_Pred1Text]]&amp;"S"),FIND("+",Tasks[[#This Row],[_Pred1Text]]&amp;"+"),FIND("-",Tasks[[#This Row],[_Pred1Text]]&amp;"-"))-1)),""))</f>
        <v/>
      </c>
      <c r="BZ1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6" s="45" t="str">
        <f aca="false">IF(Tasks[[#This Row],[_Pred1Text]]="","",TRIM(MID(SUBSTITUTE(SUBSTITUTE(SUBSTITUTE(UPPER(Tasks[[#This Row],[Predecessors]]),";",",")," ",""),",",REPT(" ",99)),100,99)))</f>
        <v/>
      </c>
      <c r="CC16" s="45" t="str">
        <f aca="false">IF(Tasks[[#This Row],[_Pred2Text]]="","",IFERROR(VALUE(LEFT(Tasks[[#This Row],[_Pred2Text]],MIN(FIND("F",Tasks[[#This Row],[_Pred2Text]]&amp;"F"),FIND("S",Tasks[[#This Row],[_Pred2Text]]&amp;"S"),FIND("+",Tasks[[#This Row],[_Pred2Text]]&amp;"+"),FIND("-",Tasks[[#This Row],[_Pred2Text]]&amp;"-"))-1)),""))</f>
        <v/>
      </c>
      <c r="CD1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6" s="45" t="str">
        <f aca="false">IF(Tasks[[#This Row],[_Pred2Text]]="","",TRIM(MID(SUBSTITUTE(SUBSTITUTE(SUBSTITUTE(UPPER(Tasks[[#This Row],[Predecessors]]),";",",")," ",""),",",REPT(" ",99)),199,99)))</f>
        <v/>
      </c>
      <c r="CG16" s="45" t="str">
        <f aca="false">IF(Tasks[[#This Row],[_Pred3Text]]="","",IFERROR(VALUE(LEFT(Tasks[[#This Row],[_Pred3Text]],MIN(FIND("F",Tasks[[#This Row],[_Pred3Text]]&amp;"F"),FIND("S",Tasks[[#This Row],[_Pred3Text]]&amp;"S"),FIND("+",Tasks[[#This Row],[_Pred3Text]]&amp;"+"),FIND("-",Tasks[[#This Row],[_Pred3Text]]&amp;"-"))-1)),""))</f>
        <v/>
      </c>
      <c r="CH1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6" s="45" t="str">
        <f aca="false">IF(Tasks[[#This Row],[_Pred3Text]]="","",TRIM(MID(SUBSTITUTE(SUBSTITUTE(SUBSTITUTE(UPPER(Tasks[[#This Row],[Predecessors]]),";",",")," ",""),",",REPT(" ",99)),298,99)))</f>
        <v/>
      </c>
      <c r="CK16" s="45" t="str">
        <f aca="false">IF(Tasks[[#This Row],[_Pred4Text]]="","",IFERROR(VALUE(LEFT(Tasks[[#This Row],[_Pred4Text]],MIN(FIND("F",Tasks[[#This Row],[_Pred4Text]]&amp;"F"),FIND("S",Tasks[[#This Row],[_Pred4Text]]&amp;"S"),FIND("+",Tasks[[#This Row],[_Pred4Text]]&amp;"+"),FIND("-",Tasks[[#This Row],[_Pred4Text]]&amp;"-"))-1)),""))</f>
        <v/>
      </c>
      <c r="CL1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6" s="45" t="str">
        <f aca="false">IF(OR(Tasks[[#This Row],[Task Name]]="",Tasks[[#This Row],[Resources]]=""),"",TRIM(MID(SUBSTITUTE(Tasks[[#This Row],[Resources]],",",REPT(" ",99)),1,99)))</f>
        <v/>
      </c>
      <c r="CO16" s="45" t="str">
        <f aca="false">IF(Tasks[[#This Row],[_Res1Text]]="","",TRIM(MID(SUBSTITUTE(Tasks[[#This Row],[Resources]],",",REPT(" ",99)),100,99)))</f>
        <v/>
      </c>
      <c r="CP16" s="45" t="str">
        <f aca="false">IF(Tasks[[#This Row],[_Res2Text]]="","",TRIM(MID(SUBSTITUTE(Tasks[[#This Row],[Resources]],",",REPT(" ",99)),199,99)))</f>
        <v/>
      </c>
      <c r="CQ16" s="45" t="str">
        <f aca="false">IF(Tasks[[#This Row],[_Res3Text]]="","",TRIM(MID(SUBSTITUTE(Tasks[[#This Row],[Resources]],",",REPT(" ",99)),298,99)))</f>
        <v/>
      </c>
      <c r="CR1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 s="45" t="n">
        <f aca="false">IF(NOT(Tasks[[#This Row],[_IsLeaf]]=1),0,(Tasks[[#This Row],[_Resource1]]&lt;&gt;"")+(Tasks[[#This Row],[_Res2]]&lt;&gt;"")+(Tasks[[#This Row],[_Res3]]&lt;&gt;"")+(Tasks[[#This Row],[_Res4]]&lt;&gt;""))</f>
        <v>0</v>
      </c>
      <c r="CU1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 s="45" t="n">
        <f aca="false">IF(OR(NOT(Tasks[[#This Row],[_IsLeaf]]=1),Tasks[[#This Row],[_Res2]]=""),0,IF(ISNA(MATCH(Tasks[[#This Row],[_Res2]],res_Name,0)),0,N(Tasks[[#This Row],[Duration]])*HoursPerDay*IF(Tasks[[#This Row],[_Res2Units]]="",DefaultUnits,Tasks[[#This Row],[_Res2Units]])))</f>
        <v>0</v>
      </c>
      <c r="CX16" s="45" t="n">
        <f aca="false">IF(Tasks[[#This Row],[_Res2Work]]=0,0,Tasks[[#This Row],[_Res2Work]]*IFERROR(INDEX(res_Rate,MATCH(Tasks[[#This Row],[_Res2]],res_Name,0)),0))</f>
        <v>0</v>
      </c>
      <c r="CY16" s="45" t="n">
        <f aca="false">IF(AND(AND(Tasks[[#This Row],[_IsLeaf]]=1,Tasks[[#This Row],[_LeafTotalWork]]&gt;0),Tasks[[#This Row],[_Res2Work]]&gt;0),Tasks[[#This Row],[_Res2Work]]/(Tasks[[#This Row],[_FinishWorkday]]-Tasks[[#This Row],[_StartWorkday]]+1),0)</f>
        <v>0</v>
      </c>
      <c r="CZ16" s="45" t="n">
        <f aca="false">Tasks[[#This Row],[_Res2WorkPerWD]]*MAX(0,Tasks[[#This Row],[_StartWorkday]]-1)</f>
        <v>0</v>
      </c>
      <c r="DA16" s="45" t="n">
        <f aca="false">Tasks[[#This Row],[_Res2Work]]*Tasks[[#This Row],[_LeafProgress]]</f>
        <v>0</v>
      </c>
      <c r="DB16" s="45" t="n">
        <f aca="false">IF(Tasks[[#This Row],[_LeafTotalCost]]=0,0,Tasks[[#This Row],[_LeafAC]]*Tasks[[#This Row],[_Res2Cost]]/Tasks[[#This Row],[_LeafTotalCost]])</f>
        <v>0</v>
      </c>
      <c r="DC1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6" s="45" t="n">
        <f aca="false">IF(OR(NOT(Tasks[[#This Row],[_IsLeaf]]=1),Tasks[[#This Row],[_Res3]]=""),0,IF(ISNA(MATCH(Tasks[[#This Row],[_Res3]],res_Name,0)),0,N(Tasks[[#This Row],[Duration]])*HoursPerDay*IF(Tasks[[#This Row],[_Res3Units]]="",DefaultUnits,Tasks[[#This Row],[_Res3Units]])))</f>
        <v>0</v>
      </c>
      <c r="DF16" s="45" t="n">
        <f aca="false">IF(Tasks[[#This Row],[_Res3Work]]=0,0,Tasks[[#This Row],[_Res3Work]]*IFERROR(INDEX(res_Rate,MATCH(Tasks[[#This Row],[_Res3]],res_Name,0)),0))</f>
        <v>0</v>
      </c>
      <c r="DG16" s="45" t="n">
        <f aca="false">IF(AND(AND(Tasks[[#This Row],[_IsLeaf]]=1,Tasks[[#This Row],[_LeafTotalWork]]&gt;0),Tasks[[#This Row],[_Res3Work]]&gt;0),Tasks[[#This Row],[_Res3Work]]/(Tasks[[#This Row],[_FinishWorkday]]-Tasks[[#This Row],[_StartWorkday]]+1),0)</f>
        <v>0</v>
      </c>
      <c r="DH16" s="45" t="n">
        <f aca="false">Tasks[[#This Row],[_Res3WorkPerWD]]*MAX(0,Tasks[[#This Row],[_StartWorkday]]-1)</f>
        <v>0</v>
      </c>
      <c r="DI16" s="45" t="n">
        <f aca="false">Tasks[[#This Row],[_Res3Work]]*Tasks[[#This Row],[_LeafProgress]]</f>
        <v>0</v>
      </c>
      <c r="DJ16" s="45" t="n">
        <f aca="false">IF(Tasks[[#This Row],[_LeafTotalCost]]=0,0,Tasks[[#This Row],[_LeafAC]]*Tasks[[#This Row],[_Res3Cost]]/Tasks[[#This Row],[_LeafTotalCost]])</f>
        <v>0</v>
      </c>
      <c r="DK1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6" s="45" t="n">
        <f aca="false">IF(OR(NOT(Tasks[[#This Row],[_IsLeaf]]=1),Tasks[[#This Row],[_Res4]]=""),0,IF(ISNA(MATCH(Tasks[[#This Row],[_Res4]],res_Name,0)),0,N(Tasks[[#This Row],[Duration]])*HoursPerDay*IF(Tasks[[#This Row],[_Res4Units]]="",DefaultUnits,Tasks[[#This Row],[_Res4Units]])))</f>
        <v>0</v>
      </c>
      <c r="DN16" s="45" t="n">
        <f aca="false">IF(Tasks[[#This Row],[_Res4Work]]=0,0,Tasks[[#This Row],[_Res4Work]]*IFERROR(INDEX(res_Rate,MATCH(Tasks[[#This Row],[_Res4]],res_Name,0)),0))</f>
        <v>0</v>
      </c>
      <c r="DO16" s="45" t="n">
        <f aca="false">IF(AND(AND(Tasks[[#This Row],[_IsLeaf]]=1,Tasks[[#This Row],[_LeafTotalWork]]&gt;0),Tasks[[#This Row],[_Res4Work]]&gt;0),Tasks[[#This Row],[_Res4Work]]/(Tasks[[#This Row],[_FinishWorkday]]-Tasks[[#This Row],[_StartWorkday]]+1),0)</f>
        <v>0</v>
      </c>
      <c r="DP16" s="45" t="n">
        <f aca="false">Tasks[[#This Row],[_Res4WorkPerWD]]*MAX(0,Tasks[[#This Row],[_StartWorkday]]-1)</f>
        <v>0</v>
      </c>
      <c r="DQ16" s="45" t="n">
        <f aca="false">Tasks[[#This Row],[_Res4Work]]*Tasks[[#This Row],[_LeafProgress]]</f>
        <v>0</v>
      </c>
      <c r="DR16" s="45" t="n">
        <f aca="false">IF(Tasks[[#This Row],[_LeafTotalCost]]=0,0,Tasks[[#This Row],[_LeafAC]]*Tasks[[#This Row],[_Res4Cost]]/Tasks[[#This Row],[_LeafTotalCost]])</f>
        <v>0</v>
      </c>
      <c r="DS16" s="45" t="n">
        <f aca="false">IF(ISNUMBER(Tasks[[#This Row],[% Complete]]),Tasks[[#This Row],[% Complete]],IF(Tasks[[#This Row],[Stage]]="",0,IFERROR(INDEX(stg_Pct,MATCH(Tasks[[#This Row],[Stage]],stg_Name,0)),0)))</f>
        <v>0</v>
      </c>
      <c r="DT16" s="45" t="n">
        <f aca="false">IF(NOT(Tasks[[#This Row],[_IsLeaf]]=1),0,IF(N(Tasks[[#This Row],[Actual Finish]])&gt;0,1,MIN(1,Tasks[[#This Row],[_Pct]])))</f>
        <v>0</v>
      </c>
      <c r="DU16" s="45" t="n">
        <f aca="false">IF(OR(NOT(Tasks[[#This Row],[_IsLeaf]]=1),Tasks[[#This Row],[_Resource1]]=""),0,IF(ISNA(MATCH(Tasks[[#This Row],[_Resource1]],res_Name,0)),0,N(Tasks[[#This Row],[Duration]])*HoursPerDay*IF(Tasks[[#This Row],[_Units1]]="",DefaultUnits,Tasks[[#This Row],[_Units1]])))</f>
        <v>0</v>
      </c>
      <c r="DV16" s="45" t="n">
        <f aca="false">IF(Tasks[[#This Row],[_LeafWork]]=0,0,Tasks[[#This Row],[_LeafWork]]*IFERROR(INDEX(res_Rate,MATCH(Tasks[[#This Row],[_Resource1]],res_Name,0)),0))</f>
        <v>0</v>
      </c>
      <c r="DW16" s="45" t="n">
        <f aca="false">Tasks[[#This Row],[_LeafWork]]+Tasks[[#This Row],[_Res2Work]]+Tasks[[#This Row],[_Res3Work]]+Tasks[[#This Row],[_Res4Work]]</f>
        <v>0</v>
      </c>
      <c r="DX16" s="45" t="n">
        <f aca="false">Tasks[[#This Row],[_LeafCost]]+Tasks[[#This Row],[_Res2Cost]]+Tasks[[#This Row],[_Res3Cost]]+Tasks[[#This Row],[_Res4Cost]]</f>
        <v>0</v>
      </c>
      <c r="DY16" s="45" t="n">
        <f aca="false">IF(Tasks[[#This Row],[_LeafTotalCost]]=0,Tasks[[#This Row],[_LeafAC]],Tasks[[#This Row],[_LeafAC]]*Tasks[[#This Row],[_LeafCost]]/Tasks[[#This Row],[_LeafTotalCost]])</f>
        <v>0</v>
      </c>
      <c r="DZ1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6" s="45" t="n">
        <f aca="false">IF(NOT(Tasks[[#This Row],[_IsLeaf]]=1),0,MAX(_xlfn.MAXIFS(Tasks[_Row],Tasks[_Pred1UID],Tasks[[#This Row],[UID]]),_xlfn.MAXIFS(Tasks[_Row],Tasks[_Pred2UID],Tasks[[#This Row],[UID]]),_xlfn.MAXIFS(Tasks[_Row],Tasks[_Pred3UID],Tasks[[#This Row],[UID]]),_xlfn.MAXIFS(Tasks[_Row],Tasks[_Pred4UID],Tasks[[#This Row],[UID]])))</f>
        <v>0</v>
      </c>
      <c r="EI1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6" s="74" t="str">
        <f aca="false">IF(NOT(Tasks[[#This Row],[_IsLeaf]]=1),"",IF(N(Tasks[[#This Row],[Duration]])&lt;=0,Tasks[[#This Row],[_LeafLateFinish]],WORKDAY.INTL(Tasks[[#This Row],[_LeafLateFinish]],-(Tasks[[#This Row],[Duration]]-1),WorkWeek,Holidays)))</f>
        <v/>
      </c>
      <c r="EL1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6" s="73" t="b">
        <f aca="false">AND(Tasks[[#This Row],[_IsLeaf]]=1,Tasks[[#This Row],[_LeafProgress]]&lt;1,N(Tasks[[#This Row],[_LeafTotalSlack]])&lt;=CriticalSlackDays)</f>
        <v>0</v>
      </c>
      <c r="EN16" s="45" t="n">
        <f aca="false">IF(AND(Tasks[[#This Row],[_IsLeaf]]=1,Tasks[[#This Row],[_ConstraintCode]]=1,Tasks[[#This Row],[Mode]]&lt;&gt;"Manual",N(Tasks[[#This Row],[Actual Start]])=0),MAX(0,N(Tasks[[#This Row],[Free Slack]])),0)</f>
        <v>0</v>
      </c>
      <c r="EO16" s="74" t="str">
        <f aca="false">IF(NOT(Tasks[[#This Row],[_IsLeaf]]=1),"",IF(Tasks[[#This Row],[_AlapShift]]=0,Tasks[[#This Row],[_LeafCalcStart]],WORKDAY.INTL(Tasks[[#This Row],[_LeafCalcStart]],Tasks[[#This Row],[_AlapShift]],WorkWeek,Holidays)))</f>
        <v/>
      </c>
      <c r="EP16" s="74" t="str">
        <f aca="false">IF(NOT(Tasks[[#This Row],[_IsLeaf]]=1),"",IF(Tasks[[#This Row],[_AlapShift]]=0,Tasks[[#This Row],[_LeafCalcFinish]],WORKDAY.INTL(Tasks[[#This Row],[_LeafCalcFinish]],Tasks[[#This Row],[_AlapShift]],WorkWeek,Holidays)))</f>
        <v/>
      </c>
      <c r="EQ16" s="74" t="str">
        <f aca="false">IF(NOT(Tasks[[#This Row],[_IsLeaf]]=1),"",IF(Tasks[[#This Row],[_AlapShift]]=0,Tasks[[#This Row],[_LeafFcstStart]],WORKDAY.INTL(Tasks[[#This Row],[_LeafFcstStart]],Tasks[[#This Row],[_AlapShift]],WorkWeek,Holidays)))</f>
        <v/>
      </c>
      <c r="ER16" s="74" t="str">
        <f aca="false">IF(NOT(Tasks[[#This Row],[_IsLeaf]]=1),"",IF(Tasks[[#This Row],[_AlapShift]]=0,Tasks[[#This Row],[_LeafFcstFinish]],WORKDAY.INTL(Tasks[[#This Row],[_LeafFcstFinish]],Tasks[[#This Row],[_AlapShift]],WorkWeek,Holidays)))</f>
        <v/>
      </c>
      <c r="ES16" s="74" t="n">
        <f aca="false">IF(Tasks[[#This Row],[Task Name]]="","",IF(Tasks[[#This Row],[_IsSummary]],MIN(INDEX(Tasks[_ShownCalcStart],Tasks[[#This Row],[_Row]]+1):INDEX(Tasks[_ShownCalcStart],Tasks[[#This Row],[_Row]]+Tasks[[#This Row],[_Descendants]])),Tasks[[#This Row],[_ShownCalcStart]]))</f>
        <v>46297</v>
      </c>
      <c r="ET16" s="74" t="n">
        <f aca="false">IF(Tasks[[#This Row],[Task Name]]="","",IF(Tasks[[#This Row],[_IsSummary]],MAX(INDEX(Tasks[_ShownCalcFinish],Tasks[[#This Row],[_Row]]+1):INDEX(Tasks[_ShownCalcFinish],Tasks[[#This Row],[_Row]]+Tasks[[#This Row],[_Descendants]])),Tasks[[#This Row],[_ShownCalcFinish]]))</f>
        <v>46325</v>
      </c>
      <c r="EU1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6" s="45" t="n">
        <f aca="false">IF(AND(Tasks[[#This Row],[_IsLeaf]]=1,Tasks[[#This Row],[_LeafTotalWork]]&gt;0),NETWORKDAYS.INTL(ProjectStart,Tasks[[#This Row],[_ShownFcstStart]],WorkWeek,Holidays),0)</f>
        <v>0</v>
      </c>
      <c r="FH16" s="45" t="n">
        <f aca="false">IF(AND(Tasks[[#This Row],[_IsLeaf]]=1,Tasks[[#This Row],[_LeafTotalWork]]&gt;0),MAX(Tasks[[#This Row],[_StartWorkday]],NETWORKDAYS.INTL(ProjectStart,Tasks[[#This Row],[_ShownFcstFinish]],WorkWeek,Holidays)),0)</f>
        <v>0</v>
      </c>
      <c r="FI16" s="45" t="n">
        <f aca="false">IF(AND(Tasks[[#This Row],[_IsLeaf]]=1,Tasks[[#This Row],[_LeafTotalWork]]&gt;0),Tasks[[#This Row],[_LeafWork]]/(Tasks[[#This Row],[_FinishWorkday]]-Tasks[[#This Row],[_StartWorkday]]+1),0)</f>
        <v>0</v>
      </c>
      <c r="FJ16" s="45" t="n">
        <f aca="false">Tasks[[#This Row],[_WorkPerWorkday]]*(Tasks[[#This Row],[_StartWorkday]]-1)</f>
        <v>-0</v>
      </c>
      <c r="FK16" s="45" t="n">
        <f aca="false">IF(Tasks[[#This Row],[_IsLeaf]]=1,MAX(N(Tasks[[#This Row],[Duration]]),0.1),0)</f>
        <v>0</v>
      </c>
      <c r="FL16" s="45" t="n">
        <f aca="false">Tasks[[#This Row],[_WeightDur]]*Tasks[[#This Row],[_LeafProgress]]</f>
        <v>0</v>
      </c>
      <c r="FM1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6" s="45" t="str">
        <f aca="false">IF(AND(Tasks[[#This Row],[_IsLeaf]]=1,N(Tasks[[#This Row],[Duration]])=0,Tasks[[#This Row],[_LeafProgress]]&lt;1),Tasks[[#This Row],[_ShownFcstFinish]]+Tasks[[#This Row],[_Row]]/100000,"")</f>
        <v/>
      </c>
      <c r="FO1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6" s="45" t="n">
        <f aca="false">IF(NOT(Tasks[[#This Row],[_IsLeaf]]=1),0,IF(Tasks[[#This Row],[Baseline Cost]]="",Tasks[[#This Row],[_LeafTotalCost]],N(Tasks[[#This Row],[Baseline Cost]])))</f>
        <v>0</v>
      </c>
      <c r="FQ16" s="45" t="n">
        <f aca="false">Tasks[[#This Row],[_LeafBudget]]*Tasks[[#This Row],[_PlannedPct]]</f>
        <v>0</v>
      </c>
      <c r="FR16" s="45" t="n">
        <f aca="false">Tasks[[#This Row],[_LeafBudget]]*Tasks[[#This Row],[_LeafProgress]]</f>
        <v>0</v>
      </c>
      <c r="FS16" s="45" t="n">
        <f aca="false">IF(NOT(Tasks[[#This Row],[_IsLeaf]]=1),0,IF(Tasks[[#This Row],[Actual Cost]]="",Tasks[[#This Row],[_LeafTotalCost]]*Tasks[[#This Row],[_LeafProgress]],N(Tasks[[#This Row],[Actual Cost]])))</f>
        <v>0</v>
      </c>
      <c r="FT16" s="45" t="str">
        <f aca="false">IF(Tasks[[#This Row],[Task Name]]="","",LEFT(Tasks[[#This Row],[WBS]],FIND(".",Tasks[[#This Row],[WBS]]&amp;".")-1))</f>
        <v>3</v>
      </c>
      <c r="FU16" s="45" t="str">
        <f aca="false">IF(AND(Tasks[[#This Row],[Task Name]]&lt;&gt;"",Tasks[[#This Row],[_Level]]=1),Tasks[[#This Row],[_Row]],"")</f>
        <v/>
      </c>
      <c r="FV16" s="45" t="str">
        <f aca="false">IF(AND(Tasks[[#This Row],[_IsLeaf]]=1,N(Tasks[[#This Row],[Duration]])=0),Tasks[[#This Row],[Planned Finish]]+Tasks[[#This Row],[_Row]]/100000,"")</f>
        <v/>
      </c>
      <c r="FW16" s="45" t="str">
        <f aca="false">IF(AND(Tasks[[#This Row],[_IsLeaf]]=1,Tasks[[#This Row],[_LeafProgress]]&lt;1,OR(N(Tasks[[#This Row],[Finish Var]])&gt;0,Tasks[[#This Row],[Status]]="Late Start")),MAX(0,Tasks[[#This Row],[Finish Var]])+1-Tasks[[#This Row],[_Row]]/1000000,"")</f>
        <v/>
      </c>
      <c r="FX16" s="45" t="str">
        <f aca="false">IF(AND(Tasks[[#This Row],[_IsLeaf]]=1,N(Tasks[[#This Row],[Actual Start]])=0,Tasks[[#This Row],[_ShownFcstStart]]&gt;=StatusDate,Tasks[[#This Row],[_ShownFcstStart]]&lt;=LookaheadEnd),Tasks[[#This Row],[_ShownFcstStart]]+Tasks[[#This Row],[_Row]]/100000,"")</f>
        <v/>
      </c>
      <c r="FY16" s="45" t="str">
        <f aca="false">IF(AND(Tasks[[#This Row],[_IsLeaf]]=1,Tasks[[#This Row],[_LeafProgress]]&lt;1,Tasks[[#This Row],[_ShownFcstFinish]]&gt;=StatusDate,Tasks[[#This Row],[_ShownFcstFinish]]&lt;=LookaheadEnd),Tasks[[#This Row],[_ShownFcstFinish]]+Tasks[[#This Row],[_Row]]/100000,"")</f>
        <v/>
      </c>
      <c r="FZ16" s="45" t="str">
        <f aca="false">IF(Tasks[[#This Row],[_LeafCritical]],Tasks[[#This Row],[_ShownFcstStart]]+Tasks[[#This Row],[_Row]]/100000,"")</f>
        <v/>
      </c>
      <c r="GA16" s="45" t="n">
        <f aca="false">Tasks[[#This Row],[_LeafWork]]*Tasks[[#This Row],[_LeafProgress]]</f>
        <v>0</v>
      </c>
      <c r="GB16" s="74" t="str">
        <f aca="false">IF(AND(Tasks[[#This Row],[_IsLeaf]]=1,Tasks[[#This Row],[_LeafProgress]]&gt;=1),IF(N(Tasks[[#This Row],[Actual Finish]])&gt;0,Tasks[[#This Row],[Actual Finish]],Tasks[[#This Row],[_ShownFcstFinish]]),"")</f>
        <v/>
      </c>
    </row>
    <row r="17" customFormat="false" ht="15" hidden="false" customHeight="false" outlineLevel="2" collapsed="false">
      <c r="A17" s="67" t="n">
        <f aca="false">IF(Tasks[[#This Row],[Task Name]]="","",COUNTA(Tasks[[#Headers],[Task Name]]:Tasks[[#This Row],[Task Name]])-1)</f>
        <v>12</v>
      </c>
      <c r="B17" s="21" t="n">
        <v>12</v>
      </c>
      <c r="C1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3.1.1</v>
      </c>
      <c r="D17" s="21" t="n">
        <v>3</v>
      </c>
      <c r="E17" s="78" t="s">
        <v>525</v>
      </c>
      <c r="F17" s="21" t="n">
        <v>5</v>
      </c>
      <c r="G17" s="22" t="s">
        <v>526</v>
      </c>
      <c r="H17" s="22" t="s">
        <v>527</v>
      </c>
      <c r="I17" s="22" t="s">
        <v>125</v>
      </c>
      <c r="J17" s="7" t="n">
        <v>46302</v>
      </c>
      <c r="K17" s="7" t="n">
        <v>46309</v>
      </c>
      <c r="L17" s="22"/>
      <c r="M17" s="58" t="n">
        <f aca="false">IF(Tasks[[#This Row],[Task Name]]="","",IF(Tasks[[#This Row],[_IsSummary]],MIN(INDEX(Tasks[_ShownFcstStart],Tasks[[#This Row],[_Row]]+1):INDEX(Tasks[_ShownFcstStart],Tasks[[#This Row],[_Row]]+Tasks[[#This Row],[_Descendants]])),Tasks[[#This Row],[_ShownFcstStart]]))</f>
        <v>46302</v>
      </c>
      <c r="N17" s="58" t="n">
        <f aca="false">IF(Tasks[[#This Row],[Task Name]]="","",IF(Tasks[[#This Row],[_IsSummary]],MAX(INDEX(Tasks[_ShownFcstFinish],Tasks[[#This Row],[_Row]]+1):INDEX(Tasks[_ShownFcstFinish],Tasks[[#This Row],[_Row]]+Tasks[[#This Row],[_Descendants]])),Tasks[[#This Row],[_ShownFcstFinish]]))</f>
        <v>46309</v>
      </c>
      <c r="O17" s="20" t="str">
        <f aca="false">IF(Tasks[[#This Row],[Task Name]]="","",IF(Tasks[[#This Row],[Progress]]&gt;=1,"Complete",IF(OR(N(Tasks[[#This Row],[Actual Start]])&gt;0,Tasks[[#This Row],[Progress]]&gt;0),IF(Tasks[[#This Row],[Finish Var]]&gt;0,"Behind","In Progress"),IF(Tasks[[#This Row],[Planned Start]]&lt;StatusDate,"Late Start","Not Started"))))</f>
        <v>Complete</v>
      </c>
      <c r="P17" s="20" t="str">
        <f aca="false">IF(Tasks[[#This Row],[Task Name]]="","",IF(IF(Tasks[[#This Row],[_IsSummary]],COUNTIF(INDEX(Tasks[_LeafCritical],Tasks[[#This Row],[_Row]]+1):INDEX(Tasks[_LeafCritical],Tasks[[#This Row],[_Row]]+Tasks[[#This Row],[_Descendants]]),TRUE())&gt;0,Tasks[[#This Row],[_LeafCritical]]),"Yes",""))</f>
        <v/>
      </c>
      <c r="Q1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7" s="67" t="str">
        <f aca="false">IF(Tasks[[#This Row],[Task Name]]="","",IF(Tasks[[#This Row],[_Level]]&lt;=OutlineShowLevel,"Yes","No"))</f>
        <v>Yes</v>
      </c>
      <c r="S17" s="7"/>
      <c r="T17" s="21" t="s">
        <v>195</v>
      </c>
      <c r="U17" s="22"/>
      <c r="V17" s="7"/>
      <c r="W17" s="67" t="n">
        <f aca="false">IF(Tasks[[#This Row],[Task Name]]="","",IF(Tasks[[#This Row],[Finish]]&gt;=Tasks[[#This Row],[Planned Finish]],NETWORKDAYS.INTL(Tasks[[#This Row],[Planned Finish]],Tasks[[#This Row],[Finish]],WorkWeek,Holidays)-1,1-NETWORKDAYS.INTL(Tasks[[#This Row],[Finish]],Tasks[[#This Row],[Planned Finish]],WorkWeek,Holidays)))</f>
        <v>4</v>
      </c>
      <c r="X17" s="58" t="n">
        <f aca="false">IF(Tasks[[#This Row],[Task Name]]="","",IF(N(Tasks[[#This Row],[Baseline Start]])&gt;0,Tasks[[#This Row],[Baseline Start]],Tasks[[#This Row],[_CalcStart]]))</f>
        <v>46297</v>
      </c>
      <c r="Y17" s="58" t="n">
        <f aca="false">IF(Tasks[[#This Row],[Task Name]]="","",IF(N(Tasks[[#This Row],[Baseline Finish]])&gt;0,Tasks[[#This Row],[Baseline Finish]],Tasks[[#This Row],[_CalcFinish]]))</f>
        <v>46303</v>
      </c>
      <c r="Z17" s="67" t="n">
        <f aca="false">IF(Tasks[[#This Row],[Task Name]]="","",IF(Tasks[[#This Row],[Start]]&gt;=Tasks[[#This Row],[Planned Start]],NETWORKDAYS.INTL(Tasks[[#This Row],[Planned Start]],Tasks[[#This Row],[Start]],WorkWeek,Holidays)-1,1-NETWORKDAYS.INTL(Tasks[[#This Row],[Start]],Tasks[[#This Row],[Planned Start]],WorkWeek,Holidays)))</f>
        <v>3</v>
      </c>
      <c r="AA17" s="58" t="n">
        <f aca="false">IF(Tasks[[#This Row],[Task Name]]="","",IF(Tasks[[#This Row],[_IsSummary]],MIN(INDEX(Tasks[_LeafLateStart],Tasks[[#This Row],[_Row]]+1):INDEX(Tasks[_LeafLateStart],Tasks[[#This Row],[_Row]]+Tasks[[#This Row],[_Descendants]])),Tasks[[#This Row],[_LeafLateStart]]))</f>
        <v>46304</v>
      </c>
      <c r="AB17" s="58" t="n">
        <f aca="false">IF(Tasks[[#This Row],[Task Name]]="","",IF(Tasks[[#This Row],[_IsSummary]],MAX(INDEX(Tasks[_LeafLateFinish],Tasks[[#This Row],[_Row]]+1):INDEX(Tasks[_LeafLateFinish],Tasks[[#This Row],[_Row]]+Tasks[[#This Row],[_Descendants]])),Tasks[[#This Row],[_LeafLateFinish]]))</f>
        <v>46310</v>
      </c>
      <c r="AC17" s="67" t="n">
        <f aca="false">IF(Tasks[[#This Row],[Task Name]]="","",IF(Tasks[[#This Row],[_IsSummary]],MIN(INDEX(Tasks[_LeafTotalSlack],Tasks[[#This Row],[_Row]]+1):INDEX(Tasks[_LeafTotalSlack],Tasks[[#This Row],[_Row]]+Tasks[[#This Row],[_Descendants]])),Tasks[[#This Row],[_LeafTotalSlack]]))</f>
        <v>1</v>
      </c>
      <c r="AD17"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1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7" s="60"/>
      <c r="AH17"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I1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9</v>
      </c>
      <c r="AJ17" s="69" t="n">
        <f aca="false">IF(Tasks[[#This Row],[Task Name]]="","",IF(Tasks[[#This Row],[_IsSummary]],SUM(INDEX(Tasks[_LeafTotalWork],Tasks[[#This Row],[_Row]]+1):INDEX(Tasks[_LeafTotalWork],Tasks[[#This Row],[_Row]]+Tasks[[#This Row],[_Descendants]])),Tasks[[#This Row],[_LeafTotalWork]]))</f>
        <v>40</v>
      </c>
      <c r="AK1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Jordan Lee</v>
      </c>
      <c r="AL17" s="70" t="n">
        <f aca="false">IF(Tasks[[#This Row],[Task Name]]="","",IF(Tasks[[#This Row],[_IsSummary]],SUM(INDEX(Tasks[_LeafTotalCost],Tasks[[#This Row],[_Row]]+1):INDEX(Tasks[_LeafTotalCost],Tasks[[#This Row],[_Row]]+Tasks[[#This Row],[_Descendants]])),Tasks[[#This Row],[_LeafTotalCost]]))</f>
        <v>3400</v>
      </c>
      <c r="AM17" s="71"/>
      <c r="AN17" s="20" t="str">
        <f aca="false">IF(OR(Tasks[[#This Row],[Task Name]]="",Tasks[[#This Row],[Baseline Duration]]=""),"",Tasks[[#This Row],[BL Source Duration]]-N(Tasks[[#This Row],[Baseline Duration]]))</f>
        <v/>
      </c>
      <c r="AO17" s="69" t="str">
        <f aca="false">IF(OR(Tasks[[#This Row],[Task Name]]="",Tasks[[#This Row],[Baseline Work]]=""),"",Tasks[[#This Row],[Work]]-N(Tasks[[#This Row],[Baseline Work]]))</f>
        <v/>
      </c>
      <c r="AP17" s="70" t="str">
        <f aca="false">IF(OR(Tasks[[#This Row],[Task Name]]="",Tasks[[#This Row],[Baseline Cost]]=""),"",Tasks[[#This Row],[Cost]]-N(Tasks[[#This Row],[Baseline Cost]]))</f>
        <v/>
      </c>
      <c r="AQ17" s="58" t="n">
        <f aca="false">IF(Tasks[[#This Row],[Task Name]]="","",Tasks[[#This Row],[Start]])</f>
        <v>46302</v>
      </c>
      <c r="AR17" s="58" t="n">
        <f aca="false">IF(Tasks[[#This Row],[Task Name]]="","",Tasks[[#This Row],[Finish]])</f>
        <v>46309</v>
      </c>
      <c r="AS17" s="67" t="n">
        <f aca="false">IF(Tasks[[#This Row],[Task Name]]="","",IF(Tasks[[#This Row],[_IsSummary]],NETWORKDAYS.INTL(Tasks[[#This Row],[Start]],Tasks[[#This Row],[Finish]],WorkWeek,Holidays),N(Tasks[[#This Row],[Duration]])))</f>
        <v>5</v>
      </c>
      <c r="AT17" s="69" t="n">
        <f aca="false">IF(Tasks[[#This Row],[Task Name]]="","",Tasks[[#This Row],[Work]])</f>
        <v>40</v>
      </c>
      <c r="AU17" s="70" t="n">
        <f aca="false">IF(Tasks[[#This Row],[Task Name]]="","",Tasks[[#This Row],[Cost]])</f>
        <v>3400</v>
      </c>
      <c r="AV17" s="7"/>
      <c r="AW17" s="7"/>
      <c r="AX17" s="21"/>
      <c r="AY17" s="72"/>
      <c r="AZ17" s="71"/>
      <c r="BA17" s="70" t="n">
        <f aca="false">IF(Tasks[[#This Row],[Task Name]]="","",IF(Tasks[[#This Row],[_IsSummary]],SUM(INDEX(Tasks[_LeafEV],Tasks[[#This Row],[_Row]]+1):INDEX(Tasks[_LeafEV],Tasks[[#This Row],[_Row]]+Tasks[[#This Row],[_Descendants]])),Tasks[[#This Row],[_LeafEV]]))</f>
        <v>3400</v>
      </c>
      <c r="BB17" s="70" t="n">
        <f aca="false">IF(Tasks[[#This Row],[Task Name]]="","",IF(Tasks[[#This Row],[_IsSummary]],SUM(INDEX(Tasks[_LeafBudget],Tasks[[#This Row],[_Row]]+1):INDEX(Tasks[_LeafBudget],Tasks[[#This Row],[_Row]]+Tasks[[#This Row],[_Descendants]])),Tasks[[#This Row],[_LeafBudget]]))</f>
        <v>3400</v>
      </c>
      <c r="BC17" s="70" t="n">
        <f aca="false">IF(Tasks[[#This Row],[Task Name]]="","",IF(Tasks[[#This Row],[_IsSummary]],SUM(INDEX(Tasks[_LeafPV],Tasks[[#This Row],[_Row]]+1):INDEX(Tasks[_LeafPV],Tasks[[#This Row],[_Row]]+Tasks[[#This Row],[_Descendants]])),Tasks[[#This Row],[_LeafPV]]))</f>
        <v>3400</v>
      </c>
      <c r="BD17" s="70" t="n">
        <f aca="false">IF(Tasks[[#This Row],[Task Name]]="","",IF(Tasks[[#This Row],[_IsSummary]],SUM(INDEX(Tasks[_LeafAC],Tasks[[#This Row],[_Row]]+1):INDEX(Tasks[_LeafAC],Tasks[[#This Row],[_Row]]+Tasks[[#This Row],[_Descendants]])),Tasks[[#This Row],[_LeafAC]]))</f>
        <v>3400</v>
      </c>
      <c r="BE17" s="45" t="n">
        <f aca="false">IF(Tasks[[#This Row],[Task Name]]="","",MAX(1,N(Tasks[[#This Row],[Level]])))</f>
        <v>3</v>
      </c>
      <c r="BF17" s="45" t="n">
        <f aca="false">ROW()-ROW(Tasks[[#Headers],[ID]])</f>
        <v>12</v>
      </c>
      <c r="BG17" s="45" t="n">
        <f aca="false">IF(OR(Tasks[[#This Row],[Task Name]]="",Tasks[[#This Row],[_Level]]&lt;=1),0,IFERROR(LOOKUP(2,1/(Tasks[[#Headers],[_Level]]:Tasks[[#This Row],[_Level]]=Tasks[[#This Row],[_Level]]-1),ROW(Tasks[[#Headers],[_Level]]:Tasks[[#This Row],[_Level]])),0))</f>
        <v>16</v>
      </c>
      <c r="BH17" s="45" t="n">
        <f aca="false">IFERROR(N(INDEX(Tasks[_Level],Tasks[[#This Row],[_Row]]+1)),0)</f>
        <v>3</v>
      </c>
      <c r="BI17" s="73" t="b">
        <f aca="false">AND(Tasks[[#This Row],[Task Name]]&lt;&gt;"",Tasks[[#This Row],[_NextLevel]]&gt;Tasks[[#This Row],[_Level]])</f>
        <v>0</v>
      </c>
      <c r="BJ17" s="45" t="n">
        <f aca="false">IF(Tasks[[#This Row],[_IsSummary]],COUNTIF(Tasks[WBS],Tasks[[#This Row],[WBS]]&amp;".*"),0)</f>
        <v>0</v>
      </c>
      <c r="BK17" s="45" t="n">
        <f aca="false">IF(AND(Tasks[[#This Row],[Task Name]]&lt;&gt;"",NOT(Tasks[[#This Row],[_IsSummary]])),1,0)</f>
        <v>1</v>
      </c>
      <c r="BL17" s="45" t="n">
        <f aca="false">IF(N(Tasks[[#This Row],[_Pred1UID]])=0,0,IFERROR(MATCH(Tasks[[#This Row],[_Pred1UID]],Tasks[UID],0),-1))</f>
        <v>9</v>
      </c>
      <c r="BM17" s="45" t="n">
        <f aca="false">IF(N(Tasks[[#This Row],[_Pred2UID]])=0,0,IFERROR(MATCH(Tasks[[#This Row],[_Pred2UID]],Tasks[UID],0),-1))</f>
        <v>0</v>
      </c>
      <c r="BN17" s="45" t="n">
        <f aca="false">IF(N(Tasks[[#This Row],[_Pred3UID]])=0,0,IFERROR(MATCH(Tasks[[#This Row],[_Pred3UID]],Tasks[UID],0),-1))</f>
        <v>0</v>
      </c>
      <c r="BO17" s="45" t="n">
        <f aca="false">IF(N(Tasks[[#This Row],[_Pred4UID]])=0,0,IFERROR(MATCH(Tasks[[#This Row],[_Pred4UID]],Tasks[UID],0),-1))</f>
        <v>0</v>
      </c>
      <c r="BP17"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1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7" s="74" t="n">
        <f aca="false">IF(OR(Tasks[[#This Row],[_ConstraintCode]]=2,Tasks[[#This Row],[_ConstraintCode]]=3,Tasks[[#This Row],[_ConstraintCode]]=4,Tasks[[#This Row],[_ConstraintCode]]=6),Tasks[[#This Row],[_ConstraintStart]],0)</f>
        <v>0</v>
      </c>
      <c r="BS17" s="74" t="n">
        <f aca="false">IF(OR(Tasks[[#This Row],[_ConstraintCode]]=2,Tasks[[#This Row],[_ConstraintCode]]=3,Tasks[[#This Row],[_ConstraintCode]]=5,Tasks[[#This Row],[_ConstraintCode]]=7),Tasks[[#This Row],[_ConstraintStart]],2958465)</f>
        <v>2958465</v>
      </c>
      <c r="BT17"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BU17" s="74" t="n">
        <f aca="false">IF(NOT(Tasks[[#This Row],[_IsLeaf]]=1),"",IF(N(Tasks[[#This Row],[Duration]])&lt;=0,Tasks[[#This Row],[_LeafCalcStart]],WORKDAY.INTL(Tasks[[#This Row],[_LeafCalcStart]],Tasks[[#This Row],[Duration]]-1,WorkWeek,Holidays)))</f>
        <v>46303</v>
      </c>
      <c r="BV17"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BW17"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46309</v>
      </c>
      <c r="BX17" s="45" t="str">
        <f aca="false">IF(Tasks[[#This Row],[Predecessors]]="","",TRIM(MID(SUBSTITUTE(SUBSTITUTE(SUBSTITUTE(UPPER(Tasks[[#This Row],[Predecessors]]),";",",")," ",""),",",REPT(" ",99)),1,99)))</f>
        <v>9</v>
      </c>
      <c r="BY17" s="45" t="n">
        <f aca="false">IF(Tasks[[#This Row],[_Pred1Text]]="","",IFERROR(VALUE(LEFT(Tasks[[#This Row],[_Pred1Text]],MIN(FIND("F",Tasks[[#This Row],[_Pred1Text]]&amp;"F"),FIND("S",Tasks[[#This Row],[_Pred1Text]]&amp;"S"),FIND("+",Tasks[[#This Row],[_Pred1Text]]&amp;"+"),FIND("-",Tasks[[#This Row],[_Pred1Text]]&amp;"-"))-1)),""))</f>
        <v>9</v>
      </c>
      <c r="BZ1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17"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17" s="45" t="str">
        <f aca="false">IF(Tasks[[#This Row],[_Pred1Text]]="","",TRIM(MID(SUBSTITUTE(SUBSTITUTE(SUBSTITUTE(UPPER(Tasks[[#This Row],[Predecessors]]),";",",")," ",""),",",REPT(" ",99)),100,99)))</f>
        <v/>
      </c>
      <c r="CC17" s="45" t="str">
        <f aca="false">IF(Tasks[[#This Row],[_Pred2Text]]="","",IFERROR(VALUE(LEFT(Tasks[[#This Row],[_Pred2Text]],MIN(FIND("F",Tasks[[#This Row],[_Pred2Text]]&amp;"F"),FIND("S",Tasks[[#This Row],[_Pred2Text]]&amp;"S"),FIND("+",Tasks[[#This Row],[_Pred2Text]]&amp;"+"),FIND("-",Tasks[[#This Row],[_Pred2Text]]&amp;"-"))-1)),""))</f>
        <v/>
      </c>
      <c r="CD1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7" s="45" t="str">
        <f aca="false">IF(Tasks[[#This Row],[_Pred2Text]]="","",TRIM(MID(SUBSTITUTE(SUBSTITUTE(SUBSTITUTE(UPPER(Tasks[[#This Row],[Predecessors]]),";",",")," ",""),",",REPT(" ",99)),199,99)))</f>
        <v/>
      </c>
      <c r="CG17" s="45" t="str">
        <f aca="false">IF(Tasks[[#This Row],[_Pred3Text]]="","",IFERROR(VALUE(LEFT(Tasks[[#This Row],[_Pred3Text]],MIN(FIND("F",Tasks[[#This Row],[_Pred3Text]]&amp;"F"),FIND("S",Tasks[[#This Row],[_Pred3Text]]&amp;"S"),FIND("+",Tasks[[#This Row],[_Pred3Text]]&amp;"+"),FIND("-",Tasks[[#This Row],[_Pred3Text]]&amp;"-"))-1)),""))</f>
        <v/>
      </c>
      <c r="CH1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7" s="45" t="str">
        <f aca="false">IF(Tasks[[#This Row],[_Pred3Text]]="","",TRIM(MID(SUBSTITUTE(SUBSTITUTE(SUBSTITUTE(UPPER(Tasks[[#This Row],[Predecessors]]),";",",")," ",""),",",REPT(" ",99)),298,99)))</f>
        <v/>
      </c>
      <c r="CK17" s="45" t="str">
        <f aca="false">IF(Tasks[[#This Row],[_Pred4Text]]="","",IFERROR(VALUE(LEFT(Tasks[[#This Row],[_Pred4Text]],MIN(FIND("F",Tasks[[#This Row],[_Pred4Text]]&amp;"F"),FIND("S",Tasks[[#This Row],[_Pred4Text]]&amp;"S"),FIND("+",Tasks[[#This Row],[_Pred4Text]]&amp;"+"),FIND("-",Tasks[[#This Row],[_Pred4Text]]&amp;"-"))-1)),""))</f>
        <v/>
      </c>
      <c r="CL1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7" s="45" t="str">
        <f aca="false">IF(OR(Tasks[[#This Row],[Task Name]]="",Tasks[[#This Row],[Resources]]=""),"",TRIM(MID(SUBSTITUTE(Tasks[[#This Row],[Resources]],",",REPT(" ",99)),1,99)))</f>
        <v>Jordan Lee</v>
      </c>
      <c r="CO17" s="45" t="str">
        <f aca="false">IF(Tasks[[#This Row],[_Res1Text]]="","",TRIM(MID(SUBSTITUTE(Tasks[[#This Row],[Resources]],",",REPT(" ",99)),100,99)))</f>
        <v/>
      </c>
      <c r="CP17" s="45" t="str">
        <f aca="false">IF(Tasks[[#This Row],[_Res2Text]]="","",TRIM(MID(SUBSTITUTE(Tasks[[#This Row],[Resources]],",",REPT(" ",99)),199,99)))</f>
        <v/>
      </c>
      <c r="CQ17" s="45" t="str">
        <f aca="false">IF(Tasks[[#This Row],[_Res3Text]]="","",TRIM(MID(SUBSTITUTE(Tasks[[#This Row],[Resources]],",",REPT(" ",99)),298,99)))</f>
        <v/>
      </c>
      <c r="CR1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Jordan Lee</v>
      </c>
      <c r="CS1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 s="45" t="n">
        <f aca="false">IF(NOT(Tasks[[#This Row],[_IsLeaf]]=1),0,(Tasks[[#This Row],[_Resource1]]&lt;&gt;"")+(Tasks[[#This Row],[_Res2]]&lt;&gt;"")+(Tasks[[#This Row],[_Res3]]&lt;&gt;"")+(Tasks[[#This Row],[_Res4]]&lt;&gt;""))</f>
        <v>1</v>
      </c>
      <c r="CU1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 s="45" t="n">
        <f aca="false">IF(OR(NOT(Tasks[[#This Row],[_IsLeaf]]=1),Tasks[[#This Row],[_Res2]]=""),0,IF(ISNA(MATCH(Tasks[[#This Row],[_Res2]],res_Name,0)),0,N(Tasks[[#This Row],[Duration]])*HoursPerDay*IF(Tasks[[#This Row],[_Res2Units]]="",DefaultUnits,Tasks[[#This Row],[_Res2Units]])))</f>
        <v>0</v>
      </c>
      <c r="CX17" s="45" t="n">
        <f aca="false">IF(Tasks[[#This Row],[_Res2Work]]=0,0,Tasks[[#This Row],[_Res2Work]]*IFERROR(INDEX(res_Rate,MATCH(Tasks[[#This Row],[_Res2]],res_Name,0)),0))</f>
        <v>0</v>
      </c>
      <c r="CY17" s="45" t="n">
        <f aca="false">IF(AND(AND(Tasks[[#This Row],[_IsLeaf]]=1,Tasks[[#This Row],[_LeafTotalWork]]&gt;0),Tasks[[#This Row],[_Res2Work]]&gt;0),Tasks[[#This Row],[_Res2Work]]/(Tasks[[#This Row],[_FinishWorkday]]-Tasks[[#This Row],[_StartWorkday]]+1),0)</f>
        <v>0</v>
      </c>
      <c r="CZ17" s="45" t="n">
        <f aca="false">Tasks[[#This Row],[_Res2WorkPerWD]]*MAX(0,Tasks[[#This Row],[_StartWorkday]]-1)</f>
        <v>0</v>
      </c>
      <c r="DA17" s="45" t="n">
        <f aca="false">Tasks[[#This Row],[_Res2Work]]*Tasks[[#This Row],[_LeafProgress]]</f>
        <v>0</v>
      </c>
      <c r="DB17" s="45" t="n">
        <f aca="false">IF(Tasks[[#This Row],[_LeafTotalCost]]=0,0,Tasks[[#This Row],[_LeafAC]]*Tasks[[#This Row],[_Res2Cost]]/Tasks[[#This Row],[_LeafTotalCost]])</f>
        <v>0</v>
      </c>
      <c r="DC1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7" s="45" t="n">
        <f aca="false">IF(OR(NOT(Tasks[[#This Row],[_IsLeaf]]=1),Tasks[[#This Row],[_Res3]]=""),0,IF(ISNA(MATCH(Tasks[[#This Row],[_Res3]],res_Name,0)),0,N(Tasks[[#This Row],[Duration]])*HoursPerDay*IF(Tasks[[#This Row],[_Res3Units]]="",DefaultUnits,Tasks[[#This Row],[_Res3Units]])))</f>
        <v>0</v>
      </c>
      <c r="DF17" s="45" t="n">
        <f aca="false">IF(Tasks[[#This Row],[_Res3Work]]=0,0,Tasks[[#This Row],[_Res3Work]]*IFERROR(INDEX(res_Rate,MATCH(Tasks[[#This Row],[_Res3]],res_Name,0)),0))</f>
        <v>0</v>
      </c>
      <c r="DG17" s="45" t="n">
        <f aca="false">IF(AND(AND(Tasks[[#This Row],[_IsLeaf]]=1,Tasks[[#This Row],[_LeafTotalWork]]&gt;0),Tasks[[#This Row],[_Res3Work]]&gt;0),Tasks[[#This Row],[_Res3Work]]/(Tasks[[#This Row],[_FinishWorkday]]-Tasks[[#This Row],[_StartWorkday]]+1),0)</f>
        <v>0</v>
      </c>
      <c r="DH17" s="45" t="n">
        <f aca="false">Tasks[[#This Row],[_Res3WorkPerWD]]*MAX(0,Tasks[[#This Row],[_StartWorkday]]-1)</f>
        <v>0</v>
      </c>
      <c r="DI17" s="45" t="n">
        <f aca="false">Tasks[[#This Row],[_Res3Work]]*Tasks[[#This Row],[_LeafProgress]]</f>
        <v>0</v>
      </c>
      <c r="DJ17" s="45" t="n">
        <f aca="false">IF(Tasks[[#This Row],[_LeafTotalCost]]=0,0,Tasks[[#This Row],[_LeafAC]]*Tasks[[#This Row],[_Res3Cost]]/Tasks[[#This Row],[_LeafTotalCost]])</f>
        <v>0</v>
      </c>
      <c r="DK1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7" s="45" t="n">
        <f aca="false">IF(OR(NOT(Tasks[[#This Row],[_IsLeaf]]=1),Tasks[[#This Row],[_Res4]]=""),0,IF(ISNA(MATCH(Tasks[[#This Row],[_Res4]],res_Name,0)),0,N(Tasks[[#This Row],[Duration]])*HoursPerDay*IF(Tasks[[#This Row],[_Res4Units]]="",DefaultUnits,Tasks[[#This Row],[_Res4Units]])))</f>
        <v>0</v>
      </c>
      <c r="DN17" s="45" t="n">
        <f aca="false">IF(Tasks[[#This Row],[_Res4Work]]=0,0,Tasks[[#This Row],[_Res4Work]]*IFERROR(INDEX(res_Rate,MATCH(Tasks[[#This Row],[_Res4]],res_Name,0)),0))</f>
        <v>0</v>
      </c>
      <c r="DO17" s="45" t="n">
        <f aca="false">IF(AND(AND(Tasks[[#This Row],[_IsLeaf]]=1,Tasks[[#This Row],[_LeafTotalWork]]&gt;0),Tasks[[#This Row],[_Res4Work]]&gt;0),Tasks[[#This Row],[_Res4Work]]/(Tasks[[#This Row],[_FinishWorkday]]-Tasks[[#This Row],[_StartWorkday]]+1),0)</f>
        <v>0</v>
      </c>
      <c r="DP17" s="45" t="n">
        <f aca="false">Tasks[[#This Row],[_Res4WorkPerWD]]*MAX(0,Tasks[[#This Row],[_StartWorkday]]-1)</f>
        <v>0</v>
      </c>
      <c r="DQ17" s="45" t="n">
        <f aca="false">Tasks[[#This Row],[_Res4Work]]*Tasks[[#This Row],[_LeafProgress]]</f>
        <v>0</v>
      </c>
      <c r="DR17" s="45" t="n">
        <f aca="false">IF(Tasks[[#This Row],[_LeafTotalCost]]=0,0,Tasks[[#This Row],[_LeafAC]]*Tasks[[#This Row],[_Res4Cost]]/Tasks[[#This Row],[_LeafTotalCost]])</f>
        <v>0</v>
      </c>
      <c r="DS17" s="76" t="n">
        <f aca="false">IF(ISNUMBER(Tasks[[#This Row],[% Complete]]),Tasks[[#This Row],[% Complete]],IF(Tasks[[#This Row],[Stage]]="",0,IFERROR(INDEX(stg_Pct,MATCH(Tasks[[#This Row],[Stage]],stg_Name,0)),0)))</f>
        <v>1</v>
      </c>
      <c r="DT17" s="45" t="n">
        <f aca="false">IF(NOT(Tasks[[#This Row],[_IsLeaf]]=1),0,IF(N(Tasks[[#This Row],[Actual Finish]])&gt;0,1,MIN(1,Tasks[[#This Row],[_Pct]])))</f>
        <v>1</v>
      </c>
      <c r="DU17" s="45" t="n">
        <f aca="false">IF(OR(NOT(Tasks[[#This Row],[_IsLeaf]]=1),Tasks[[#This Row],[_Resource1]]=""),0,IF(ISNA(MATCH(Tasks[[#This Row],[_Resource1]],res_Name,0)),0,N(Tasks[[#This Row],[Duration]])*HoursPerDay*IF(Tasks[[#This Row],[_Units1]]="",DefaultUnits,Tasks[[#This Row],[_Units1]])))</f>
        <v>40</v>
      </c>
      <c r="DV17" s="45" t="n">
        <f aca="false">IF(Tasks[[#This Row],[_LeafWork]]=0,0,Tasks[[#This Row],[_LeafWork]]*IFERROR(INDEX(res_Rate,MATCH(Tasks[[#This Row],[_Resource1]],res_Name,0)),0))</f>
        <v>3400</v>
      </c>
      <c r="DW17" s="45" t="n">
        <f aca="false">Tasks[[#This Row],[_LeafWork]]+Tasks[[#This Row],[_Res2Work]]+Tasks[[#This Row],[_Res3Work]]+Tasks[[#This Row],[_Res4Work]]</f>
        <v>40</v>
      </c>
      <c r="DX17" s="45" t="n">
        <f aca="false">Tasks[[#This Row],[_LeafCost]]+Tasks[[#This Row],[_Res2Cost]]+Tasks[[#This Row],[_Res3Cost]]+Tasks[[#This Row],[_Res4Cost]]</f>
        <v>3400</v>
      </c>
      <c r="DY17" s="45" t="n">
        <f aca="false">IF(Tasks[[#This Row],[_LeafTotalCost]]=0,Tasks[[#This Row],[_LeafAC]],Tasks[[#This Row],[_LeafAC]]*Tasks[[#This Row],[_LeafCost]]/Tasks[[#This Row],[_LeafTotalCost]])</f>
        <v>3400</v>
      </c>
      <c r="DZ17"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2912162</v>
      </c>
      <c r="EA1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7"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1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7" s="45" t="n">
        <f aca="false">IF(NOT(Tasks[[#This Row],[_IsLeaf]]=1),0,MAX(_xlfn.MAXIFS(Tasks[_Row],Tasks[_Pred1UID],Tasks[[#This Row],[UID]]),_xlfn.MAXIFS(Tasks[_Row],Tasks[_Pred2UID],Tasks[[#This Row],[UID]]),_xlfn.MAXIFS(Tasks[_Row],Tasks[_Pred3UID],Tasks[[#This Row],[UID]]),_xlfn.MAXIFS(Tasks[_Row],Tasks[_Pred4UID],Tasks[[#This Row],[UID]])))</f>
        <v>13</v>
      </c>
      <c r="EI17"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46310</v>
      </c>
      <c r="EJ17"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46310</v>
      </c>
      <c r="EK17" s="74" t="n">
        <f aca="false">IF(NOT(Tasks[[#This Row],[_IsLeaf]]=1),"",IF(N(Tasks[[#This Row],[Duration]])&lt;=0,Tasks[[#This Row],[_LeafLateFinish]],WORKDAY.INTL(Tasks[[#This Row],[_LeafLateFinish]],-(Tasks[[#This Row],[Duration]]-1),WorkWeek,Holidays)))</f>
        <v>46304</v>
      </c>
      <c r="EL17"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M17" s="73" t="b">
        <f aca="false">AND(Tasks[[#This Row],[_IsLeaf]]=1,Tasks[[#This Row],[_LeafProgress]]&lt;1,N(Tasks[[#This Row],[_LeafTotalSlack]])&lt;=CriticalSlackDays)</f>
        <v>0</v>
      </c>
      <c r="EN17" s="45" t="n">
        <f aca="false">IF(AND(Tasks[[#This Row],[_IsLeaf]]=1,Tasks[[#This Row],[_ConstraintCode]]=1,Tasks[[#This Row],[Mode]]&lt;&gt;"Manual",N(Tasks[[#This Row],[Actual Start]])=0),MAX(0,N(Tasks[[#This Row],[Free Slack]])),0)</f>
        <v>0</v>
      </c>
      <c r="EO17" s="74" t="n">
        <f aca="false">IF(NOT(Tasks[[#This Row],[_IsLeaf]]=1),"",IF(Tasks[[#This Row],[_AlapShift]]=0,Tasks[[#This Row],[_LeafCalcStart]],WORKDAY.INTL(Tasks[[#This Row],[_LeafCalcStart]],Tasks[[#This Row],[_AlapShift]],WorkWeek,Holidays)))</f>
        <v>46297</v>
      </c>
      <c r="EP17" s="74" t="n">
        <f aca="false">IF(NOT(Tasks[[#This Row],[_IsLeaf]]=1),"",IF(Tasks[[#This Row],[_AlapShift]]=0,Tasks[[#This Row],[_LeafCalcFinish]],WORKDAY.INTL(Tasks[[#This Row],[_LeafCalcFinish]],Tasks[[#This Row],[_AlapShift]],WorkWeek,Holidays)))</f>
        <v>46303</v>
      </c>
      <c r="EQ17" s="74" t="n">
        <f aca="false">IF(NOT(Tasks[[#This Row],[_IsLeaf]]=1),"",IF(Tasks[[#This Row],[_AlapShift]]=0,Tasks[[#This Row],[_LeafFcstStart]],WORKDAY.INTL(Tasks[[#This Row],[_LeafFcstStart]],Tasks[[#This Row],[_AlapShift]],WorkWeek,Holidays)))</f>
        <v>46302</v>
      </c>
      <c r="ER17" s="74" t="n">
        <f aca="false">IF(NOT(Tasks[[#This Row],[_IsLeaf]]=1),"",IF(Tasks[[#This Row],[_AlapShift]]=0,Tasks[[#This Row],[_LeafFcstFinish]],WORKDAY.INTL(Tasks[[#This Row],[_LeafFcstFinish]],Tasks[[#This Row],[_AlapShift]],WorkWeek,Holidays)))</f>
        <v>46309</v>
      </c>
      <c r="ES17" s="74" t="n">
        <f aca="false">IF(Tasks[[#This Row],[Task Name]]="","",IF(Tasks[[#This Row],[_IsSummary]],MIN(INDEX(Tasks[_ShownCalcStart],Tasks[[#This Row],[_Row]]+1):INDEX(Tasks[_ShownCalcStart],Tasks[[#This Row],[_Row]]+Tasks[[#This Row],[_Descendants]])),Tasks[[#This Row],[_ShownCalcStart]]))</f>
        <v>46297</v>
      </c>
      <c r="ET17" s="74" t="n">
        <f aca="false">IF(Tasks[[#This Row],[Task Name]]="","",IF(Tasks[[#This Row],[_IsSummary]],MAX(INDEX(Tasks[_ShownCalcFinish],Tasks[[#This Row],[_Row]]+1):INDEX(Tasks[_ShownCalcFinish],Tasks[[#This Row],[_Row]]+Tasks[[#This Row],[_Descendants]])),Tasks[[#This Row],[_ShownCalcFinish]]))</f>
        <v>46303</v>
      </c>
      <c r="EU1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46297</v>
      </c>
      <c r="EZ1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46302</v>
      </c>
      <c r="FD1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7" s="45" t="n">
        <f aca="false">IF(AND(Tasks[[#This Row],[_IsLeaf]]=1,Tasks[[#This Row],[_LeafTotalWork]]&gt;0),NETWORKDAYS.INTL(ProjectStart,Tasks[[#This Row],[_ShownFcstStart]],WorkWeek,Holidays),0)</f>
        <v>23</v>
      </c>
      <c r="FH17" s="45" t="n">
        <f aca="false">IF(AND(Tasks[[#This Row],[_IsLeaf]]=1,Tasks[[#This Row],[_LeafTotalWork]]&gt;0),MAX(Tasks[[#This Row],[_StartWorkday]],NETWORKDAYS.INTL(ProjectStart,Tasks[[#This Row],[_ShownFcstFinish]],WorkWeek,Holidays)),0)</f>
        <v>28</v>
      </c>
      <c r="FI17" s="45" t="n">
        <f aca="false">IF(AND(Tasks[[#This Row],[_IsLeaf]]=1,Tasks[[#This Row],[_LeafTotalWork]]&gt;0),Tasks[[#This Row],[_LeafWork]]/(Tasks[[#This Row],[_FinishWorkday]]-Tasks[[#This Row],[_StartWorkday]]+1),0)</f>
        <v>6.66666666666667</v>
      </c>
      <c r="FJ17" s="45" t="n">
        <f aca="false">Tasks[[#This Row],[_WorkPerWorkday]]*(Tasks[[#This Row],[_StartWorkday]]-1)</f>
        <v>146.666666666667</v>
      </c>
      <c r="FK17" s="45" t="n">
        <f aca="false">IF(Tasks[[#This Row],[_IsLeaf]]=1,MAX(N(Tasks[[#This Row],[Duration]]),0.1),0)</f>
        <v>5</v>
      </c>
      <c r="FL17" s="45" t="n">
        <f aca="false">Tasks[[#This Row],[_WeightDur]]*Tasks[[#This Row],[_LeafProgress]]</f>
        <v>5</v>
      </c>
      <c r="FM1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FN17" s="45" t="str">
        <f aca="false">IF(AND(Tasks[[#This Row],[_IsLeaf]]=1,N(Tasks[[#This Row],[Duration]])=0,Tasks[[#This Row],[_LeafProgress]]&lt;1),Tasks[[#This Row],[_ShownFcstFinish]]+Tasks[[#This Row],[_Row]]/100000,"")</f>
        <v/>
      </c>
      <c r="FO1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P17" s="45" t="n">
        <f aca="false">IF(NOT(Tasks[[#This Row],[_IsLeaf]]=1),0,IF(Tasks[[#This Row],[Baseline Cost]]="",Tasks[[#This Row],[_LeafTotalCost]],N(Tasks[[#This Row],[Baseline Cost]])))</f>
        <v>3400</v>
      </c>
      <c r="FQ17" s="45" t="n">
        <f aca="false">Tasks[[#This Row],[_LeafBudget]]*Tasks[[#This Row],[_PlannedPct]]</f>
        <v>3400</v>
      </c>
      <c r="FR17" s="45" t="n">
        <f aca="false">Tasks[[#This Row],[_LeafBudget]]*Tasks[[#This Row],[_LeafProgress]]</f>
        <v>3400</v>
      </c>
      <c r="FS17" s="45" t="n">
        <f aca="false">IF(NOT(Tasks[[#This Row],[_IsLeaf]]=1),0,IF(Tasks[[#This Row],[Actual Cost]]="",Tasks[[#This Row],[_LeafTotalCost]]*Tasks[[#This Row],[_LeafProgress]],N(Tasks[[#This Row],[Actual Cost]])))</f>
        <v>3400</v>
      </c>
      <c r="FT17" s="45" t="str">
        <f aca="false">IF(Tasks[[#This Row],[Task Name]]="","",LEFT(Tasks[[#This Row],[WBS]],FIND(".",Tasks[[#This Row],[WBS]]&amp;".")-1))</f>
        <v>3</v>
      </c>
      <c r="FU17" s="45" t="str">
        <f aca="false">IF(AND(Tasks[[#This Row],[Task Name]]&lt;&gt;"",Tasks[[#This Row],[_Level]]=1),Tasks[[#This Row],[_Row]],"")</f>
        <v/>
      </c>
      <c r="FV17" s="45" t="str">
        <f aca="false">IF(AND(Tasks[[#This Row],[_IsLeaf]]=1,N(Tasks[[#This Row],[Duration]])=0),Tasks[[#This Row],[Planned Finish]]+Tasks[[#This Row],[_Row]]/100000,"")</f>
        <v/>
      </c>
      <c r="FW17" s="45" t="str">
        <f aca="false">IF(AND(Tasks[[#This Row],[_IsLeaf]]=1,Tasks[[#This Row],[_LeafProgress]]&lt;1,OR(N(Tasks[[#This Row],[Finish Var]])&gt;0,Tasks[[#This Row],[Status]]="Late Start")),MAX(0,Tasks[[#This Row],[Finish Var]])+1-Tasks[[#This Row],[_Row]]/1000000,"")</f>
        <v/>
      </c>
      <c r="FX17" s="45" t="str">
        <f aca="false">IF(AND(Tasks[[#This Row],[_IsLeaf]]=1,N(Tasks[[#This Row],[Actual Start]])=0,Tasks[[#This Row],[_ShownFcstStart]]&gt;=StatusDate,Tasks[[#This Row],[_ShownFcstStart]]&lt;=LookaheadEnd),Tasks[[#This Row],[_ShownFcstStart]]+Tasks[[#This Row],[_Row]]/100000,"")</f>
        <v/>
      </c>
      <c r="FY17" s="45" t="str">
        <f aca="false">IF(AND(Tasks[[#This Row],[_IsLeaf]]=1,Tasks[[#This Row],[_LeafProgress]]&lt;1,Tasks[[#This Row],[_ShownFcstFinish]]&gt;=StatusDate,Tasks[[#This Row],[_ShownFcstFinish]]&lt;=LookaheadEnd),Tasks[[#This Row],[_ShownFcstFinish]]+Tasks[[#This Row],[_Row]]/100000,"")</f>
        <v/>
      </c>
      <c r="FZ17" s="45" t="str">
        <f aca="false">IF(Tasks[[#This Row],[_LeafCritical]],Tasks[[#This Row],[_ShownFcstStart]]+Tasks[[#This Row],[_Row]]/100000,"")</f>
        <v/>
      </c>
      <c r="GA17" s="45" t="n">
        <f aca="false">Tasks[[#This Row],[_LeafWork]]*Tasks[[#This Row],[_LeafProgress]]</f>
        <v>40</v>
      </c>
      <c r="GB17" s="74" t="n">
        <f aca="false">IF(AND(Tasks[[#This Row],[_IsLeaf]]=1,Tasks[[#This Row],[_LeafProgress]]&gt;=1),IF(N(Tasks[[#This Row],[Actual Finish]])&gt;0,Tasks[[#This Row],[Actual Finish]],Tasks[[#This Row],[_ShownFcstFinish]]),"")</f>
        <v>46309</v>
      </c>
    </row>
    <row r="18" customFormat="false" ht="15" hidden="false" customHeight="false" outlineLevel="2" collapsed="false">
      <c r="A18" s="67" t="n">
        <f aca="false">IF(Tasks[[#This Row],[Task Name]]="","",COUNTA(Tasks[[#Headers],[Task Name]]:Tasks[[#This Row],[Task Name]])-1)</f>
        <v>13</v>
      </c>
      <c r="B18" s="21" t="n">
        <v>13</v>
      </c>
      <c r="C1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3.1.2</v>
      </c>
      <c r="D18" s="21" t="n">
        <v>3</v>
      </c>
      <c r="E18" s="78" t="s">
        <v>528</v>
      </c>
      <c r="F18" s="21" t="n">
        <v>10</v>
      </c>
      <c r="G18" s="22" t="s">
        <v>529</v>
      </c>
      <c r="H18" s="22" t="s">
        <v>527</v>
      </c>
      <c r="I18" s="22" t="s">
        <v>316</v>
      </c>
      <c r="J18" s="7" t="n">
        <v>46310</v>
      </c>
      <c r="K18" s="7"/>
      <c r="L18" s="22" t="s">
        <v>530</v>
      </c>
      <c r="M18" s="58" t="n">
        <f aca="false">IF(Tasks[[#This Row],[Task Name]]="","",IF(Tasks[[#This Row],[_IsSummary]],MIN(INDEX(Tasks[_ShownFcstStart],Tasks[[#This Row],[_Row]]+1):INDEX(Tasks[_ShownFcstStart],Tasks[[#This Row],[_Row]]+Tasks[[#This Row],[_Descendants]])),Tasks[[#This Row],[_ShownFcstStart]]))</f>
        <v>46310</v>
      </c>
      <c r="N18" s="58" t="n">
        <f aca="false">IF(Tasks[[#This Row],[Task Name]]="","",IF(Tasks[[#This Row],[_IsSummary]],MAX(INDEX(Tasks[_ShownFcstFinish],Tasks[[#This Row],[_Row]]+1):INDEX(Tasks[_ShownFcstFinish],Tasks[[#This Row],[_Row]]+Tasks[[#This Row],[_Descendants]])),Tasks[[#This Row],[_ShownFcstFinish]]))</f>
        <v>46325</v>
      </c>
      <c r="O18" s="20" t="str">
        <f aca="false">IF(Tasks[[#This Row],[Task Name]]="","",IF(Tasks[[#This Row],[Progress]]&gt;=1,"Complete",IF(OR(N(Tasks[[#This Row],[Actual Start]])&gt;0,Tasks[[#This Row],[Progress]]&gt;0),IF(Tasks[[#This Row],[Finish Var]]&gt;0,"Behind","In Progress"),IF(Tasks[[#This Row],[Planned Start]]&lt;StatusDate,"Late Start","Not Started"))))</f>
        <v>Behind</v>
      </c>
      <c r="P18" s="20" t="str">
        <f aca="false">IF(Tasks[[#This Row],[Task Name]]="","",IF(IF(Tasks[[#This Row],[_IsSummary]],COUNTIF(INDEX(Tasks[_LeafCritical],Tasks[[#This Row],[_Row]]+1):INDEX(Tasks[_LeafCritical],Tasks[[#This Row],[_Row]]+Tasks[[#This Row],[_Descendants]]),TRUE())&gt;0,Tasks[[#This Row],[_LeafCritical]]),"Yes",""))</f>
        <v>Yes</v>
      </c>
      <c r="Q1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8" s="67" t="str">
        <f aca="false">IF(Tasks[[#This Row],[Task Name]]="","",IF(Tasks[[#This Row],[_Level]]&lt;=OutlineShowLevel,"Yes","No"))</f>
        <v>Yes</v>
      </c>
      <c r="S18" s="7"/>
      <c r="T18" s="21" t="s">
        <v>195</v>
      </c>
      <c r="U18" s="22"/>
      <c r="V18" s="7"/>
      <c r="W18" s="67" t="n">
        <f aca="false">IF(Tasks[[#This Row],[Task Name]]="","",IF(Tasks[[#This Row],[Finish]]&gt;=Tasks[[#This Row],[Planned Finish]],NETWORKDAYS.INTL(Tasks[[#This Row],[Planned Finish]],Tasks[[#This Row],[Finish]],WorkWeek,Holidays)-1,1-NETWORKDAYS.INTL(Tasks[[#This Row],[Finish]],Tasks[[#This Row],[Planned Finish]],WorkWeek,Holidays)))</f>
        <v>6</v>
      </c>
      <c r="X18" s="58" t="n">
        <f aca="false">IF(Tasks[[#This Row],[Task Name]]="","",IF(N(Tasks[[#This Row],[Baseline Start]])&gt;0,Tasks[[#This Row],[Baseline Start]],Tasks[[#This Row],[_CalcStart]]))</f>
        <v>46304</v>
      </c>
      <c r="Y18" s="58" t="n">
        <f aca="false">IF(Tasks[[#This Row],[Task Name]]="","",IF(N(Tasks[[#This Row],[Baseline Finish]])&gt;0,Tasks[[#This Row],[Baseline Finish]],Tasks[[#This Row],[_CalcFinish]]))</f>
        <v>46317</v>
      </c>
      <c r="Z18" s="67" t="n">
        <f aca="false">IF(Tasks[[#This Row],[Task Name]]="","",IF(Tasks[[#This Row],[Start]]&gt;=Tasks[[#This Row],[Planned Start]],NETWORKDAYS.INTL(Tasks[[#This Row],[Planned Start]],Tasks[[#This Row],[Start]],WorkWeek,Holidays)-1,1-NETWORKDAYS.INTL(Tasks[[#This Row],[Start]],Tasks[[#This Row],[Planned Start]],WorkWeek,Holidays)))</f>
        <v>4</v>
      </c>
      <c r="AA18" s="58" t="n">
        <f aca="false">IF(Tasks[[#This Row],[Task Name]]="","",IF(Tasks[[#This Row],[_IsSummary]],MIN(INDEX(Tasks[_LeafLateStart],Tasks[[#This Row],[_Row]]+1):INDEX(Tasks[_LeafLateStart],Tasks[[#This Row],[_Row]]+Tasks[[#This Row],[_Descendants]])),Tasks[[#This Row],[_LeafLateStart]]))</f>
        <v>46311</v>
      </c>
      <c r="AB18" s="58" t="n">
        <f aca="false">IF(Tasks[[#This Row],[Task Name]]="","",IF(Tasks[[#This Row],[_IsSummary]],MAX(INDEX(Tasks[_LeafLateFinish],Tasks[[#This Row],[_Row]]+1):INDEX(Tasks[_LeafLateFinish],Tasks[[#This Row],[_Row]]+Tasks[[#This Row],[_Descendants]])),Tasks[[#This Row],[_LeafLateFinish]]))</f>
        <v>46324</v>
      </c>
      <c r="AC18" s="67" t="n">
        <f aca="false">IF(Tasks[[#This Row],[Task Name]]="","",IF(Tasks[[#This Row],[_IsSummary]],MIN(INDEX(Tasks[_LeafTotalSlack],Tasks[[#This Row],[_Row]]+1):INDEX(Tasks[_LeafTotalSlack],Tasks[[#This Row],[_Row]]+Tasks[[#This Row],[_Descendants]])),Tasks[[#This Row],[_LeafTotalSlack]]))</f>
        <v>-1</v>
      </c>
      <c r="AD18"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-1</v>
      </c>
      <c r="AE1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8" s="60" t="n">
        <v>0.5</v>
      </c>
      <c r="AH18"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0.5</v>
      </c>
      <c r="AI1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12</v>
      </c>
      <c r="AJ18" s="69" t="n">
        <f aca="false">IF(Tasks[[#This Row],[Task Name]]="","",IF(Tasks[[#This Row],[_IsSummary]],SUM(INDEX(Tasks[_LeafTotalWork],Tasks[[#This Row],[_Row]]+1):INDEX(Tasks[_LeafTotalWork],Tasks[[#This Row],[_Row]]+Tasks[[#This Row],[_Descendants]])),Tasks[[#This Row],[_LeafTotalWork]]))</f>
        <v>80</v>
      </c>
      <c r="AK1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Jordan Lee</v>
      </c>
      <c r="AL18" s="70" t="n">
        <f aca="false">IF(Tasks[[#This Row],[Task Name]]="","",IF(Tasks[[#This Row],[_IsSummary]],SUM(INDEX(Tasks[_LeafTotalCost],Tasks[[#This Row],[_Row]]+1):INDEX(Tasks[_LeafTotalCost],Tasks[[#This Row],[_Row]]+Tasks[[#This Row],[_Descendants]])),Tasks[[#This Row],[_LeafTotalCost]]))</f>
        <v>6800</v>
      </c>
      <c r="AM18" s="71" t="n">
        <v>4080</v>
      </c>
      <c r="AN18" s="20" t="str">
        <f aca="false">IF(OR(Tasks[[#This Row],[Task Name]]="",Tasks[[#This Row],[Baseline Duration]]=""),"",Tasks[[#This Row],[BL Source Duration]]-N(Tasks[[#This Row],[Baseline Duration]]))</f>
        <v/>
      </c>
      <c r="AO18" s="69" t="str">
        <f aca="false">IF(OR(Tasks[[#This Row],[Task Name]]="",Tasks[[#This Row],[Baseline Work]]=""),"",Tasks[[#This Row],[Work]]-N(Tasks[[#This Row],[Baseline Work]]))</f>
        <v/>
      </c>
      <c r="AP18" s="70" t="str">
        <f aca="false">IF(OR(Tasks[[#This Row],[Task Name]]="",Tasks[[#This Row],[Baseline Cost]]=""),"",Tasks[[#This Row],[Cost]]-N(Tasks[[#This Row],[Baseline Cost]]))</f>
        <v/>
      </c>
      <c r="AQ18" s="58" t="n">
        <f aca="false">IF(Tasks[[#This Row],[Task Name]]="","",Tasks[[#This Row],[Start]])</f>
        <v>46310</v>
      </c>
      <c r="AR18" s="58" t="n">
        <f aca="false">IF(Tasks[[#This Row],[Task Name]]="","",Tasks[[#This Row],[Finish]])</f>
        <v>46325</v>
      </c>
      <c r="AS18" s="67" t="n">
        <f aca="false">IF(Tasks[[#This Row],[Task Name]]="","",IF(Tasks[[#This Row],[_IsSummary]],NETWORKDAYS.INTL(Tasks[[#This Row],[Start]],Tasks[[#This Row],[Finish]],WorkWeek,Holidays),N(Tasks[[#This Row],[Duration]])))</f>
        <v>10</v>
      </c>
      <c r="AT18" s="69" t="n">
        <f aca="false">IF(Tasks[[#This Row],[Task Name]]="","",Tasks[[#This Row],[Work]])</f>
        <v>80</v>
      </c>
      <c r="AU18" s="70" t="n">
        <f aca="false">IF(Tasks[[#This Row],[Task Name]]="","",Tasks[[#This Row],[Cost]])</f>
        <v>6800</v>
      </c>
      <c r="AV18" s="7"/>
      <c r="AW18" s="7"/>
      <c r="AX18" s="21"/>
      <c r="AY18" s="72"/>
      <c r="AZ18" s="71"/>
      <c r="BA18" s="70" t="n">
        <f aca="false">IF(Tasks[[#This Row],[Task Name]]="","",IF(Tasks[[#This Row],[_IsSummary]],SUM(INDEX(Tasks[_LeafEV],Tasks[[#This Row],[_Row]]+1):INDEX(Tasks[_LeafEV],Tasks[[#This Row],[_Row]]+Tasks[[#This Row],[_Descendants]])),Tasks[[#This Row],[_LeafEV]]))</f>
        <v>3400</v>
      </c>
      <c r="BB18" s="70" t="n">
        <f aca="false">IF(Tasks[[#This Row],[Task Name]]="","",IF(Tasks[[#This Row],[_IsSummary]],SUM(INDEX(Tasks[_LeafBudget],Tasks[[#This Row],[_Row]]+1):INDEX(Tasks[_LeafBudget],Tasks[[#This Row],[_Row]]+Tasks[[#This Row],[_Descendants]])),Tasks[[#This Row],[_LeafBudget]]))</f>
        <v>6800</v>
      </c>
      <c r="BC18" s="70" t="n">
        <f aca="false">IF(Tasks[[#This Row],[Task Name]]="","",IF(Tasks[[#This Row],[_IsSummary]],SUM(INDEX(Tasks[_LeafPV],Tasks[[#This Row],[_Row]]+1):INDEX(Tasks[_LeafPV],Tasks[[#This Row],[_Row]]+Tasks[[#This Row],[_Descendants]])),Tasks[[#This Row],[_LeafPV]]))</f>
        <v>6800</v>
      </c>
      <c r="BD18" s="70" t="n">
        <f aca="false">IF(Tasks[[#This Row],[Task Name]]="","",IF(Tasks[[#This Row],[_IsSummary]],SUM(INDEX(Tasks[_LeafAC],Tasks[[#This Row],[_Row]]+1):INDEX(Tasks[_LeafAC],Tasks[[#This Row],[_Row]]+Tasks[[#This Row],[_Descendants]])),Tasks[[#This Row],[_LeafAC]]))</f>
        <v>4080</v>
      </c>
      <c r="BE18" s="45" t="n">
        <f aca="false">IF(Tasks[[#This Row],[Task Name]]="","",MAX(1,N(Tasks[[#This Row],[Level]])))</f>
        <v>3</v>
      </c>
      <c r="BF18" s="45" t="n">
        <f aca="false">ROW()-ROW(Tasks[[#Headers],[ID]])</f>
        <v>13</v>
      </c>
      <c r="BG18" s="45" t="n">
        <f aca="false">IF(OR(Tasks[[#This Row],[Task Name]]="",Tasks[[#This Row],[_Level]]&lt;=1),0,IFERROR(LOOKUP(2,1/(Tasks[[#Headers],[_Level]]:Tasks[[#This Row],[_Level]]=Tasks[[#This Row],[_Level]]-1),ROW(Tasks[[#Headers],[_Level]]:Tasks[[#This Row],[_Level]])),0))</f>
        <v>16</v>
      </c>
      <c r="BH18" s="45" t="n">
        <f aca="false">IFERROR(N(INDEX(Tasks[_Level],Tasks[[#This Row],[_Row]]+1)),0)</f>
        <v>3</v>
      </c>
      <c r="BI18" s="73" t="b">
        <f aca="false">AND(Tasks[[#This Row],[Task Name]]&lt;&gt;"",Tasks[[#This Row],[_NextLevel]]&gt;Tasks[[#This Row],[_Level]])</f>
        <v>0</v>
      </c>
      <c r="BJ18" s="45" t="n">
        <f aca="false">IF(Tasks[[#This Row],[_IsSummary]],COUNTIF(Tasks[WBS],Tasks[[#This Row],[WBS]]&amp;".*"),0)</f>
        <v>0</v>
      </c>
      <c r="BK18" s="45" t="n">
        <f aca="false">IF(AND(Tasks[[#This Row],[Task Name]]&lt;&gt;"",NOT(Tasks[[#This Row],[_IsSummary]])),1,0)</f>
        <v>1</v>
      </c>
      <c r="BL18" s="45" t="n">
        <f aca="false">IF(N(Tasks[[#This Row],[_Pred1UID]])=0,0,IFERROR(MATCH(Tasks[[#This Row],[_Pred1UID]],Tasks[UID],0),-1))</f>
        <v>12</v>
      </c>
      <c r="BM18" s="45" t="n">
        <f aca="false">IF(N(Tasks[[#This Row],[_Pred2UID]])=0,0,IFERROR(MATCH(Tasks[[#This Row],[_Pred2UID]],Tasks[UID],0),-1))</f>
        <v>0</v>
      </c>
      <c r="BN18" s="45" t="n">
        <f aca="false">IF(N(Tasks[[#This Row],[_Pred3UID]])=0,0,IFERROR(MATCH(Tasks[[#This Row],[_Pred3UID]],Tasks[UID],0),-1))</f>
        <v>0</v>
      </c>
      <c r="BO18" s="45" t="n">
        <f aca="false">IF(N(Tasks[[#This Row],[_Pred4UID]])=0,0,IFERROR(MATCH(Tasks[[#This Row],[_Pred4UID]],Tasks[UID],0),-1))</f>
        <v>0</v>
      </c>
      <c r="BP18"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1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8" s="74" t="n">
        <f aca="false">IF(OR(Tasks[[#This Row],[_ConstraintCode]]=2,Tasks[[#This Row],[_ConstraintCode]]=3,Tasks[[#This Row],[_ConstraintCode]]=4,Tasks[[#This Row],[_ConstraintCode]]=6),Tasks[[#This Row],[_ConstraintStart]],0)</f>
        <v>0</v>
      </c>
      <c r="BS18" s="74" t="n">
        <f aca="false">IF(OR(Tasks[[#This Row],[_ConstraintCode]]=2,Tasks[[#This Row],[_ConstraintCode]]=3,Tasks[[#This Row],[_ConstraintCode]]=5,Tasks[[#This Row],[_ConstraintCode]]=7),Tasks[[#This Row],[_ConstraintStart]],2958465)</f>
        <v>2958465</v>
      </c>
      <c r="BT18"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46304</v>
      </c>
      <c r="BU18" s="74" t="n">
        <f aca="false">IF(NOT(Tasks[[#This Row],[_IsLeaf]]=1),"",IF(N(Tasks[[#This Row],[Duration]])&lt;=0,Tasks[[#This Row],[_LeafCalcStart]],WORKDAY.INTL(Tasks[[#This Row],[_LeafCalcStart]],Tasks[[#This Row],[Duration]]-1,WorkWeek,Holidays)))</f>
        <v>46317</v>
      </c>
      <c r="BV18"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46310</v>
      </c>
      <c r="BW18"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46325</v>
      </c>
      <c r="BX18" s="45" t="str">
        <f aca="false">IF(Tasks[[#This Row],[Predecessors]]="","",TRIM(MID(SUBSTITUTE(SUBSTITUTE(SUBSTITUTE(UPPER(Tasks[[#This Row],[Predecessors]]),";",",")," ",""),",",REPT(" ",99)),1,99)))</f>
        <v>12</v>
      </c>
      <c r="BY18" s="45" t="n">
        <f aca="false">IF(Tasks[[#This Row],[_Pred1Text]]="","",IFERROR(VALUE(LEFT(Tasks[[#This Row],[_Pred1Text]],MIN(FIND("F",Tasks[[#This Row],[_Pred1Text]]&amp;"F"),FIND("S",Tasks[[#This Row],[_Pred1Text]]&amp;"S"),FIND("+",Tasks[[#This Row],[_Pred1Text]]&amp;"+"),FIND("-",Tasks[[#This Row],[_Pred1Text]]&amp;"-"))-1)),""))</f>
        <v>12</v>
      </c>
      <c r="BZ1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18"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18" s="45" t="str">
        <f aca="false">IF(Tasks[[#This Row],[_Pred1Text]]="","",TRIM(MID(SUBSTITUTE(SUBSTITUTE(SUBSTITUTE(UPPER(Tasks[[#This Row],[Predecessors]]),";",",")," ",""),",",REPT(" ",99)),100,99)))</f>
        <v/>
      </c>
      <c r="CC18" s="45" t="str">
        <f aca="false">IF(Tasks[[#This Row],[_Pred2Text]]="","",IFERROR(VALUE(LEFT(Tasks[[#This Row],[_Pred2Text]],MIN(FIND("F",Tasks[[#This Row],[_Pred2Text]]&amp;"F"),FIND("S",Tasks[[#This Row],[_Pred2Text]]&amp;"S"),FIND("+",Tasks[[#This Row],[_Pred2Text]]&amp;"+"),FIND("-",Tasks[[#This Row],[_Pred2Text]]&amp;"-"))-1)),""))</f>
        <v/>
      </c>
      <c r="CD1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8" s="45" t="str">
        <f aca="false">IF(Tasks[[#This Row],[_Pred2Text]]="","",TRIM(MID(SUBSTITUTE(SUBSTITUTE(SUBSTITUTE(UPPER(Tasks[[#This Row],[Predecessors]]),";",",")," ",""),",",REPT(" ",99)),199,99)))</f>
        <v/>
      </c>
      <c r="CG18" s="45" t="str">
        <f aca="false">IF(Tasks[[#This Row],[_Pred3Text]]="","",IFERROR(VALUE(LEFT(Tasks[[#This Row],[_Pred3Text]],MIN(FIND("F",Tasks[[#This Row],[_Pred3Text]]&amp;"F"),FIND("S",Tasks[[#This Row],[_Pred3Text]]&amp;"S"),FIND("+",Tasks[[#This Row],[_Pred3Text]]&amp;"+"),FIND("-",Tasks[[#This Row],[_Pred3Text]]&amp;"-"))-1)),""))</f>
        <v/>
      </c>
      <c r="CH1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8" s="45" t="str">
        <f aca="false">IF(Tasks[[#This Row],[_Pred3Text]]="","",TRIM(MID(SUBSTITUTE(SUBSTITUTE(SUBSTITUTE(UPPER(Tasks[[#This Row],[Predecessors]]),";",",")," ",""),",",REPT(" ",99)),298,99)))</f>
        <v/>
      </c>
      <c r="CK18" s="45" t="str">
        <f aca="false">IF(Tasks[[#This Row],[_Pred4Text]]="","",IFERROR(VALUE(LEFT(Tasks[[#This Row],[_Pred4Text]],MIN(FIND("F",Tasks[[#This Row],[_Pred4Text]]&amp;"F"),FIND("S",Tasks[[#This Row],[_Pred4Text]]&amp;"S"),FIND("+",Tasks[[#This Row],[_Pred4Text]]&amp;"+"),FIND("-",Tasks[[#This Row],[_Pred4Text]]&amp;"-"))-1)),""))</f>
        <v/>
      </c>
      <c r="CL1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8" s="45" t="str">
        <f aca="false">IF(OR(Tasks[[#This Row],[Task Name]]="",Tasks[[#This Row],[Resources]]=""),"",TRIM(MID(SUBSTITUTE(Tasks[[#This Row],[Resources]],",",REPT(" ",99)),1,99)))</f>
        <v>Jordan Lee</v>
      </c>
      <c r="CO18" s="45" t="str">
        <f aca="false">IF(Tasks[[#This Row],[_Res1Text]]="","",TRIM(MID(SUBSTITUTE(Tasks[[#This Row],[Resources]],",",REPT(" ",99)),100,99)))</f>
        <v/>
      </c>
      <c r="CP18" s="45" t="str">
        <f aca="false">IF(Tasks[[#This Row],[_Res2Text]]="","",TRIM(MID(SUBSTITUTE(Tasks[[#This Row],[Resources]],",",REPT(" ",99)),199,99)))</f>
        <v/>
      </c>
      <c r="CQ18" s="45" t="str">
        <f aca="false">IF(Tasks[[#This Row],[_Res3Text]]="","",TRIM(MID(SUBSTITUTE(Tasks[[#This Row],[Resources]],",",REPT(" ",99)),298,99)))</f>
        <v/>
      </c>
      <c r="CR1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Jordan Lee</v>
      </c>
      <c r="CS1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 s="45" t="n">
        <f aca="false">IF(NOT(Tasks[[#This Row],[_IsLeaf]]=1),0,(Tasks[[#This Row],[_Resource1]]&lt;&gt;"")+(Tasks[[#This Row],[_Res2]]&lt;&gt;"")+(Tasks[[#This Row],[_Res3]]&lt;&gt;"")+(Tasks[[#This Row],[_Res4]]&lt;&gt;""))</f>
        <v>1</v>
      </c>
      <c r="CU1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 s="45" t="n">
        <f aca="false">IF(OR(NOT(Tasks[[#This Row],[_IsLeaf]]=1),Tasks[[#This Row],[_Res2]]=""),0,IF(ISNA(MATCH(Tasks[[#This Row],[_Res2]],res_Name,0)),0,N(Tasks[[#This Row],[Duration]])*HoursPerDay*IF(Tasks[[#This Row],[_Res2Units]]="",DefaultUnits,Tasks[[#This Row],[_Res2Units]])))</f>
        <v>0</v>
      </c>
      <c r="CX18" s="45" t="n">
        <f aca="false">IF(Tasks[[#This Row],[_Res2Work]]=0,0,Tasks[[#This Row],[_Res2Work]]*IFERROR(INDEX(res_Rate,MATCH(Tasks[[#This Row],[_Res2]],res_Name,0)),0))</f>
        <v>0</v>
      </c>
      <c r="CY18" s="45" t="n">
        <f aca="false">IF(AND(AND(Tasks[[#This Row],[_IsLeaf]]=1,Tasks[[#This Row],[_LeafTotalWork]]&gt;0),Tasks[[#This Row],[_Res2Work]]&gt;0),Tasks[[#This Row],[_Res2Work]]/(Tasks[[#This Row],[_FinishWorkday]]-Tasks[[#This Row],[_StartWorkday]]+1),0)</f>
        <v>0</v>
      </c>
      <c r="CZ18" s="45" t="n">
        <f aca="false">Tasks[[#This Row],[_Res2WorkPerWD]]*MAX(0,Tasks[[#This Row],[_StartWorkday]]-1)</f>
        <v>0</v>
      </c>
      <c r="DA18" s="45" t="n">
        <f aca="false">Tasks[[#This Row],[_Res2Work]]*Tasks[[#This Row],[_LeafProgress]]</f>
        <v>0</v>
      </c>
      <c r="DB18" s="45" t="n">
        <f aca="false">IF(Tasks[[#This Row],[_LeafTotalCost]]=0,0,Tasks[[#This Row],[_LeafAC]]*Tasks[[#This Row],[_Res2Cost]]/Tasks[[#This Row],[_LeafTotalCost]])</f>
        <v>0</v>
      </c>
      <c r="DC1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8" s="45" t="n">
        <f aca="false">IF(OR(NOT(Tasks[[#This Row],[_IsLeaf]]=1),Tasks[[#This Row],[_Res3]]=""),0,IF(ISNA(MATCH(Tasks[[#This Row],[_Res3]],res_Name,0)),0,N(Tasks[[#This Row],[Duration]])*HoursPerDay*IF(Tasks[[#This Row],[_Res3Units]]="",DefaultUnits,Tasks[[#This Row],[_Res3Units]])))</f>
        <v>0</v>
      </c>
      <c r="DF18" s="45" t="n">
        <f aca="false">IF(Tasks[[#This Row],[_Res3Work]]=0,0,Tasks[[#This Row],[_Res3Work]]*IFERROR(INDEX(res_Rate,MATCH(Tasks[[#This Row],[_Res3]],res_Name,0)),0))</f>
        <v>0</v>
      </c>
      <c r="DG18" s="45" t="n">
        <f aca="false">IF(AND(AND(Tasks[[#This Row],[_IsLeaf]]=1,Tasks[[#This Row],[_LeafTotalWork]]&gt;0),Tasks[[#This Row],[_Res3Work]]&gt;0),Tasks[[#This Row],[_Res3Work]]/(Tasks[[#This Row],[_FinishWorkday]]-Tasks[[#This Row],[_StartWorkday]]+1),0)</f>
        <v>0</v>
      </c>
      <c r="DH18" s="45" t="n">
        <f aca="false">Tasks[[#This Row],[_Res3WorkPerWD]]*MAX(0,Tasks[[#This Row],[_StartWorkday]]-1)</f>
        <v>0</v>
      </c>
      <c r="DI18" s="45" t="n">
        <f aca="false">Tasks[[#This Row],[_Res3Work]]*Tasks[[#This Row],[_LeafProgress]]</f>
        <v>0</v>
      </c>
      <c r="DJ18" s="45" t="n">
        <f aca="false">IF(Tasks[[#This Row],[_LeafTotalCost]]=0,0,Tasks[[#This Row],[_LeafAC]]*Tasks[[#This Row],[_Res3Cost]]/Tasks[[#This Row],[_LeafTotalCost]])</f>
        <v>0</v>
      </c>
      <c r="DK1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8" s="45" t="n">
        <f aca="false">IF(OR(NOT(Tasks[[#This Row],[_IsLeaf]]=1),Tasks[[#This Row],[_Res4]]=""),0,IF(ISNA(MATCH(Tasks[[#This Row],[_Res4]],res_Name,0)),0,N(Tasks[[#This Row],[Duration]])*HoursPerDay*IF(Tasks[[#This Row],[_Res4Units]]="",DefaultUnits,Tasks[[#This Row],[_Res4Units]])))</f>
        <v>0</v>
      </c>
      <c r="DN18" s="45" t="n">
        <f aca="false">IF(Tasks[[#This Row],[_Res4Work]]=0,0,Tasks[[#This Row],[_Res4Work]]*IFERROR(INDEX(res_Rate,MATCH(Tasks[[#This Row],[_Res4]],res_Name,0)),0))</f>
        <v>0</v>
      </c>
      <c r="DO18" s="45" t="n">
        <f aca="false">IF(AND(AND(Tasks[[#This Row],[_IsLeaf]]=1,Tasks[[#This Row],[_LeafTotalWork]]&gt;0),Tasks[[#This Row],[_Res4Work]]&gt;0),Tasks[[#This Row],[_Res4Work]]/(Tasks[[#This Row],[_FinishWorkday]]-Tasks[[#This Row],[_StartWorkday]]+1),0)</f>
        <v>0</v>
      </c>
      <c r="DP18" s="45" t="n">
        <f aca="false">Tasks[[#This Row],[_Res4WorkPerWD]]*MAX(0,Tasks[[#This Row],[_StartWorkday]]-1)</f>
        <v>0</v>
      </c>
      <c r="DQ18" s="45" t="n">
        <f aca="false">Tasks[[#This Row],[_Res4Work]]*Tasks[[#This Row],[_LeafProgress]]</f>
        <v>0</v>
      </c>
      <c r="DR18" s="45" t="n">
        <f aca="false">IF(Tasks[[#This Row],[_LeafTotalCost]]=0,0,Tasks[[#This Row],[_LeafAC]]*Tasks[[#This Row],[_Res4Cost]]/Tasks[[#This Row],[_LeafTotalCost]])</f>
        <v>0</v>
      </c>
      <c r="DS18" s="76" t="n">
        <f aca="false">IF(ISNUMBER(Tasks[[#This Row],[% Complete]]),Tasks[[#This Row],[% Complete]],IF(Tasks[[#This Row],[Stage]]="",0,IFERROR(INDEX(stg_Pct,MATCH(Tasks[[#This Row],[Stage]],stg_Name,0)),0)))</f>
        <v>0.5</v>
      </c>
      <c r="DT18" s="45" t="n">
        <f aca="false">IF(NOT(Tasks[[#This Row],[_IsLeaf]]=1),0,IF(N(Tasks[[#This Row],[Actual Finish]])&gt;0,1,MIN(1,Tasks[[#This Row],[_Pct]])))</f>
        <v>0.5</v>
      </c>
      <c r="DU18" s="45" t="n">
        <f aca="false">IF(OR(NOT(Tasks[[#This Row],[_IsLeaf]]=1),Tasks[[#This Row],[_Resource1]]=""),0,IF(ISNA(MATCH(Tasks[[#This Row],[_Resource1]],res_Name,0)),0,N(Tasks[[#This Row],[Duration]])*HoursPerDay*IF(Tasks[[#This Row],[_Units1]]="",DefaultUnits,Tasks[[#This Row],[_Units1]])))</f>
        <v>80</v>
      </c>
      <c r="DV18" s="45" t="n">
        <f aca="false">IF(Tasks[[#This Row],[_LeafWork]]=0,0,Tasks[[#This Row],[_LeafWork]]*IFERROR(INDEX(res_Rate,MATCH(Tasks[[#This Row],[_Resource1]],res_Name,0)),0))</f>
        <v>6800</v>
      </c>
      <c r="DW18" s="45" t="n">
        <f aca="false">Tasks[[#This Row],[_LeafWork]]+Tasks[[#This Row],[_Res2Work]]+Tasks[[#This Row],[_Res3Work]]+Tasks[[#This Row],[_Res4Work]]</f>
        <v>80</v>
      </c>
      <c r="DX18" s="45" t="n">
        <f aca="false">Tasks[[#This Row],[_LeafCost]]+Tasks[[#This Row],[_Res2Cost]]+Tasks[[#This Row],[_Res3Cost]]+Tasks[[#This Row],[_Res4Cost]]</f>
        <v>6800</v>
      </c>
      <c r="DY18" s="45" t="n">
        <f aca="false">IF(Tasks[[#This Row],[_LeafTotalCost]]=0,Tasks[[#This Row],[_LeafAC]],Tasks[[#This Row],[_LeafAC]]*Tasks[[#This Row],[_LeafCost]]/Tasks[[#This Row],[_LeafTotalCost]])</f>
        <v>4080</v>
      </c>
      <c r="DZ18"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2912155</v>
      </c>
      <c r="EA1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8"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1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8" s="45" t="n">
        <f aca="false">IF(NOT(Tasks[[#This Row],[_IsLeaf]]=1),0,MAX(_xlfn.MAXIFS(Tasks[_Row],Tasks[_Pred1UID],Tasks[[#This Row],[UID]]),_xlfn.MAXIFS(Tasks[_Row],Tasks[_Pred2UID],Tasks[[#This Row],[UID]]),_xlfn.MAXIFS(Tasks[_Row],Tasks[_Pred3UID],Tasks[[#This Row],[UID]]),_xlfn.MAXIFS(Tasks[_Row],Tasks[_Pred4UID],Tasks[[#This Row],[UID]])))</f>
        <v>17</v>
      </c>
      <c r="EI18"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46324</v>
      </c>
      <c r="EJ18"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46324</v>
      </c>
      <c r="EK18" s="74" t="n">
        <f aca="false">IF(NOT(Tasks[[#This Row],[_IsLeaf]]=1),"",IF(N(Tasks[[#This Row],[Duration]])&lt;=0,Tasks[[#This Row],[_LeafLateFinish]],WORKDAY.INTL(Tasks[[#This Row],[_LeafLateFinish]],-(Tasks[[#This Row],[Duration]]-1),WorkWeek,Holidays)))</f>
        <v>46311</v>
      </c>
      <c r="EL18"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M18" s="73" t="b">
        <f aca="false">AND(Tasks[[#This Row],[_IsLeaf]]=1,Tasks[[#This Row],[_LeafProgress]]&lt;1,N(Tasks[[#This Row],[_LeafTotalSlack]])&lt;=CriticalSlackDays)</f>
        <v>1</v>
      </c>
      <c r="EN18" s="45" t="n">
        <f aca="false">IF(AND(Tasks[[#This Row],[_IsLeaf]]=1,Tasks[[#This Row],[_ConstraintCode]]=1,Tasks[[#This Row],[Mode]]&lt;&gt;"Manual",N(Tasks[[#This Row],[Actual Start]])=0),MAX(0,N(Tasks[[#This Row],[Free Slack]])),0)</f>
        <v>0</v>
      </c>
      <c r="EO18" s="74" t="n">
        <f aca="false">IF(NOT(Tasks[[#This Row],[_IsLeaf]]=1),"",IF(Tasks[[#This Row],[_AlapShift]]=0,Tasks[[#This Row],[_LeafCalcStart]],WORKDAY.INTL(Tasks[[#This Row],[_LeafCalcStart]],Tasks[[#This Row],[_AlapShift]],WorkWeek,Holidays)))</f>
        <v>46304</v>
      </c>
      <c r="EP18" s="74" t="n">
        <f aca="false">IF(NOT(Tasks[[#This Row],[_IsLeaf]]=1),"",IF(Tasks[[#This Row],[_AlapShift]]=0,Tasks[[#This Row],[_LeafCalcFinish]],WORKDAY.INTL(Tasks[[#This Row],[_LeafCalcFinish]],Tasks[[#This Row],[_AlapShift]],WorkWeek,Holidays)))</f>
        <v>46317</v>
      </c>
      <c r="EQ18" s="74" t="n">
        <f aca="false">IF(NOT(Tasks[[#This Row],[_IsLeaf]]=1),"",IF(Tasks[[#This Row],[_AlapShift]]=0,Tasks[[#This Row],[_LeafFcstStart]],WORKDAY.INTL(Tasks[[#This Row],[_LeafFcstStart]],Tasks[[#This Row],[_AlapShift]],WorkWeek,Holidays)))</f>
        <v>46310</v>
      </c>
      <c r="ER18" s="74" t="n">
        <f aca="false">IF(NOT(Tasks[[#This Row],[_IsLeaf]]=1),"",IF(Tasks[[#This Row],[_AlapShift]]=0,Tasks[[#This Row],[_LeafFcstFinish]],WORKDAY.INTL(Tasks[[#This Row],[_LeafFcstFinish]],Tasks[[#This Row],[_AlapShift]],WorkWeek,Holidays)))</f>
        <v>46325</v>
      </c>
      <c r="ES18" s="74" t="n">
        <f aca="false">IF(Tasks[[#This Row],[Task Name]]="","",IF(Tasks[[#This Row],[_IsSummary]],MIN(INDEX(Tasks[_ShownCalcStart],Tasks[[#This Row],[_Row]]+1):INDEX(Tasks[_ShownCalcStart],Tasks[[#This Row],[_Row]]+Tasks[[#This Row],[_Descendants]])),Tasks[[#This Row],[_ShownCalcStart]]))</f>
        <v>46304</v>
      </c>
      <c r="ET18" s="74" t="n">
        <f aca="false">IF(Tasks[[#This Row],[Task Name]]="","",IF(Tasks[[#This Row],[_IsSummary]],MAX(INDEX(Tasks[_ShownCalcFinish],Tasks[[#This Row],[_Row]]+1):INDEX(Tasks[_ShownCalcFinish],Tasks[[#This Row],[_Row]]+Tasks[[#This Row],[_Descendants]])),Tasks[[#This Row],[_ShownCalcFinish]]))</f>
        <v>46317</v>
      </c>
      <c r="EU1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46304</v>
      </c>
      <c r="EZ1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46310</v>
      </c>
      <c r="FD1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8" s="45" t="n">
        <f aca="false">IF(AND(Tasks[[#This Row],[_IsLeaf]]=1,Tasks[[#This Row],[_LeafTotalWork]]&gt;0),NETWORKDAYS.INTL(ProjectStart,Tasks[[#This Row],[_ShownFcstStart]],WorkWeek,Holidays),0)</f>
        <v>29</v>
      </c>
      <c r="FH18" s="45" t="n">
        <f aca="false">IF(AND(Tasks[[#This Row],[_IsLeaf]]=1,Tasks[[#This Row],[_LeafTotalWork]]&gt;0),MAX(Tasks[[#This Row],[_StartWorkday]],NETWORKDAYS.INTL(ProjectStart,Tasks[[#This Row],[_ShownFcstFinish]],WorkWeek,Holidays)),0)</f>
        <v>40</v>
      </c>
      <c r="FI18" s="45" t="n">
        <f aca="false">IF(AND(Tasks[[#This Row],[_IsLeaf]]=1,Tasks[[#This Row],[_LeafTotalWork]]&gt;0),Tasks[[#This Row],[_LeafWork]]/(Tasks[[#This Row],[_FinishWorkday]]-Tasks[[#This Row],[_StartWorkday]]+1),0)</f>
        <v>6.66666666666667</v>
      </c>
      <c r="FJ18" s="45" t="n">
        <f aca="false">Tasks[[#This Row],[_WorkPerWorkday]]*(Tasks[[#This Row],[_StartWorkday]]-1)</f>
        <v>186.666666666667</v>
      </c>
      <c r="FK18" s="45" t="n">
        <f aca="false">IF(Tasks[[#This Row],[_IsLeaf]]=1,MAX(N(Tasks[[#This Row],[Duration]]),0.1),0)</f>
        <v>10</v>
      </c>
      <c r="FL18" s="45" t="n">
        <f aca="false">Tasks[[#This Row],[_WeightDur]]*Tasks[[#This Row],[_LeafProgress]]</f>
        <v>5</v>
      </c>
      <c r="FM1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12</v>
      </c>
      <c r="FN18" s="45" t="str">
        <f aca="false">IF(AND(Tasks[[#This Row],[_IsLeaf]]=1,N(Tasks[[#This Row],[Duration]])=0,Tasks[[#This Row],[_LeafProgress]]&lt;1),Tasks[[#This Row],[_ShownFcstFinish]]+Tasks[[#This Row],[_Row]]/100000,"")</f>
        <v/>
      </c>
      <c r="FO1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P18" s="45" t="n">
        <f aca="false">IF(NOT(Tasks[[#This Row],[_IsLeaf]]=1),0,IF(Tasks[[#This Row],[Baseline Cost]]="",Tasks[[#This Row],[_LeafTotalCost]],N(Tasks[[#This Row],[Baseline Cost]])))</f>
        <v>6800</v>
      </c>
      <c r="FQ18" s="45" t="n">
        <f aca="false">Tasks[[#This Row],[_LeafBudget]]*Tasks[[#This Row],[_PlannedPct]]</f>
        <v>6800</v>
      </c>
      <c r="FR18" s="45" t="n">
        <f aca="false">Tasks[[#This Row],[_LeafBudget]]*Tasks[[#This Row],[_LeafProgress]]</f>
        <v>3400</v>
      </c>
      <c r="FS18" s="45" t="n">
        <f aca="false">IF(NOT(Tasks[[#This Row],[_IsLeaf]]=1),0,IF(Tasks[[#This Row],[Actual Cost]]="",Tasks[[#This Row],[_LeafTotalCost]]*Tasks[[#This Row],[_LeafProgress]],N(Tasks[[#This Row],[Actual Cost]])))</f>
        <v>4080</v>
      </c>
      <c r="FT18" s="45" t="str">
        <f aca="false">IF(Tasks[[#This Row],[Task Name]]="","",LEFT(Tasks[[#This Row],[WBS]],FIND(".",Tasks[[#This Row],[WBS]]&amp;".")-1))</f>
        <v>3</v>
      </c>
      <c r="FU18" s="45" t="str">
        <f aca="false">IF(AND(Tasks[[#This Row],[Task Name]]&lt;&gt;"",Tasks[[#This Row],[_Level]]=1),Tasks[[#This Row],[_Row]],"")</f>
        <v/>
      </c>
      <c r="FV18" s="45" t="str">
        <f aca="false">IF(AND(Tasks[[#This Row],[_IsLeaf]]=1,N(Tasks[[#This Row],[Duration]])=0),Tasks[[#This Row],[Planned Finish]]+Tasks[[#This Row],[_Row]]/100000,"")</f>
        <v/>
      </c>
      <c r="FW18" s="45" t="n">
        <f aca="false">IF(AND(Tasks[[#This Row],[_IsLeaf]]=1,Tasks[[#This Row],[_LeafProgress]]&lt;1,OR(N(Tasks[[#This Row],[Finish Var]])&gt;0,Tasks[[#This Row],[Status]]="Late Start")),MAX(0,Tasks[[#This Row],[Finish Var]])+1-Tasks[[#This Row],[_Row]]/1000000,"")</f>
        <v>6.999987</v>
      </c>
      <c r="FX18" s="45" t="str">
        <f aca="false">IF(AND(Tasks[[#This Row],[_IsLeaf]]=1,N(Tasks[[#This Row],[Actual Start]])=0,Tasks[[#This Row],[_ShownFcstStart]]&gt;=StatusDate,Tasks[[#This Row],[_ShownFcstStart]]&lt;=LookaheadEnd),Tasks[[#This Row],[_ShownFcstStart]]+Tasks[[#This Row],[_Row]]/100000,"")</f>
        <v/>
      </c>
      <c r="FY18" s="77" t="n">
        <f aca="false">IF(AND(Tasks[[#This Row],[_IsLeaf]]=1,Tasks[[#This Row],[_LeafProgress]]&lt;1,Tasks[[#This Row],[_ShownFcstFinish]]&gt;=StatusDate,Tasks[[#This Row],[_ShownFcstFinish]]&lt;=LookaheadEnd),Tasks[[#This Row],[_ShownFcstFinish]]+Tasks[[#This Row],[_Row]]/100000,"")</f>
        <v>46325.00013</v>
      </c>
      <c r="FZ18" s="77" t="n">
        <f aca="false">IF(Tasks[[#This Row],[_LeafCritical]],Tasks[[#This Row],[_ShownFcstStart]]+Tasks[[#This Row],[_Row]]/100000,"")</f>
        <v>46310.00013</v>
      </c>
      <c r="GA18" s="45" t="n">
        <f aca="false">Tasks[[#This Row],[_LeafWork]]*Tasks[[#This Row],[_LeafProgress]]</f>
        <v>40</v>
      </c>
      <c r="GB18" s="74" t="str">
        <f aca="false">IF(AND(Tasks[[#This Row],[_IsLeaf]]=1,Tasks[[#This Row],[_LeafProgress]]&gt;=1),IF(N(Tasks[[#This Row],[Actual Finish]])&gt;0,Tasks[[#This Row],[Actual Finish]],Tasks[[#This Row],[_ShownFcstFinish]]),"")</f>
        <v/>
      </c>
    </row>
    <row r="19" customFormat="false" ht="15" hidden="false" customHeight="false" outlineLevel="2" collapsed="false">
      <c r="A19" s="67" t="n">
        <f aca="false">IF(Tasks[[#This Row],[Task Name]]="","",COUNTA(Tasks[[#Headers],[Task Name]]:Tasks[[#This Row],[Task Name]])-1)</f>
        <v>14</v>
      </c>
      <c r="B19" s="21" t="n">
        <v>14</v>
      </c>
      <c r="C1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3.1.3</v>
      </c>
      <c r="D19" s="21" t="n">
        <v>3</v>
      </c>
      <c r="E19" s="78" t="s">
        <v>531</v>
      </c>
      <c r="F19" s="21" t="n">
        <v>6</v>
      </c>
      <c r="G19" s="22" t="s">
        <v>532</v>
      </c>
      <c r="H19" s="22" t="s">
        <v>527</v>
      </c>
      <c r="I19" s="22"/>
      <c r="J19" s="7"/>
      <c r="K19" s="7"/>
      <c r="L19" s="22"/>
      <c r="M19" s="58" t="n">
        <f aca="false">IF(Tasks[[#This Row],[Task Name]]="","",IF(Tasks[[#This Row],[_IsSummary]],MIN(INDEX(Tasks[_ShownFcstStart],Tasks[[#This Row],[_Row]]+1):INDEX(Tasks[_ShownFcstStart],Tasks[[#This Row],[_Row]]+Tasks[[#This Row],[_Descendants]])),Tasks[[#This Row],[_ShownFcstStart]]))</f>
        <v>46328</v>
      </c>
      <c r="N19" s="58" t="n">
        <f aca="false">IF(Tasks[[#This Row],[Task Name]]="","",IF(Tasks[[#This Row],[_IsSummary]],MAX(INDEX(Tasks[_ShownFcstFinish],Tasks[[#This Row],[_Row]]+1):INDEX(Tasks[_ShownFcstFinish],Tasks[[#This Row],[_Row]]+Tasks[[#This Row],[_Descendants]])),Tasks[[#This Row],[_ShownFcstFinish]]))</f>
        <v>46335</v>
      </c>
      <c r="O19" s="20" t="str">
        <f aca="false">IF(Tasks[[#This Row],[Task Name]]="","",IF(Tasks[[#This Row],[Progress]]&gt;=1,"Complete",IF(OR(N(Tasks[[#This Row],[Actual Start]])&gt;0,Tasks[[#This Row],[Progress]]&gt;0),IF(Tasks[[#This Row],[Finish Var]]&gt;0,"Behind","In Progress"),IF(Tasks[[#This Row],[Planned Start]]&lt;StatusDate,"Late Start","Not Started"))))</f>
        <v>Late Start</v>
      </c>
      <c r="P19" s="20" t="str">
        <f aca="false">IF(Tasks[[#This Row],[Task Name]]="","",IF(IF(Tasks[[#This Row],[_IsSummary]],COUNTIF(INDEX(Tasks[_LeafCritical],Tasks[[#This Row],[_Row]]+1):INDEX(Tasks[_LeafCritical],Tasks[[#This Row],[_Row]]+Tasks[[#This Row],[_Descendants]]),TRUE())&gt;0,Tasks[[#This Row],[_LeafCritical]]),"Yes",""))</f>
        <v>Yes</v>
      </c>
      <c r="Q1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9" s="67" t="str">
        <f aca="false">IF(Tasks[[#This Row],[Task Name]]="","",IF(Tasks[[#This Row],[_Level]]&lt;=OutlineShowLevel,"Yes","No"))</f>
        <v>Yes</v>
      </c>
      <c r="S19" s="7"/>
      <c r="T19" s="21" t="s">
        <v>195</v>
      </c>
      <c r="U19" s="22"/>
      <c r="V19" s="7"/>
      <c r="W19" s="67" t="n">
        <f aca="false">IF(Tasks[[#This Row],[Task Name]]="","",IF(Tasks[[#This Row],[Finish]]&gt;=Tasks[[#This Row],[Planned Finish]],NETWORKDAYS.INTL(Tasks[[#This Row],[Planned Finish]],Tasks[[#This Row],[Finish]],WorkWeek,Holidays)-1,1-NETWORKDAYS.INTL(Tasks[[#This Row],[Finish]],Tasks[[#This Row],[Planned Finish]],WorkWeek,Holidays)))</f>
        <v>6</v>
      </c>
      <c r="X19" s="58" t="n">
        <f aca="false">IF(Tasks[[#This Row],[Task Name]]="","",IF(N(Tasks[[#This Row],[Baseline Start]])&gt;0,Tasks[[#This Row],[Baseline Start]],Tasks[[#This Row],[_CalcStart]]))</f>
        <v>46318</v>
      </c>
      <c r="Y19" s="58" t="n">
        <f aca="false">IF(Tasks[[#This Row],[Task Name]]="","",IF(N(Tasks[[#This Row],[Baseline Finish]])&gt;0,Tasks[[#This Row],[Baseline Finish]],Tasks[[#This Row],[_CalcFinish]]))</f>
        <v>46325</v>
      </c>
      <c r="Z19" s="67" t="n">
        <f aca="false">IF(Tasks[[#This Row],[Task Name]]="","",IF(Tasks[[#This Row],[Start]]&gt;=Tasks[[#This Row],[Planned Start]],NETWORKDAYS.INTL(Tasks[[#This Row],[Planned Start]],Tasks[[#This Row],[Start]],WorkWeek,Holidays)-1,1-NETWORKDAYS.INTL(Tasks[[#This Row],[Start]],Tasks[[#This Row],[Planned Start]],WorkWeek,Holidays)))</f>
        <v>6</v>
      </c>
      <c r="AA19" s="58" t="n">
        <f aca="false">IF(Tasks[[#This Row],[Task Name]]="","",IF(Tasks[[#This Row],[_IsSummary]],MIN(INDEX(Tasks[_LeafLateStart],Tasks[[#This Row],[_Row]]+1):INDEX(Tasks[_LeafLateStart],Tasks[[#This Row],[_Row]]+Tasks[[#This Row],[_Descendants]])),Tasks[[#This Row],[_LeafLateStart]]))</f>
        <v>46325</v>
      </c>
      <c r="AB19" s="58" t="n">
        <f aca="false">IF(Tasks[[#This Row],[Task Name]]="","",IF(Tasks[[#This Row],[_IsSummary]],MAX(INDEX(Tasks[_LeafLateFinish],Tasks[[#This Row],[_Row]]+1):INDEX(Tasks[_LeafLateFinish],Tasks[[#This Row],[_Row]]+Tasks[[#This Row],[_Descendants]])),Tasks[[#This Row],[_LeafLateFinish]]))</f>
        <v>46332</v>
      </c>
      <c r="AC19" s="67" t="n">
        <f aca="false">IF(Tasks[[#This Row],[Task Name]]="","",IF(Tasks[[#This Row],[_IsSummary]],MIN(INDEX(Tasks[_LeafTotalSlack],Tasks[[#This Row],[_Row]]+1):INDEX(Tasks[_LeafTotalSlack],Tasks[[#This Row],[_Row]]+Tasks[[#This Row],[_Descendants]])),Tasks[[#This Row],[_LeafTotalSlack]]))</f>
        <v>-1</v>
      </c>
      <c r="AD19"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-1</v>
      </c>
      <c r="AE1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9" s="60"/>
      <c r="AH19"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I1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13</v>
      </c>
      <c r="AJ19" s="69" t="n">
        <f aca="false">IF(Tasks[[#This Row],[Task Name]]="","",IF(Tasks[[#This Row],[_IsSummary]],SUM(INDEX(Tasks[_LeafTotalWork],Tasks[[#This Row],[_Row]]+1):INDEX(Tasks[_LeafTotalWork],Tasks[[#This Row],[_Row]]+Tasks[[#This Row],[_Descendants]])),Tasks[[#This Row],[_LeafTotalWork]]))</f>
        <v>48</v>
      </c>
      <c r="AK1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Jordan Lee</v>
      </c>
      <c r="AL19" s="70" t="n">
        <f aca="false">IF(Tasks[[#This Row],[Task Name]]="","",IF(Tasks[[#This Row],[_IsSummary]],SUM(INDEX(Tasks[_LeafTotalCost],Tasks[[#This Row],[_Row]]+1):INDEX(Tasks[_LeafTotalCost],Tasks[[#This Row],[_Row]]+Tasks[[#This Row],[_Descendants]])),Tasks[[#This Row],[_LeafTotalCost]]))</f>
        <v>4080</v>
      </c>
      <c r="AM19" s="71"/>
      <c r="AN19" s="20" t="str">
        <f aca="false">IF(OR(Tasks[[#This Row],[Task Name]]="",Tasks[[#This Row],[Baseline Duration]]=""),"",Tasks[[#This Row],[BL Source Duration]]-N(Tasks[[#This Row],[Baseline Duration]]))</f>
        <v/>
      </c>
      <c r="AO19" s="69" t="str">
        <f aca="false">IF(OR(Tasks[[#This Row],[Task Name]]="",Tasks[[#This Row],[Baseline Work]]=""),"",Tasks[[#This Row],[Work]]-N(Tasks[[#This Row],[Baseline Work]]))</f>
        <v/>
      </c>
      <c r="AP19" s="70" t="str">
        <f aca="false">IF(OR(Tasks[[#This Row],[Task Name]]="",Tasks[[#This Row],[Baseline Cost]]=""),"",Tasks[[#This Row],[Cost]]-N(Tasks[[#This Row],[Baseline Cost]]))</f>
        <v/>
      </c>
      <c r="AQ19" s="58" t="n">
        <f aca="false">IF(Tasks[[#This Row],[Task Name]]="","",Tasks[[#This Row],[Start]])</f>
        <v>46328</v>
      </c>
      <c r="AR19" s="58" t="n">
        <f aca="false">IF(Tasks[[#This Row],[Task Name]]="","",Tasks[[#This Row],[Finish]])</f>
        <v>46335</v>
      </c>
      <c r="AS19" s="67" t="n">
        <f aca="false">IF(Tasks[[#This Row],[Task Name]]="","",IF(Tasks[[#This Row],[_IsSummary]],NETWORKDAYS.INTL(Tasks[[#This Row],[Start]],Tasks[[#This Row],[Finish]],WorkWeek,Holidays),N(Tasks[[#This Row],[Duration]])))</f>
        <v>6</v>
      </c>
      <c r="AT19" s="69" t="n">
        <f aca="false">IF(Tasks[[#This Row],[Task Name]]="","",Tasks[[#This Row],[Work]])</f>
        <v>48</v>
      </c>
      <c r="AU19" s="70" t="n">
        <f aca="false">IF(Tasks[[#This Row],[Task Name]]="","",Tasks[[#This Row],[Cost]])</f>
        <v>4080</v>
      </c>
      <c r="AV19" s="7"/>
      <c r="AW19" s="7"/>
      <c r="AX19" s="21"/>
      <c r="AY19" s="72"/>
      <c r="AZ19" s="71"/>
      <c r="BA19" s="70" t="n">
        <f aca="false">IF(Tasks[[#This Row],[Task Name]]="","",IF(Tasks[[#This Row],[_IsSummary]],SUM(INDEX(Tasks[_LeafEV],Tasks[[#This Row],[_Row]]+1):INDEX(Tasks[_LeafEV],Tasks[[#This Row],[_Row]]+Tasks[[#This Row],[_Descendants]])),Tasks[[#This Row],[_LeafEV]]))</f>
        <v>0</v>
      </c>
      <c r="BB19" s="70" t="n">
        <f aca="false">IF(Tasks[[#This Row],[Task Name]]="","",IF(Tasks[[#This Row],[_IsSummary]],SUM(INDEX(Tasks[_LeafBudget],Tasks[[#This Row],[_Row]]+1):INDEX(Tasks[_LeafBudget],Tasks[[#This Row],[_Row]]+Tasks[[#This Row],[_Descendants]])),Tasks[[#This Row],[_LeafBudget]]))</f>
        <v>4080</v>
      </c>
      <c r="BC19" s="70" t="n">
        <f aca="false">IF(Tasks[[#This Row],[Task Name]]="","",IF(Tasks[[#This Row],[_IsSummary]],SUM(INDEX(Tasks[_LeafPV],Tasks[[#This Row],[_Row]]+1):INDEX(Tasks[_LeafPV],Tasks[[#This Row],[_Row]]+Tasks[[#This Row],[_Descendants]])),Tasks[[#This Row],[_LeafPV]]))</f>
        <v>680</v>
      </c>
      <c r="BD19" s="70" t="n">
        <f aca="false">IF(Tasks[[#This Row],[Task Name]]="","",IF(Tasks[[#This Row],[_IsSummary]],SUM(INDEX(Tasks[_LeafAC],Tasks[[#This Row],[_Row]]+1):INDEX(Tasks[_LeafAC],Tasks[[#This Row],[_Row]]+Tasks[[#This Row],[_Descendants]])),Tasks[[#This Row],[_LeafAC]]))</f>
        <v>0</v>
      </c>
      <c r="BE19" s="45" t="n">
        <f aca="false">IF(Tasks[[#This Row],[Task Name]]="","",MAX(1,N(Tasks[[#This Row],[Level]])))</f>
        <v>3</v>
      </c>
      <c r="BF19" s="45" t="n">
        <f aca="false">ROW()-ROW(Tasks[[#Headers],[ID]])</f>
        <v>14</v>
      </c>
      <c r="BG19" s="45" t="n">
        <f aca="false">IF(OR(Tasks[[#This Row],[Task Name]]="",Tasks[[#This Row],[_Level]]&lt;=1),0,IFERROR(LOOKUP(2,1/(Tasks[[#Headers],[_Level]]:Tasks[[#This Row],[_Level]]=Tasks[[#This Row],[_Level]]-1),ROW(Tasks[[#Headers],[_Level]]:Tasks[[#This Row],[_Level]])),0))</f>
        <v>16</v>
      </c>
      <c r="BH19" s="45" t="n">
        <f aca="false">IFERROR(N(INDEX(Tasks[_Level],Tasks[[#This Row],[_Row]]+1)),0)</f>
        <v>2</v>
      </c>
      <c r="BI19" s="73" t="b">
        <f aca="false">AND(Tasks[[#This Row],[Task Name]]&lt;&gt;"",Tasks[[#This Row],[_NextLevel]]&gt;Tasks[[#This Row],[_Level]])</f>
        <v>0</v>
      </c>
      <c r="BJ19" s="45" t="n">
        <f aca="false">IF(Tasks[[#This Row],[_IsSummary]],COUNTIF(Tasks[WBS],Tasks[[#This Row],[WBS]]&amp;".*"),0)</f>
        <v>0</v>
      </c>
      <c r="BK19" s="45" t="n">
        <f aca="false">IF(AND(Tasks[[#This Row],[Task Name]]&lt;&gt;"",NOT(Tasks[[#This Row],[_IsSummary]])),1,0)</f>
        <v>1</v>
      </c>
      <c r="BL19" s="45" t="n">
        <f aca="false">IF(N(Tasks[[#This Row],[_Pred1UID]])=0,0,IFERROR(MATCH(Tasks[[#This Row],[_Pred1UID]],Tasks[UID],0),-1))</f>
        <v>13</v>
      </c>
      <c r="BM19" s="45" t="n">
        <f aca="false">IF(N(Tasks[[#This Row],[_Pred2UID]])=0,0,IFERROR(MATCH(Tasks[[#This Row],[_Pred2UID]],Tasks[UID],0),-1))</f>
        <v>0</v>
      </c>
      <c r="BN19" s="45" t="n">
        <f aca="false">IF(N(Tasks[[#This Row],[_Pred3UID]])=0,0,IFERROR(MATCH(Tasks[[#This Row],[_Pred3UID]],Tasks[UID],0),-1))</f>
        <v>0</v>
      </c>
      <c r="BO19" s="45" t="n">
        <f aca="false">IF(N(Tasks[[#This Row],[_Pred4UID]])=0,0,IFERROR(MATCH(Tasks[[#This Row],[_Pred4UID]],Tasks[UID],0),-1))</f>
        <v>0</v>
      </c>
      <c r="BP19"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1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9" s="74" t="n">
        <f aca="false">IF(OR(Tasks[[#This Row],[_ConstraintCode]]=2,Tasks[[#This Row],[_ConstraintCode]]=3,Tasks[[#This Row],[_ConstraintCode]]=4,Tasks[[#This Row],[_ConstraintCode]]=6),Tasks[[#This Row],[_ConstraintStart]],0)</f>
        <v>0</v>
      </c>
      <c r="BS19" s="74" t="n">
        <f aca="false">IF(OR(Tasks[[#This Row],[_ConstraintCode]]=2,Tasks[[#This Row],[_ConstraintCode]]=3,Tasks[[#This Row],[_ConstraintCode]]=5,Tasks[[#This Row],[_ConstraintCode]]=7),Tasks[[#This Row],[_ConstraintStart]],2958465)</f>
        <v>2958465</v>
      </c>
      <c r="BT19"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BU19" s="74" t="n">
        <f aca="false">IF(NOT(Tasks[[#This Row],[_IsLeaf]]=1),"",IF(N(Tasks[[#This Row],[Duration]])&lt;=0,Tasks[[#This Row],[_LeafCalcStart]],WORKDAY.INTL(Tasks[[#This Row],[_LeafCalcStart]],Tasks[[#This Row],[Duration]]-1,WorkWeek,Holidays)))</f>
        <v>46325</v>
      </c>
      <c r="BV19"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46328</v>
      </c>
      <c r="BW19"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46335</v>
      </c>
      <c r="BX19" s="45" t="str">
        <f aca="false">IF(Tasks[[#This Row],[Predecessors]]="","",TRIM(MID(SUBSTITUTE(SUBSTITUTE(SUBSTITUTE(UPPER(Tasks[[#This Row],[Predecessors]]),";",",")," ",""),",",REPT(" ",99)),1,99)))</f>
        <v>13</v>
      </c>
      <c r="BY19" s="45" t="n">
        <f aca="false">IF(Tasks[[#This Row],[_Pred1Text]]="","",IFERROR(VALUE(LEFT(Tasks[[#This Row],[_Pred1Text]],MIN(FIND("F",Tasks[[#This Row],[_Pred1Text]]&amp;"F"),FIND("S",Tasks[[#This Row],[_Pred1Text]]&amp;"S"),FIND("+",Tasks[[#This Row],[_Pred1Text]]&amp;"+"),FIND("-",Tasks[[#This Row],[_Pred1Text]]&amp;"-"))-1)),""))</f>
        <v>13</v>
      </c>
      <c r="BZ1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19"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19" s="45" t="str">
        <f aca="false">IF(Tasks[[#This Row],[_Pred1Text]]="","",TRIM(MID(SUBSTITUTE(SUBSTITUTE(SUBSTITUTE(UPPER(Tasks[[#This Row],[Predecessors]]),";",",")," ",""),",",REPT(" ",99)),100,99)))</f>
        <v/>
      </c>
      <c r="CC19" s="45" t="str">
        <f aca="false">IF(Tasks[[#This Row],[_Pred2Text]]="","",IFERROR(VALUE(LEFT(Tasks[[#This Row],[_Pred2Text]],MIN(FIND("F",Tasks[[#This Row],[_Pred2Text]]&amp;"F"),FIND("S",Tasks[[#This Row],[_Pred2Text]]&amp;"S"),FIND("+",Tasks[[#This Row],[_Pred2Text]]&amp;"+"),FIND("-",Tasks[[#This Row],[_Pred2Text]]&amp;"-"))-1)),""))</f>
        <v/>
      </c>
      <c r="CD1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9" s="45" t="str">
        <f aca="false">IF(Tasks[[#This Row],[_Pred2Text]]="","",TRIM(MID(SUBSTITUTE(SUBSTITUTE(SUBSTITUTE(UPPER(Tasks[[#This Row],[Predecessors]]),";",",")," ",""),",",REPT(" ",99)),199,99)))</f>
        <v/>
      </c>
      <c r="CG19" s="45" t="str">
        <f aca="false">IF(Tasks[[#This Row],[_Pred3Text]]="","",IFERROR(VALUE(LEFT(Tasks[[#This Row],[_Pred3Text]],MIN(FIND("F",Tasks[[#This Row],[_Pred3Text]]&amp;"F"),FIND("S",Tasks[[#This Row],[_Pred3Text]]&amp;"S"),FIND("+",Tasks[[#This Row],[_Pred3Text]]&amp;"+"),FIND("-",Tasks[[#This Row],[_Pred3Text]]&amp;"-"))-1)),""))</f>
        <v/>
      </c>
      <c r="CH1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9" s="45" t="str">
        <f aca="false">IF(Tasks[[#This Row],[_Pred3Text]]="","",TRIM(MID(SUBSTITUTE(SUBSTITUTE(SUBSTITUTE(UPPER(Tasks[[#This Row],[Predecessors]]),";",",")," ",""),",",REPT(" ",99)),298,99)))</f>
        <v/>
      </c>
      <c r="CK19" s="45" t="str">
        <f aca="false">IF(Tasks[[#This Row],[_Pred4Text]]="","",IFERROR(VALUE(LEFT(Tasks[[#This Row],[_Pred4Text]],MIN(FIND("F",Tasks[[#This Row],[_Pred4Text]]&amp;"F"),FIND("S",Tasks[[#This Row],[_Pred4Text]]&amp;"S"),FIND("+",Tasks[[#This Row],[_Pred4Text]]&amp;"+"),FIND("-",Tasks[[#This Row],[_Pred4Text]]&amp;"-"))-1)),""))</f>
        <v/>
      </c>
      <c r="CL1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9" s="45" t="str">
        <f aca="false">IF(OR(Tasks[[#This Row],[Task Name]]="",Tasks[[#This Row],[Resources]]=""),"",TRIM(MID(SUBSTITUTE(Tasks[[#This Row],[Resources]],",",REPT(" ",99)),1,99)))</f>
        <v>Jordan Lee</v>
      </c>
      <c r="CO19" s="45" t="str">
        <f aca="false">IF(Tasks[[#This Row],[_Res1Text]]="","",TRIM(MID(SUBSTITUTE(Tasks[[#This Row],[Resources]],",",REPT(" ",99)),100,99)))</f>
        <v/>
      </c>
      <c r="CP19" s="45" t="str">
        <f aca="false">IF(Tasks[[#This Row],[_Res2Text]]="","",TRIM(MID(SUBSTITUTE(Tasks[[#This Row],[Resources]],",",REPT(" ",99)),199,99)))</f>
        <v/>
      </c>
      <c r="CQ19" s="45" t="str">
        <f aca="false">IF(Tasks[[#This Row],[_Res3Text]]="","",TRIM(MID(SUBSTITUTE(Tasks[[#This Row],[Resources]],",",REPT(" ",99)),298,99)))</f>
        <v/>
      </c>
      <c r="CR1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Jordan Lee</v>
      </c>
      <c r="CS1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 s="45" t="n">
        <f aca="false">IF(NOT(Tasks[[#This Row],[_IsLeaf]]=1),0,(Tasks[[#This Row],[_Resource1]]&lt;&gt;"")+(Tasks[[#This Row],[_Res2]]&lt;&gt;"")+(Tasks[[#This Row],[_Res3]]&lt;&gt;"")+(Tasks[[#This Row],[_Res4]]&lt;&gt;""))</f>
        <v>1</v>
      </c>
      <c r="CU1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 s="45" t="n">
        <f aca="false">IF(OR(NOT(Tasks[[#This Row],[_IsLeaf]]=1),Tasks[[#This Row],[_Res2]]=""),0,IF(ISNA(MATCH(Tasks[[#This Row],[_Res2]],res_Name,0)),0,N(Tasks[[#This Row],[Duration]])*HoursPerDay*IF(Tasks[[#This Row],[_Res2Units]]="",DefaultUnits,Tasks[[#This Row],[_Res2Units]])))</f>
        <v>0</v>
      </c>
      <c r="CX19" s="45" t="n">
        <f aca="false">IF(Tasks[[#This Row],[_Res2Work]]=0,0,Tasks[[#This Row],[_Res2Work]]*IFERROR(INDEX(res_Rate,MATCH(Tasks[[#This Row],[_Res2]],res_Name,0)),0))</f>
        <v>0</v>
      </c>
      <c r="CY19" s="45" t="n">
        <f aca="false">IF(AND(AND(Tasks[[#This Row],[_IsLeaf]]=1,Tasks[[#This Row],[_LeafTotalWork]]&gt;0),Tasks[[#This Row],[_Res2Work]]&gt;0),Tasks[[#This Row],[_Res2Work]]/(Tasks[[#This Row],[_FinishWorkday]]-Tasks[[#This Row],[_StartWorkday]]+1),0)</f>
        <v>0</v>
      </c>
      <c r="CZ19" s="45" t="n">
        <f aca="false">Tasks[[#This Row],[_Res2WorkPerWD]]*MAX(0,Tasks[[#This Row],[_StartWorkday]]-1)</f>
        <v>0</v>
      </c>
      <c r="DA19" s="45" t="n">
        <f aca="false">Tasks[[#This Row],[_Res2Work]]*Tasks[[#This Row],[_LeafProgress]]</f>
        <v>0</v>
      </c>
      <c r="DB19" s="45" t="n">
        <f aca="false">IF(Tasks[[#This Row],[_LeafTotalCost]]=0,0,Tasks[[#This Row],[_LeafAC]]*Tasks[[#This Row],[_Res2Cost]]/Tasks[[#This Row],[_LeafTotalCost]])</f>
        <v>0</v>
      </c>
      <c r="DC1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9" s="45" t="n">
        <f aca="false">IF(OR(NOT(Tasks[[#This Row],[_IsLeaf]]=1),Tasks[[#This Row],[_Res3]]=""),0,IF(ISNA(MATCH(Tasks[[#This Row],[_Res3]],res_Name,0)),0,N(Tasks[[#This Row],[Duration]])*HoursPerDay*IF(Tasks[[#This Row],[_Res3Units]]="",DefaultUnits,Tasks[[#This Row],[_Res3Units]])))</f>
        <v>0</v>
      </c>
      <c r="DF19" s="45" t="n">
        <f aca="false">IF(Tasks[[#This Row],[_Res3Work]]=0,0,Tasks[[#This Row],[_Res3Work]]*IFERROR(INDEX(res_Rate,MATCH(Tasks[[#This Row],[_Res3]],res_Name,0)),0))</f>
        <v>0</v>
      </c>
      <c r="DG19" s="45" t="n">
        <f aca="false">IF(AND(AND(Tasks[[#This Row],[_IsLeaf]]=1,Tasks[[#This Row],[_LeafTotalWork]]&gt;0),Tasks[[#This Row],[_Res3Work]]&gt;0),Tasks[[#This Row],[_Res3Work]]/(Tasks[[#This Row],[_FinishWorkday]]-Tasks[[#This Row],[_StartWorkday]]+1),0)</f>
        <v>0</v>
      </c>
      <c r="DH19" s="45" t="n">
        <f aca="false">Tasks[[#This Row],[_Res3WorkPerWD]]*MAX(0,Tasks[[#This Row],[_StartWorkday]]-1)</f>
        <v>0</v>
      </c>
      <c r="DI19" s="45" t="n">
        <f aca="false">Tasks[[#This Row],[_Res3Work]]*Tasks[[#This Row],[_LeafProgress]]</f>
        <v>0</v>
      </c>
      <c r="DJ19" s="45" t="n">
        <f aca="false">IF(Tasks[[#This Row],[_LeafTotalCost]]=0,0,Tasks[[#This Row],[_LeafAC]]*Tasks[[#This Row],[_Res3Cost]]/Tasks[[#This Row],[_LeafTotalCost]])</f>
        <v>0</v>
      </c>
      <c r="DK1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9" s="45" t="n">
        <f aca="false">IF(OR(NOT(Tasks[[#This Row],[_IsLeaf]]=1),Tasks[[#This Row],[_Res4]]=""),0,IF(ISNA(MATCH(Tasks[[#This Row],[_Res4]],res_Name,0)),0,N(Tasks[[#This Row],[Duration]])*HoursPerDay*IF(Tasks[[#This Row],[_Res4Units]]="",DefaultUnits,Tasks[[#This Row],[_Res4Units]])))</f>
        <v>0</v>
      </c>
      <c r="DN19" s="45" t="n">
        <f aca="false">IF(Tasks[[#This Row],[_Res4Work]]=0,0,Tasks[[#This Row],[_Res4Work]]*IFERROR(INDEX(res_Rate,MATCH(Tasks[[#This Row],[_Res4]],res_Name,0)),0))</f>
        <v>0</v>
      </c>
      <c r="DO19" s="45" t="n">
        <f aca="false">IF(AND(AND(Tasks[[#This Row],[_IsLeaf]]=1,Tasks[[#This Row],[_LeafTotalWork]]&gt;0),Tasks[[#This Row],[_Res4Work]]&gt;0),Tasks[[#This Row],[_Res4Work]]/(Tasks[[#This Row],[_FinishWorkday]]-Tasks[[#This Row],[_StartWorkday]]+1),0)</f>
        <v>0</v>
      </c>
      <c r="DP19" s="45" t="n">
        <f aca="false">Tasks[[#This Row],[_Res4WorkPerWD]]*MAX(0,Tasks[[#This Row],[_StartWorkday]]-1)</f>
        <v>0</v>
      </c>
      <c r="DQ19" s="45" t="n">
        <f aca="false">Tasks[[#This Row],[_Res4Work]]*Tasks[[#This Row],[_LeafProgress]]</f>
        <v>0</v>
      </c>
      <c r="DR19" s="45" t="n">
        <f aca="false">IF(Tasks[[#This Row],[_LeafTotalCost]]=0,0,Tasks[[#This Row],[_LeafAC]]*Tasks[[#This Row],[_Res4Cost]]/Tasks[[#This Row],[_LeafTotalCost]])</f>
        <v>0</v>
      </c>
      <c r="DS19" s="45" t="n">
        <f aca="false">IF(ISNUMBER(Tasks[[#This Row],[% Complete]]),Tasks[[#This Row],[% Complete]],IF(Tasks[[#This Row],[Stage]]="",0,IFERROR(INDEX(stg_Pct,MATCH(Tasks[[#This Row],[Stage]],stg_Name,0)),0)))</f>
        <v>0</v>
      </c>
      <c r="DT19" s="45" t="n">
        <f aca="false">IF(NOT(Tasks[[#This Row],[_IsLeaf]]=1),0,IF(N(Tasks[[#This Row],[Actual Finish]])&gt;0,1,MIN(1,Tasks[[#This Row],[_Pct]])))</f>
        <v>0</v>
      </c>
      <c r="DU19" s="45" t="n">
        <f aca="false">IF(OR(NOT(Tasks[[#This Row],[_IsLeaf]]=1),Tasks[[#This Row],[_Resource1]]=""),0,IF(ISNA(MATCH(Tasks[[#This Row],[_Resource1]],res_Name,0)),0,N(Tasks[[#This Row],[Duration]])*HoursPerDay*IF(Tasks[[#This Row],[_Units1]]="",DefaultUnits,Tasks[[#This Row],[_Units1]])))</f>
        <v>48</v>
      </c>
      <c r="DV19" s="45" t="n">
        <f aca="false">IF(Tasks[[#This Row],[_LeafWork]]=0,0,Tasks[[#This Row],[_LeafWork]]*IFERROR(INDEX(res_Rate,MATCH(Tasks[[#This Row],[_Resource1]],res_Name,0)),0))</f>
        <v>4080</v>
      </c>
      <c r="DW19" s="45" t="n">
        <f aca="false">Tasks[[#This Row],[_LeafWork]]+Tasks[[#This Row],[_Res2Work]]+Tasks[[#This Row],[_Res3Work]]+Tasks[[#This Row],[_Res4Work]]</f>
        <v>48</v>
      </c>
      <c r="DX19" s="45" t="n">
        <f aca="false">Tasks[[#This Row],[_LeafCost]]+Tasks[[#This Row],[_Res2Cost]]+Tasks[[#This Row],[_Res3Cost]]+Tasks[[#This Row],[_Res4Cost]]</f>
        <v>4080</v>
      </c>
      <c r="DY19" s="45" t="n">
        <f aca="false">IF(Tasks[[#This Row],[_LeafTotalCost]]=0,Tasks[[#This Row],[_LeafAC]],Tasks[[#This Row],[_LeafAC]]*Tasks[[#This Row],[_LeafCost]]/Tasks[[#This Row],[_LeafTotalCost]])</f>
        <v>0</v>
      </c>
      <c r="DZ19"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2912141</v>
      </c>
      <c r="EA1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9"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1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9" s="45" t="n">
        <f aca="false">IF(NOT(Tasks[[#This Row],[_IsLeaf]]=1),0,MAX(_xlfn.MAXIFS(Tasks[_Row],Tasks[_Pred1UID],Tasks[[#This Row],[UID]]),_xlfn.MAXIFS(Tasks[_Row],Tasks[_Pred2UID],Tasks[[#This Row],[UID]]),_xlfn.MAXIFS(Tasks[_Row],Tasks[_Pred3UID],Tasks[[#This Row],[UID]]),_xlfn.MAXIFS(Tasks[_Row],Tasks[_Pred4UID],Tasks[[#This Row],[UID]])))</f>
        <v>19</v>
      </c>
      <c r="EI19"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46332</v>
      </c>
      <c r="EJ19"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EK19" s="74" t="n">
        <f aca="false">IF(NOT(Tasks[[#This Row],[_IsLeaf]]=1),"",IF(N(Tasks[[#This Row],[Duration]])&lt;=0,Tasks[[#This Row],[_LeafLateFinish]],WORKDAY.INTL(Tasks[[#This Row],[_LeafLateFinish]],-(Tasks[[#This Row],[Duration]]-1),WorkWeek,Holidays)))</f>
        <v>46325</v>
      </c>
      <c r="EL19"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M19" s="73" t="b">
        <f aca="false">AND(Tasks[[#This Row],[_IsLeaf]]=1,Tasks[[#This Row],[_LeafProgress]]&lt;1,N(Tasks[[#This Row],[_LeafTotalSlack]])&lt;=CriticalSlackDays)</f>
        <v>1</v>
      </c>
      <c r="EN19" s="45" t="n">
        <f aca="false">IF(AND(Tasks[[#This Row],[_IsLeaf]]=1,Tasks[[#This Row],[_ConstraintCode]]=1,Tasks[[#This Row],[Mode]]&lt;&gt;"Manual",N(Tasks[[#This Row],[Actual Start]])=0),MAX(0,N(Tasks[[#This Row],[Free Slack]])),0)</f>
        <v>0</v>
      </c>
      <c r="EO19" s="74" t="n">
        <f aca="false">IF(NOT(Tasks[[#This Row],[_IsLeaf]]=1),"",IF(Tasks[[#This Row],[_AlapShift]]=0,Tasks[[#This Row],[_LeafCalcStart]],WORKDAY.INTL(Tasks[[#This Row],[_LeafCalcStart]],Tasks[[#This Row],[_AlapShift]],WorkWeek,Holidays)))</f>
        <v>46318</v>
      </c>
      <c r="EP19" s="74" t="n">
        <f aca="false">IF(NOT(Tasks[[#This Row],[_IsLeaf]]=1),"",IF(Tasks[[#This Row],[_AlapShift]]=0,Tasks[[#This Row],[_LeafCalcFinish]],WORKDAY.INTL(Tasks[[#This Row],[_LeafCalcFinish]],Tasks[[#This Row],[_AlapShift]],WorkWeek,Holidays)))</f>
        <v>46325</v>
      </c>
      <c r="EQ19" s="74" t="n">
        <f aca="false">IF(NOT(Tasks[[#This Row],[_IsLeaf]]=1),"",IF(Tasks[[#This Row],[_AlapShift]]=0,Tasks[[#This Row],[_LeafFcstStart]],WORKDAY.INTL(Tasks[[#This Row],[_LeafFcstStart]],Tasks[[#This Row],[_AlapShift]],WorkWeek,Holidays)))</f>
        <v>46328</v>
      </c>
      <c r="ER19" s="74" t="n">
        <f aca="false">IF(NOT(Tasks[[#This Row],[_IsLeaf]]=1),"",IF(Tasks[[#This Row],[_AlapShift]]=0,Tasks[[#This Row],[_LeafFcstFinish]],WORKDAY.INTL(Tasks[[#This Row],[_LeafFcstFinish]],Tasks[[#This Row],[_AlapShift]],WorkWeek,Holidays)))</f>
        <v>46335</v>
      </c>
      <c r="ES19" s="74" t="n">
        <f aca="false">IF(Tasks[[#This Row],[Task Name]]="","",IF(Tasks[[#This Row],[_IsSummary]],MIN(INDEX(Tasks[_ShownCalcStart],Tasks[[#This Row],[_Row]]+1):INDEX(Tasks[_ShownCalcStart],Tasks[[#This Row],[_Row]]+Tasks[[#This Row],[_Descendants]])),Tasks[[#This Row],[_ShownCalcStart]]))</f>
        <v>46318</v>
      </c>
      <c r="ET19" s="74" t="n">
        <f aca="false">IF(Tasks[[#This Row],[Task Name]]="","",IF(Tasks[[#This Row],[_IsSummary]],MAX(INDEX(Tasks[_ShownCalcFinish],Tasks[[#This Row],[_Row]]+1):INDEX(Tasks[_ShownCalcFinish],Tasks[[#This Row],[_Row]]+Tasks[[#This Row],[_Descendants]])),Tasks[[#This Row],[_ShownCalcFinish]]))</f>
        <v>46325</v>
      </c>
      <c r="EU1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46318</v>
      </c>
      <c r="EZ1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46328</v>
      </c>
      <c r="FD1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9" s="45" t="n">
        <f aca="false">IF(AND(Tasks[[#This Row],[_IsLeaf]]=1,Tasks[[#This Row],[_LeafTotalWork]]&gt;0),NETWORKDAYS.INTL(ProjectStart,Tasks[[#This Row],[_ShownFcstStart]],WorkWeek,Holidays),0)</f>
        <v>41</v>
      </c>
      <c r="FH19" s="45" t="n">
        <f aca="false">IF(AND(Tasks[[#This Row],[_IsLeaf]]=1,Tasks[[#This Row],[_LeafTotalWork]]&gt;0),MAX(Tasks[[#This Row],[_StartWorkday]],NETWORKDAYS.INTL(ProjectStart,Tasks[[#This Row],[_ShownFcstFinish]],WorkWeek,Holidays)),0)</f>
        <v>46</v>
      </c>
      <c r="FI19" s="45" t="n">
        <f aca="false">IF(AND(Tasks[[#This Row],[_IsLeaf]]=1,Tasks[[#This Row],[_LeafTotalWork]]&gt;0),Tasks[[#This Row],[_LeafWork]]/(Tasks[[#This Row],[_FinishWorkday]]-Tasks[[#This Row],[_StartWorkday]]+1),0)</f>
        <v>8</v>
      </c>
      <c r="FJ19" s="45" t="n">
        <f aca="false">Tasks[[#This Row],[_WorkPerWorkday]]*(Tasks[[#This Row],[_StartWorkday]]-1)</f>
        <v>320</v>
      </c>
      <c r="FK19" s="45" t="n">
        <f aca="false">IF(Tasks[[#This Row],[_IsLeaf]]=1,MAX(N(Tasks[[#This Row],[Duration]]),0.1),0)</f>
        <v>6</v>
      </c>
      <c r="FL19" s="45" t="n">
        <f aca="false">Tasks[[#This Row],[_WeightDur]]*Tasks[[#This Row],[_LeafProgress]]</f>
        <v>0</v>
      </c>
      <c r="FM1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13</v>
      </c>
      <c r="FN19" s="45" t="str">
        <f aca="false">IF(AND(Tasks[[#This Row],[_IsLeaf]]=1,N(Tasks[[#This Row],[Duration]])=0,Tasks[[#This Row],[_LeafProgress]]&lt;1),Tasks[[#This Row],[_ShownFcstFinish]]+Tasks[[#This Row],[_Row]]/100000,"")</f>
        <v/>
      </c>
      <c r="FO1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0.166666666666667</v>
      </c>
      <c r="FP19" s="45" t="n">
        <f aca="false">IF(NOT(Tasks[[#This Row],[_IsLeaf]]=1),0,IF(Tasks[[#This Row],[Baseline Cost]]="",Tasks[[#This Row],[_LeafTotalCost]],N(Tasks[[#This Row],[Baseline Cost]])))</f>
        <v>4080</v>
      </c>
      <c r="FQ19" s="45" t="n">
        <f aca="false">Tasks[[#This Row],[_LeafBudget]]*Tasks[[#This Row],[_PlannedPct]]</f>
        <v>680</v>
      </c>
      <c r="FR19" s="45" t="n">
        <f aca="false">Tasks[[#This Row],[_LeafBudget]]*Tasks[[#This Row],[_LeafProgress]]</f>
        <v>0</v>
      </c>
      <c r="FS19" s="45" t="n">
        <f aca="false">IF(NOT(Tasks[[#This Row],[_IsLeaf]]=1),0,IF(Tasks[[#This Row],[Actual Cost]]="",Tasks[[#This Row],[_LeafTotalCost]]*Tasks[[#This Row],[_LeafProgress]],N(Tasks[[#This Row],[Actual Cost]])))</f>
        <v>0</v>
      </c>
      <c r="FT19" s="45" t="str">
        <f aca="false">IF(Tasks[[#This Row],[Task Name]]="","",LEFT(Tasks[[#This Row],[WBS]],FIND(".",Tasks[[#This Row],[WBS]]&amp;".")-1))</f>
        <v>3</v>
      </c>
      <c r="FU19" s="45" t="str">
        <f aca="false">IF(AND(Tasks[[#This Row],[Task Name]]&lt;&gt;"",Tasks[[#This Row],[_Level]]=1),Tasks[[#This Row],[_Row]],"")</f>
        <v/>
      </c>
      <c r="FV19" s="45" t="str">
        <f aca="false">IF(AND(Tasks[[#This Row],[_IsLeaf]]=1,N(Tasks[[#This Row],[Duration]])=0),Tasks[[#This Row],[Planned Finish]]+Tasks[[#This Row],[_Row]]/100000,"")</f>
        <v/>
      </c>
      <c r="FW19" s="45" t="n">
        <f aca="false">IF(AND(Tasks[[#This Row],[_IsLeaf]]=1,Tasks[[#This Row],[_LeafProgress]]&lt;1,OR(N(Tasks[[#This Row],[Finish Var]])&gt;0,Tasks[[#This Row],[Status]]="Late Start")),MAX(0,Tasks[[#This Row],[Finish Var]])+1-Tasks[[#This Row],[_Row]]/1000000,"")</f>
        <v>6.999986</v>
      </c>
      <c r="FX19" s="77" t="n">
        <f aca="false">IF(AND(Tasks[[#This Row],[_IsLeaf]]=1,N(Tasks[[#This Row],[Actual Start]])=0,Tasks[[#This Row],[_ShownFcstStart]]&gt;=StatusDate,Tasks[[#This Row],[_ShownFcstStart]]&lt;=LookaheadEnd),Tasks[[#This Row],[_ShownFcstStart]]+Tasks[[#This Row],[_Row]]/100000,"")</f>
        <v>46328.00014</v>
      </c>
      <c r="FY19" s="45" t="str">
        <f aca="false">IF(AND(Tasks[[#This Row],[_IsLeaf]]=1,Tasks[[#This Row],[_LeafProgress]]&lt;1,Tasks[[#This Row],[_ShownFcstFinish]]&gt;=StatusDate,Tasks[[#This Row],[_ShownFcstFinish]]&lt;=LookaheadEnd),Tasks[[#This Row],[_ShownFcstFinish]]+Tasks[[#This Row],[_Row]]/100000,"")</f>
        <v/>
      </c>
      <c r="FZ19" s="77" t="n">
        <f aca="false">IF(Tasks[[#This Row],[_LeafCritical]],Tasks[[#This Row],[_ShownFcstStart]]+Tasks[[#This Row],[_Row]]/100000,"")</f>
        <v>46328.00014</v>
      </c>
      <c r="GA19" s="45" t="n">
        <f aca="false">Tasks[[#This Row],[_LeafWork]]*Tasks[[#This Row],[_LeafProgress]]</f>
        <v>0</v>
      </c>
      <c r="GB19" s="74" t="str">
        <f aca="false">IF(AND(Tasks[[#This Row],[_IsLeaf]]=1,Tasks[[#This Row],[_LeafProgress]]&gt;=1),IF(N(Tasks[[#This Row],[Actual Finish]])&gt;0,Tasks[[#This Row],[Actual Finish]],Tasks[[#This Row],[_ShownFcstFinish]]),"")</f>
        <v/>
      </c>
    </row>
    <row r="20" customFormat="false" ht="15" hidden="false" customHeight="false" outlineLevel="1" collapsed="false">
      <c r="A20" s="67" t="n">
        <f aca="false">IF(Tasks[[#This Row],[Task Name]]="","",COUNTA(Tasks[[#Headers],[Task Name]]:Tasks[[#This Row],[Task Name]])-1)</f>
        <v>15</v>
      </c>
      <c r="B20" s="21" t="n">
        <v>15</v>
      </c>
      <c r="C2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D20" s="21" t="n">
        <v>2</v>
      </c>
      <c r="E20" s="75" t="s">
        <v>533</v>
      </c>
      <c r="F20" s="21"/>
      <c r="G20" s="22"/>
      <c r="H20" s="22"/>
      <c r="I20" s="22"/>
      <c r="J20" s="7"/>
      <c r="K20" s="7"/>
      <c r="L20" s="22"/>
      <c r="M20" s="58" t="n">
        <f aca="false">IF(Tasks[[#This Row],[Task Name]]="","",IF(Tasks[[#This Row],[_IsSummary]],MIN(INDEX(Tasks[_ShownFcstStart],Tasks[[#This Row],[_Row]]+1):INDEX(Tasks[_ShownFcstStart],Tasks[[#This Row],[_Row]]+Tasks[[#This Row],[_Descendants]])),Tasks[[#This Row],[_ShownFcstStart]]))</f>
        <v>46302</v>
      </c>
      <c r="N20" s="58" t="n">
        <f aca="false">IF(Tasks[[#This Row],[Task Name]]="","",IF(Tasks[[#This Row],[_IsSummary]],MAX(INDEX(Tasks[_ShownFcstFinish],Tasks[[#This Row],[_Row]]+1):INDEX(Tasks[_ShownFcstFinish],Tasks[[#This Row],[_Row]]+Tasks[[#This Row],[_Descendants]])),Tasks[[#This Row],[_ShownFcstFinish]]))</f>
        <v>46332</v>
      </c>
      <c r="O20" s="20" t="str">
        <f aca="false">IF(Tasks[[#This Row],[Task Name]]="","",IF(Tasks[[#This Row],[Progress]]&gt;=1,"Complete",IF(OR(N(Tasks[[#This Row],[Actual Start]])&gt;0,Tasks[[#This Row],[Progress]]&gt;0),IF(Tasks[[#This Row],[Finish Var]]&gt;0,"Behind","In Progress"),IF(Tasks[[#This Row],[Planned Start]]&lt;StatusDate,"Late Start","Not Started"))))</f>
        <v>Behind</v>
      </c>
      <c r="P20" s="20" t="str">
        <f aca="false">IF(Tasks[[#This Row],[Task Name]]="","",IF(IF(Tasks[[#This Row],[_IsSummary]],COUNTIF(INDEX(Tasks[_LeafCritical],Tasks[[#This Row],[_Row]]+1):INDEX(Tasks[_LeafCritical],Tasks[[#This Row],[_Row]]+Tasks[[#This Row],[_Descendants]]),TRUE())&gt;0,Tasks[[#This Row],[_LeafCritical]]),"Yes",""))</f>
        <v>Yes</v>
      </c>
      <c r="Q2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20" s="67" t="str">
        <f aca="false">IF(Tasks[[#This Row],[Task Name]]="","",IF(Tasks[[#This Row],[_Level]]&lt;=OutlineShowLevel,"Yes","No"))</f>
        <v>Yes</v>
      </c>
      <c r="S20" s="7"/>
      <c r="T20" s="21" t="s">
        <v>195</v>
      </c>
      <c r="U20" s="22"/>
      <c r="V20" s="7"/>
      <c r="W20" s="67" t="n">
        <f aca="false">IF(Tasks[[#This Row],[Task Name]]="","",IF(Tasks[[#This Row],[Finish]]&gt;=Tasks[[#This Row],[Planned Finish]],NETWORKDAYS.INTL(Tasks[[#This Row],[Planned Finish]],Tasks[[#This Row],[Finish]],WorkWeek,Holidays)-1,1-NETWORKDAYS.INTL(Tasks[[#This Row],[Finish]],Tasks[[#This Row],[Planned Finish]],WorkWeek,Holidays)))</f>
        <v>6</v>
      </c>
      <c r="X20" s="58" t="n">
        <f aca="false">IF(Tasks[[#This Row],[Task Name]]="","",IF(N(Tasks[[#This Row],[Baseline Start]])&gt;0,Tasks[[#This Row],[Baseline Start]],Tasks[[#This Row],[_CalcStart]]))</f>
        <v>46297</v>
      </c>
      <c r="Y20" s="58" t="n">
        <f aca="false">IF(Tasks[[#This Row],[Task Name]]="","",IF(N(Tasks[[#This Row],[Baseline Finish]])&gt;0,Tasks[[#This Row],[Baseline Finish]],Tasks[[#This Row],[_CalcFinish]]))</f>
        <v>46324</v>
      </c>
      <c r="Z20" s="67" t="n">
        <f aca="false">IF(Tasks[[#This Row],[Task Name]]="","",IF(Tasks[[#This Row],[Start]]&gt;=Tasks[[#This Row],[Planned Start]],NETWORKDAYS.INTL(Tasks[[#This Row],[Planned Start]],Tasks[[#This Row],[Start]],WorkWeek,Holidays)-1,1-NETWORKDAYS.INTL(Tasks[[#This Row],[Start]],Tasks[[#This Row],[Planned Start]],WorkWeek,Holidays)))</f>
        <v>3</v>
      </c>
      <c r="AA20" s="58" t="n">
        <f aca="false">IF(Tasks[[#This Row],[Task Name]]="","",IF(Tasks[[#This Row],[_IsSummary]],MIN(INDEX(Tasks[_LeafLateStart],Tasks[[#This Row],[_Row]]+1):INDEX(Tasks[_LeafLateStart],Tasks[[#This Row],[_Row]]+Tasks[[#This Row],[_Descendants]])),Tasks[[#This Row],[_LeafLateStart]]))</f>
        <v>46308</v>
      </c>
      <c r="AB20" s="58" t="n">
        <f aca="false">IF(Tasks[[#This Row],[Task Name]]="","",IF(Tasks[[#This Row],[_IsSummary]],MAX(INDEX(Tasks[_LeafLateFinish],Tasks[[#This Row],[_Row]]+1):INDEX(Tasks[_LeafLateFinish],Tasks[[#This Row],[_Row]]+Tasks[[#This Row],[_Descendants]])),Tasks[[#This Row],[_LeafLateFinish]]))</f>
        <v>46332</v>
      </c>
      <c r="AC20" s="67" t="n">
        <f aca="false">IF(Tasks[[#This Row],[Task Name]]="","",IF(Tasks[[#This Row],[_IsSummary]],MIN(INDEX(Tasks[_LeafTotalSlack],Tasks[[#This Row],[_Row]]+1):INDEX(Tasks[_LeafTotalSlack],Tasks[[#This Row],[_Row]]+Tasks[[#This Row],[_Descendants]])),Tasks[[#This Row],[_LeafTotalSlack]]))</f>
        <v>0</v>
      </c>
      <c r="AD2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2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2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20" s="60"/>
      <c r="AH20"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0.428571428571429</v>
      </c>
      <c r="AI2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20" s="69" t="n">
        <f aca="false">IF(Tasks[[#This Row],[Task Name]]="","",IF(Tasks[[#This Row],[_IsSummary]],SUM(INDEX(Tasks[_LeafTotalWork],Tasks[[#This Row],[_Row]]+1):INDEX(Tasks[_LeafTotalWork],Tasks[[#This Row],[_Row]]+Tasks[[#This Row],[_Descendants]])),Tasks[[#This Row],[_LeafTotalWork]]))</f>
        <v>204</v>
      </c>
      <c r="AK2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20" s="70" t="n">
        <f aca="false">IF(Tasks[[#This Row],[Task Name]]="","",IF(Tasks[[#This Row],[_IsSummary]],SUM(INDEX(Tasks[_LeafTotalCost],Tasks[[#This Row],[_Row]]+1):INDEX(Tasks[_LeafTotalCost],Tasks[[#This Row],[_Row]]+Tasks[[#This Row],[_Descendants]])),Tasks[[#This Row],[_LeafTotalCost]]))</f>
        <v>16020</v>
      </c>
      <c r="AM20" s="71"/>
      <c r="AN20" s="20" t="str">
        <f aca="false">IF(OR(Tasks[[#This Row],[Task Name]]="",Tasks[[#This Row],[Baseline Duration]]=""),"",Tasks[[#This Row],[BL Source Duration]]-N(Tasks[[#This Row],[Baseline Duration]]))</f>
        <v/>
      </c>
      <c r="AO20" s="69" t="str">
        <f aca="false">IF(OR(Tasks[[#This Row],[Task Name]]="",Tasks[[#This Row],[Baseline Work]]=""),"",Tasks[[#This Row],[Work]]-N(Tasks[[#This Row],[Baseline Work]]))</f>
        <v/>
      </c>
      <c r="AP20" s="70" t="str">
        <f aca="false">IF(OR(Tasks[[#This Row],[Task Name]]="",Tasks[[#This Row],[Baseline Cost]]=""),"",Tasks[[#This Row],[Cost]]-N(Tasks[[#This Row],[Baseline Cost]]))</f>
        <v/>
      </c>
      <c r="AQ20" s="58" t="n">
        <f aca="false">IF(Tasks[[#This Row],[Task Name]]="","",Tasks[[#This Row],[Start]])</f>
        <v>46302</v>
      </c>
      <c r="AR20" s="58" t="n">
        <f aca="false">IF(Tasks[[#This Row],[Task Name]]="","",Tasks[[#This Row],[Finish]])</f>
        <v>46332</v>
      </c>
      <c r="AS20" s="67" t="n">
        <f aca="false">IF(Tasks[[#This Row],[Task Name]]="","",IF(Tasks[[#This Row],[_IsSummary]],NETWORKDAYS.INTL(Tasks[[#This Row],[Start]],Tasks[[#This Row],[Finish]],WorkWeek,Holidays),N(Tasks[[#This Row],[Duration]])))</f>
        <v>23</v>
      </c>
      <c r="AT20" s="69" t="n">
        <f aca="false">IF(Tasks[[#This Row],[Task Name]]="","",Tasks[[#This Row],[Work]])</f>
        <v>204</v>
      </c>
      <c r="AU20" s="70" t="n">
        <f aca="false">IF(Tasks[[#This Row],[Task Name]]="","",Tasks[[#This Row],[Cost]])</f>
        <v>16020</v>
      </c>
      <c r="AV20" s="7"/>
      <c r="AW20" s="7"/>
      <c r="AX20" s="21"/>
      <c r="AY20" s="72"/>
      <c r="AZ20" s="71"/>
      <c r="BA20" s="70" t="n">
        <f aca="false">IF(Tasks[[#This Row],[Task Name]]="","",IF(Tasks[[#This Row],[_IsSummary]],SUM(INDEX(Tasks[_LeafEV],Tasks[[#This Row],[_Row]]+1):INDEX(Tasks[_LeafEV],Tasks[[#This Row],[_Row]]+Tasks[[#This Row],[_Descendants]])),Tasks[[#This Row],[_LeafEV]]))</f>
        <v>6660</v>
      </c>
      <c r="BB20" s="70" t="n">
        <f aca="false">IF(Tasks[[#This Row],[Task Name]]="","",IF(Tasks[[#This Row],[_IsSummary]],SUM(INDEX(Tasks[_LeafBudget],Tasks[[#This Row],[_Row]]+1):INDEX(Tasks[_LeafBudget],Tasks[[#This Row],[_Row]]+Tasks[[#This Row],[_Descendants]])),Tasks[[#This Row],[_LeafBudget]]))</f>
        <v>16020</v>
      </c>
      <c r="BC20" s="70" t="n">
        <f aca="false">IF(Tasks[[#This Row],[Task Name]]="","",IF(Tasks[[#This Row],[_IsSummary]],SUM(INDEX(Tasks[_LeafPV],Tasks[[#This Row],[_Row]]+1):INDEX(Tasks[_LeafPV],Tasks[[#This Row],[_Row]]+Tasks[[#This Row],[_Descendants]])),Tasks[[#This Row],[_LeafPV]]))</f>
        <v>12300</v>
      </c>
      <c r="BD20" s="70" t="n">
        <f aca="false">IF(Tasks[[#This Row],[Task Name]]="","",IF(Tasks[[#This Row],[_IsSummary]],SUM(INDEX(Tasks[_LeafAC],Tasks[[#This Row],[_Row]]+1):INDEX(Tasks[_LeafAC],Tasks[[#This Row],[_Row]]+Tasks[[#This Row],[_Descendants]])),Tasks[[#This Row],[_LeafAC]]))</f>
        <v>6660</v>
      </c>
      <c r="BE20" s="45" t="n">
        <f aca="false">IF(Tasks[[#This Row],[Task Name]]="","",MAX(1,N(Tasks[[#This Row],[Level]])))</f>
        <v>2</v>
      </c>
      <c r="BF20" s="45" t="n">
        <f aca="false">ROW()-ROW(Tasks[[#Headers],[ID]])</f>
        <v>15</v>
      </c>
      <c r="BG20" s="45" t="n">
        <f aca="false">IF(OR(Tasks[[#This Row],[Task Name]]="",Tasks[[#This Row],[_Level]]&lt;=1),0,IFERROR(LOOKUP(2,1/(Tasks[[#Headers],[_Level]]:Tasks[[#This Row],[_Level]]=Tasks[[#This Row],[_Level]]-1),ROW(Tasks[[#Headers],[_Level]]:Tasks[[#This Row],[_Level]])),0))</f>
        <v>15</v>
      </c>
      <c r="BH20" s="45" t="n">
        <f aca="false">IFERROR(N(INDEX(Tasks[_Level],Tasks[[#This Row],[_Row]]+1)),0)</f>
        <v>3</v>
      </c>
      <c r="BI20" s="73" t="b">
        <f aca="false">AND(Tasks[[#This Row],[Task Name]]&lt;&gt;"",Tasks[[#This Row],[_NextLevel]]&gt;Tasks[[#This Row],[_Level]])</f>
        <v>1</v>
      </c>
      <c r="BJ20" s="45" t="n">
        <f aca="false">IF(Tasks[[#This Row],[_IsSummary]],COUNTIF(Tasks[WBS],Tasks[[#This Row],[WBS]]&amp;".*"),0)</f>
        <v>3</v>
      </c>
      <c r="BK20" s="45" t="n">
        <f aca="false">IF(AND(Tasks[[#This Row],[Task Name]]&lt;&gt;"",NOT(Tasks[[#This Row],[_IsSummary]])),1,0)</f>
        <v>0</v>
      </c>
      <c r="BL20" s="45" t="n">
        <f aca="false">IF(N(Tasks[[#This Row],[_Pred1UID]])=0,0,IFERROR(MATCH(Tasks[[#This Row],[_Pred1UID]],Tasks[UID],0),-1))</f>
        <v>0</v>
      </c>
      <c r="BM20" s="45" t="n">
        <f aca="false">IF(N(Tasks[[#This Row],[_Pred2UID]])=0,0,IFERROR(MATCH(Tasks[[#This Row],[_Pred2UID]],Tasks[UID],0),-1))</f>
        <v>0</v>
      </c>
      <c r="BN20" s="45" t="n">
        <f aca="false">IF(N(Tasks[[#This Row],[_Pred3UID]])=0,0,IFERROR(MATCH(Tasks[[#This Row],[_Pred3UID]],Tasks[UID],0),-1))</f>
        <v>0</v>
      </c>
      <c r="BO20" s="45" t="n">
        <f aca="false">IF(N(Tasks[[#This Row],[_Pred4UID]])=0,0,IFERROR(MATCH(Tasks[[#This Row],[_Pred4UID]],Tasks[UID],0),-1))</f>
        <v>0</v>
      </c>
      <c r="BP2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2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20" s="74" t="n">
        <f aca="false">IF(OR(Tasks[[#This Row],[_ConstraintCode]]=2,Tasks[[#This Row],[_ConstraintCode]]=3,Tasks[[#This Row],[_ConstraintCode]]=4,Tasks[[#This Row],[_ConstraintCode]]=6),Tasks[[#This Row],[_ConstraintStart]],0)</f>
        <v>0</v>
      </c>
      <c r="BS20" s="74" t="n">
        <f aca="false">IF(OR(Tasks[[#This Row],[_ConstraintCode]]=2,Tasks[[#This Row],[_ConstraintCode]]=3,Tasks[[#This Row],[_ConstraintCode]]=5,Tasks[[#This Row],[_ConstraintCode]]=7),Tasks[[#This Row],[_ConstraintStart]],2958465)</f>
        <v>2958465</v>
      </c>
      <c r="BT2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20" s="74" t="str">
        <f aca="false">IF(NOT(Tasks[[#This Row],[_IsLeaf]]=1),"",IF(N(Tasks[[#This Row],[Duration]])&lt;=0,Tasks[[#This Row],[_LeafCalcStart]],WORKDAY.INTL(Tasks[[#This Row],[_LeafCalcStart]],Tasks[[#This Row],[Duration]]-1,WorkWeek,Holidays)))</f>
        <v/>
      </c>
      <c r="BV2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2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20" s="45" t="str">
        <f aca="false">IF(Tasks[[#This Row],[Predecessors]]="","",TRIM(MID(SUBSTITUTE(SUBSTITUTE(SUBSTITUTE(UPPER(Tasks[[#This Row],[Predecessors]]),";",",")," ",""),",",REPT(" ",99)),1,99)))</f>
        <v/>
      </c>
      <c r="BY20" s="45" t="str">
        <f aca="false">IF(Tasks[[#This Row],[_Pred1Text]]="","",IFERROR(VALUE(LEFT(Tasks[[#This Row],[_Pred1Text]],MIN(FIND("F",Tasks[[#This Row],[_Pred1Text]]&amp;"F"),FIND("S",Tasks[[#This Row],[_Pred1Text]]&amp;"S"),FIND("+",Tasks[[#This Row],[_Pred1Text]]&amp;"+"),FIND("-",Tasks[[#This Row],[_Pred1Text]]&amp;"-"))-1)),""))</f>
        <v/>
      </c>
      <c r="BZ2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2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20" s="45" t="str">
        <f aca="false">IF(Tasks[[#This Row],[_Pred1Text]]="","",TRIM(MID(SUBSTITUTE(SUBSTITUTE(SUBSTITUTE(UPPER(Tasks[[#This Row],[Predecessors]]),";",",")," ",""),",",REPT(" ",99)),100,99)))</f>
        <v/>
      </c>
      <c r="CC20" s="45" t="str">
        <f aca="false">IF(Tasks[[#This Row],[_Pred2Text]]="","",IFERROR(VALUE(LEFT(Tasks[[#This Row],[_Pred2Text]],MIN(FIND("F",Tasks[[#This Row],[_Pred2Text]]&amp;"F"),FIND("S",Tasks[[#This Row],[_Pred2Text]]&amp;"S"),FIND("+",Tasks[[#This Row],[_Pred2Text]]&amp;"+"),FIND("-",Tasks[[#This Row],[_Pred2Text]]&amp;"-"))-1)),""))</f>
        <v/>
      </c>
      <c r="CD2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2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20" s="45" t="str">
        <f aca="false">IF(Tasks[[#This Row],[_Pred2Text]]="","",TRIM(MID(SUBSTITUTE(SUBSTITUTE(SUBSTITUTE(UPPER(Tasks[[#This Row],[Predecessors]]),";",",")," ",""),",",REPT(" ",99)),199,99)))</f>
        <v/>
      </c>
      <c r="CG20" s="45" t="str">
        <f aca="false">IF(Tasks[[#This Row],[_Pred3Text]]="","",IFERROR(VALUE(LEFT(Tasks[[#This Row],[_Pred3Text]],MIN(FIND("F",Tasks[[#This Row],[_Pred3Text]]&amp;"F"),FIND("S",Tasks[[#This Row],[_Pred3Text]]&amp;"S"),FIND("+",Tasks[[#This Row],[_Pred3Text]]&amp;"+"),FIND("-",Tasks[[#This Row],[_Pred3Text]]&amp;"-"))-1)),""))</f>
        <v/>
      </c>
      <c r="CH2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2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20" s="45" t="str">
        <f aca="false">IF(Tasks[[#This Row],[_Pred3Text]]="","",TRIM(MID(SUBSTITUTE(SUBSTITUTE(SUBSTITUTE(UPPER(Tasks[[#This Row],[Predecessors]]),";",",")," ",""),",",REPT(" ",99)),298,99)))</f>
        <v/>
      </c>
      <c r="CK20" s="45" t="str">
        <f aca="false">IF(Tasks[[#This Row],[_Pred4Text]]="","",IFERROR(VALUE(LEFT(Tasks[[#This Row],[_Pred4Text]],MIN(FIND("F",Tasks[[#This Row],[_Pred4Text]]&amp;"F"),FIND("S",Tasks[[#This Row],[_Pred4Text]]&amp;"S"),FIND("+",Tasks[[#This Row],[_Pred4Text]]&amp;"+"),FIND("-",Tasks[[#This Row],[_Pred4Text]]&amp;"-"))-1)),""))</f>
        <v/>
      </c>
      <c r="CL2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2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20" s="45" t="str">
        <f aca="false">IF(OR(Tasks[[#This Row],[Task Name]]="",Tasks[[#This Row],[Resources]]=""),"",TRIM(MID(SUBSTITUTE(Tasks[[#This Row],[Resources]],",",REPT(" ",99)),1,99)))</f>
        <v/>
      </c>
      <c r="CO20" s="45" t="str">
        <f aca="false">IF(Tasks[[#This Row],[_Res1Text]]="","",TRIM(MID(SUBSTITUTE(Tasks[[#This Row],[Resources]],",",REPT(" ",99)),100,99)))</f>
        <v/>
      </c>
      <c r="CP20" s="45" t="str">
        <f aca="false">IF(Tasks[[#This Row],[_Res2Text]]="","",TRIM(MID(SUBSTITUTE(Tasks[[#This Row],[Resources]],",",REPT(" ",99)),199,99)))</f>
        <v/>
      </c>
      <c r="CQ20" s="45" t="str">
        <f aca="false">IF(Tasks[[#This Row],[_Res3Text]]="","",TRIM(MID(SUBSTITUTE(Tasks[[#This Row],[Resources]],",",REPT(" ",99)),298,99)))</f>
        <v/>
      </c>
      <c r="CR2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2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 s="45" t="n">
        <f aca="false">IF(NOT(Tasks[[#This Row],[_IsLeaf]]=1),0,(Tasks[[#This Row],[_Resource1]]&lt;&gt;"")+(Tasks[[#This Row],[_Res2]]&lt;&gt;"")+(Tasks[[#This Row],[_Res3]]&lt;&gt;"")+(Tasks[[#This Row],[_Res4]]&lt;&gt;""))</f>
        <v>0</v>
      </c>
      <c r="CU2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2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 s="45" t="n">
        <f aca="false">IF(OR(NOT(Tasks[[#This Row],[_IsLeaf]]=1),Tasks[[#This Row],[_Res2]]=""),0,IF(ISNA(MATCH(Tasks[[#This Row],[_Res2]],res_Name,0)),0,N(Tasks[[#This Row],[Duration]])*HoursPerDay*IF(Tasks[[#This Row],[_Res2Units]]="",DefaultUnits,Tasks[[#This Row],[_Res2Units]])))</f>
        <v>0</v>
      </c>
      <c r="CX20" s="45" t="n">
        <f aca="false">IF(Tasks[[#This Row],[_Res2Work]]=0,0,Tasks[[#This Row],[_Res2Work]]*IFERROR(INDEX(res_Rate,MATCH(Tasks[[#This Row],[_Res2]],res_Name,0)),0))</f>
        <v>0</v>
      </c>
      <c r="CY20" s="45" t="n">
        <f aca="false">IF(AND(AND(Tasks[[#This Row],[_IsLeaf]]=1,Tasks[[#This Row],[_LeafTotalWork]]&gt;0),Tasks[[#This Row],[_Res2Work]]&gt;0),Tasks[[#This Row],[_Res2Work]]/(Tasks[[#This Row],[_FinishWorkday]]-Tasks[[#This Row],[_StartWorkday]]+1),0)</f>
        <v>0</v>
      </c>
      <c r="CZ20" s="45" t="n">
        <f aca="false">Tasks[[#This Row],[_Res2WorkPerWD]]*MAX(0,Tasks[[#This Row],[_StartWorkday]]-1)</f>
        <v>0</v>
      </c>
      <c r="DA20" s="45" t="n">
        <f aca="false">Tasks[[#This Row],[_Res2Work]]*Tasks[[#This Row],[_LeafProgress]]</f>
        <v>0</v>
      </c>
      <c r="DB20" s="45" t="n">
        <f aca="false">IF(Tasks[[#This Row],[_LeafTotalCost]]=0,0,Tasks[[#This Row],[_LeafAC]]*Tasks[[#This Row],[_Res2Cost]]/Tasks[[#This Row],[_LeafTotalCost]])</f>
        <v>0</v>
      </c>
      <c r="DC2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2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20" s="45" t="n">
        <f aca="false">IF(OR(NOT(Tasks[[#This Row],[_IsLeaf]]=1),Tasks[[#This Row],[_Res3]]=""),0,IF(ISNA(MATCH(Tasks[[#This Row],[_Res3]],res_Name,0)),0,N(Tasks[[#This Row],[Duration]])*HoursPerDay*IF(Tasks[[#This Row],[_Res3Units]]="",DefaultUnits,Tasks[[#This Row],[_Res3Units]])))</f>
        <v>0</v>
      </c>
      <c r="DF20" s="45" t="n">
        <f aca="false">IF(Tasks[[#This Row],[_Res3Work]]=0,0,Tasks[[#This Row],[_Res3Work]]*IFERROR(INDEX(res_Rate,MATCH(Tasks[[#This Row],[_Res3]],res_Name,0)),0))</f>
        <v>0</v>
      </c>
      <c r="DG20" s="45" t="n">
        <f aca="false">IF(AND(AND(Tasks[[#This Row],[_IsLeaf]]=1,Tasks[[#This Row],[_LeafTotalWork]]&gt;0),Tasks[[#This Row],[_Res3Work]]&gt;0),Tasks[[#This Row],[_Res3Work]]/(Tasks[[#This Row],[_FinishWorkday]]-Tasks[[#This Row],[_StartWorkday]]+1),0)</f>
        <v>0</v>
      </c>
      <c r="DH20" s="45" t="n">
        <f aca="false">Tasks[[#This Row],[_Res3WorkPerWD]]*MAX(0,Tasks[[#This Row],[_StartWorkday]]-1)</f>
        <v>0</v>
      </c>
      <c r="DI20" s="45" t="n">
        <f aca="false">Tasks[[#This Row],[_Res3Work]]*Tasks[[#This Row],[_LeafProgress]]</f>
        <v>0</v>
      </c>
      <c r="DJ20" s="45" t="n">
        <f aca="false">IF(Tasks[[#This Row],[_LeafTotalCost]]=0,0,Tasks[[#This Row],[_LeafAC]]*Tasks[[#This Row],[_Res3Cost]]/Tasks[[#This Row],[_LeafTotalCost]])</f>
        <v>0</v>
      </c>
      <c r="DK2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2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20" s="45" t="n">
        <f aca="false">IF(OR(NOT(Tasks[[#This Row],[_IsLeaf]]=1),Tasks[[#This Row],[_Res4]]=""),0,IF(ISNA(MATCH(Tasks[[#This Row],[_Res4]],res_Name,0)),0,N(Tasks[[#This Row],[Duration]])*HoursPerDay*IF(Tasks[[#This Row],[_Res4Units]]="",DefaultUnits,Tasks[[#This Row],[_Res4Units]])))</f>
        <v>0</v>
      </c>
      <c r="DN20" s="45" t="n">
        <f aca="false">IF(Tasks[[#This Row],[_Res4Work]]=0,0,Tasks[[#This Row],[_Res4Work]]*IFERROR(INDEX(res_Rate,MATCH(Tasks[[#This Row],[_Res4]],res_Name,0)),0))</f>
        <v>0</v>
      </c>
      <c r="DO20" s="45" t="n">
        <f aca="false">IF(AND(AND(Tasks[[#This Row],[_IsLeaf]]=1,Tasks[[#This Row],[_LeafTotalWork]]&gt;0),Tasks[[#This Row],[_Res4Work]]&gt;0),Tasks[[#This Row],[_Res4Work]]/(Tasks[[#This Row],[_FinishWorkday]]-Tasks[[#This Row],[_StartWorkday]]+1),0)</f>
        <v>0</v>
      </c>
      <c r="DP20" s="45" t="n">
        <f aca="false">Tasks[[#This Row],[_Res4WorkPerWD]]*MAX(0,Tasks[[#This Row],[_StartWorkday]]-1)</f>
        <v>0</v>
      </c>
      <c r="DQ20" s="45" t="n">
        <f aca="false">Tasks[[#This Row],[_Res4Work]]*Tasks[[#This Row],[_LeafProgress]]</f>
        <v>0</v>
      </c>
      <c r="DR20" s="45" t="n">
        <f aca="false">IF(Tasks[[#This Row],[_LeafTotalCost]]=0,0,Tasks[[#This Row],[_LeafAC]]*Tasks[[#This Row],[_Res4Cost]]/Tasks[[#This Row],[_LeafTotalCost]])</f>
        <v>0</v>
      </c>
      <c r="DS20" s="45" t="n">
        <f aca="false">IF(ISNUMBER(Tasks[[#This Row],[% Complete]]),Tasks[[#This Row],[% Complete]],IF(Tasks[[#This Row],[Stage]]="",0,IFERROR(INDEX(stg_Pct,MATCH(Tasks[[#This Row],[Stage]],stg_Name,0)),0)))</f>
        <v>0</v>
      </c>
      <c r="DT20" s="45" t="n">
        <f aca="false">IF(NOT(Tasks[[#This Row],[_IsLeaf]]=1),0,IF(N(Tasks[[#This Row],[Actual Finish]])&gt;0,1,MIN(1,Tasks[[#This Row],[_Pct]])))</f>
        <v>0</v>
      </c>
      <c r="DU20" s="45" t="n">
        <f aca="false">IF(OR(NOT(Tasks[[#This Row],[_IsLeaf]]=1),Tasks[[#This Row],[_Resource1]]=""),0,IF(ISNA(MATCH(Tasks[[#This Row],[_Resource1]],res_Name,0)),0,N(Tasks[[#This Row],[Duration]])*HoursPerDay*IF(Tasks[[#This Row],[_Units1]]="",DefaultUnits,Tasks[[#This Row],[_Units1]])))</f>
        <v>0</v>
      </c>
      <c r="DV20" s="45" t="n">
        <f aca="false">IF(Tasks[[#This Row],[_LeafWork]]=0,0,Tasks[[#This Row],[_LeafWork]]*IFERROR(INDEX(res_Rate,MATCH(Tasks[[#This Row],[_Resource1]],res_Name,0)),0))</f>
        <v>0</v>
      </c>
      <c r="DW20" s="45" t="n">
        <f aca="false">Tasks[[#This Row],[_LeafWork]]+Tasks[[#This Row],[_Res2Work]]+Tasks[[#This Row],[_Res3Work]]+Tasks[[#This Row],[_Res4Work]]</f>
        <v>0</v>
      </c>
      <c r="DX20" s="45" t="n">
        <f aca="false">Tasks[[#This Row],[_LeafCost]]+Tasks[[#This Row],[_Res2Cost]]+Tasks[[#This Row],[_Res3Cost]]+Tasks[[#This Row],[_Res4Cost]]</f>
        <v>0</v>
      </c>
      <c r="DY20" s="45" t="n">
        <f aca="false">IF(Tasks[[#This Row],[_LeafTotalCost]]=0,Tasks[[#This Row],[_LeafAC]],Tasks[[#This Row],[_LeafAC]]*Tasks[[#This Row],[_LeafCost]]/Tasks[[#This Row],[_LeafTotalCost]])</f>
        <v>0</v>
      </c>
      <c r="DZ2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2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2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2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2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2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2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2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20" s="45" t="n">
        <f aca="false">IF(NOT(Tasks[[#This Row],[_IsLeaf]]=1),0,MAX(_xlfn.MAXIFS(Tasks[_Row],Tasks[_Pred1UID],Tasks[[#This Row],[UID]]),_xlfn.MAXIFS(Tasks[_Row],Tasks[_Pred2UID],Tasks[[#This Row],[UID]]),_xlfn.MAXIFS(Tasks[_Row],Tasks[_Pred3UID],Tasks[[#This Row],[UID]]),_xlfn.MAXIFS(Tasks[_Row],Tasks[_Pred4UID],Tasks[[#This Row],[UID]])))</f>
        <v>0</v>
      </c>
      <c r="EI2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2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20" s="74" t="str">
        <f aca="false">IF(NOT(Tasks[[#This Row],[_IsLeaf]]=1),"",IF(N(Tasks[[#This Row],[Duration]])&lt;=0,Tasks[[#This Row],[_LeafLateFinish]],WORKDAY.INTL(Tasks[[#This Row],[_LeafLateFinish]],-(Tasks[[#This Row],[Duration]]-1),WorkWeek,Holidays)))</f>
        <v/>
      </c>
      <c r="EL2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20" s="73" t="b">
        <f aca="false">AND(Tasks[[#This Row],[_IsLeaf]]=1,Tasks[[#This Row],[_LeafProgress]]&lt;1,N(Tasks[[#This Row],[_LeafTotalSlack]])&lt;=CriticalSlackDays)</f>
        <v>0</v>
      </c>
      <c r="EN20" s="45" t="n">
        <f aca="false">IF(AND(Tasks[[#This Row],[_IsLeaf]]=1,Tasks[[#This Row],[_ConstraintCode]]=1,Tasks[[#This Row],[Mode]]&lt;&gt;"Manual",N(Tasks[[#This Row],[Actual Start]])=0),MAX(0,N(Tasks[[#This Row],[Free Slack]])),0)</f>
        <v>0</v>
      </c>
      <c r="EO20" s="74" t="str">
        <f aca="false">IF(NOT(Tasks[[#This Row],[_IsLeaf]]=1),"",IF(Tasks[[#This Row],[_AlapShift]]=0,Tasks[[#This Row],[_LeafCalcStart]],WORKDAY.INTL(Tasks[[#This Row],[_LeafCalcStart]],Tasks[[#This Row],[_AlapShift]],WorkWeek,Holidays)))</f>
        <v/>
      </c>
      <c r="EP20" s="74" t="str">
        <f aca="false">IF(NOT(Tasks[[#This Row],[_IsLeaf]]=1),"",IF(Tasks[[#This Row],[_AlapShift]]=0,Tasks[[#This Row],[_LeafCalcFinish]],WORKDAY.INTL(Tasks[[#This Row],[_LeafCalcFinish]],Tasks[[#This Row],[_AlapShift]],WorkWeek,Holidays)))</f>
        <v/>
      </c>
      <c r="EQ20" s="74" t="str">
        <f aca="false">IF(NOT(Tasks[[#This Row],[_IsLeaf]]=1),"",IF(Tasks[[#This Row],[_AlapShift]]=0,Tasks[[#This Row],[_LeafFcstStart]],WORKDAY.INTL(Tasks[[#This Row],[_LeafFcstStart]],Tasks[[#This Row],[_AlapShift]],WorkWeek,Holidays)))</f>
        <v/>
      </c>
      <c r="ER20" s="74" t="str">
        <f aca="false">IF(NOT(Tasks[[#This Row],[_IsLeaf]]=1),"",IF(Tasks[[#This Row],[_AlapShift]]=0,Tasks[[#This Row],[_LeafFcstFinish]],WORKDAY.INTL(Tasks[[#This Row],[_LeafFcstFinish]],Tasks[[#This Row],[_AlapShift]],WorkWeek,Holidays)))</f>
        <v/>
      </c>
      <c r="ES20" s="74" t="n">
        <f aca="false">IF(Tasks[[#This Row],[Task Name]]="","",IF(Tasks[[#This Row],[_IsSummary]],MIN(INDEX(Tasks[_ShownCalcStart],Tasks[[#This Row],[_Row]]+1):INDEX(Tasks[_ShownCalcStart],Tasks[[#This Row],[_Row]]+Tasks[[#This Row],[_Descendants]])),Tasks[[#This Row],[_ShownCalcStart]]))</f>
        <v>46297</v>
      </c>
      <c r="ET20" s="74" t="n">
        <f aca="false">IF(Tasks[[#This Row],[Task Name]]="","",IF(Tasks[[#This Row],[_IsSummary]],MAX(INDEX(Tasks[_ShownCalcFinish],Tasks[[#This Row],[_Row]]+1):INDEX(Tasks[_ShownCalcFinish],Tasks[[#This Row],[_Row]]+Tasks[[#This Row],[_Descendants]])),Tasks[[#This Row],[_ShownCalcFinish]]))</f>
        <v>46324</v>
      </c>
      <c r="EU2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2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2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2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2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2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2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2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2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2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2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2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20" s="45" t="n">
        <f aca="false">IF(AND(Tasks[[#This Row],[_IsLeaf]]=1,Tasks[[#This Row],[_LeafTotalWork]]&gt;0),NETWORKDAYS.INTL(ProjectStart,Tasks[[#This Row],[_ShownFcstStart]],WorkWeek,Holidays),0)</f>
        <v>0</v>
      </c>
      <c r="FH20" s="45" t="n">
        <f aca="false">IF(AND(Tasks[[#This Row],[_IsLeaf]]=1,Tasks[[#This Row],[_LeafTotalWork]]&gt;0),MAX(Tasks[[#This Row],[_StartWorkday]],NETWORKDAYS.INTL(ProjectStart,Tasks[[#This Row],[_ShownFcstFinish]],WorkWeek,Holidays)),0)</f>
        <v>0</v>
      </c>
      <c r="FI20" s="45" t="n">
        <f aca="false">IF(AND(Tasks[[#This Row],[_IsLeaf]]=1,Tasks[[#This Row],[_LeafTotalWork]]&gt;0),Tasks[[#This Row],[_LeafWork]]/(Tasks[[#This Row],[_FinishWorkday]]-Tasks[[#This Row],[_StartWorkday]]+1),0)</f>
        <v>0</v>
      </c>
      <c r="FJ20" s="45" t="n">
        <f aca="false">Tasks[[#This Row],[_WorkPerWorkday]]*(Tasks[[#This Row],[_StartWorkday]]-1)</f>
        <v>-0</v>
      </c>
      <c r="FK20" s="45" t="n">
        <f aca="false">IF(Tasks[[#This Row],[_IsLeaf]]=1,MAX(N(Tasks[[#This Row],[Duration]]),0.1),0)</f>
        <v>0</v>
      </c>
      <c r="FL20" s="45" t="n">
        <f aca="false">Tasks[[#This Row],[_WeightDur]]*Tasks[[#This Row],[_LeafProgress]]</f>
        <v>0</v>
      </c>
      <c r="FM2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20" s="45" t="str">
        <f aca="false">IF(AND(Tasks[[#This Row],[_IsLeaf]]=1,N(Tasks[[#This Row],[Duration]])=0,Tasks[[#This Row],[_LeafProgress]]&lt;1),Tasks[[#This Row],[_ShownFcstFinish]]+Tasks[[#This Row],[_Row]]/100000,"")</f>
        <v/>
      </c>
      <c r="FO2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20" s="45" t="n">
        <f aca="false">IF(NOT(Tasks[[#This Row],[_IsLeaf]]=1),0,IF(Tasks[[#This Row],[Baseline Cost]]="",Tasks[[#This Row],[_LeafTotalCost]],N(Tasks[[#This Row],[Baseline Cost]])))</f>
        <v>0</v>
      </c>
      <c r="FQ20" s="45" t="n">
        <f aca="false">Tasks[[#This Row],[_LeafBudget]]*Tasks[[#This Row],[_PlannedPct]]</f>
        <v>0</v>
      </c>
      <c r="FR20" s="45" t="n">
        <f aca="false">Tasks[[#This Row],[_LeafBudget]]*Tasks[[#This Row],[_LeafProgress]]</f>
        <v>0</v>
      </c>
      <c r="FS20" s="45" t="n">
        <f aca="false">IF(NOT(Tasks[[#This Row],[_IsLeaf]]=1),0,IF(Tasks[[#This Row],[Actual Cost]]="",Tasks[[#This Row],[_LeafTotalCost]]*Tasks[[#This Row],[_LeafProgress]],N(Tasks[[#This Row],[Actual Cost]])))</f>
        <v>0</v>
      </c>
      <c r="FT20" s="45" t="str">
        <f aca="false">IF(Tasks[[#This Row],[Task Name]]="","",LEFT(Tasks[[#This Row],[WBS]],FIND(".",Tasks[[#This Row],[WBS]]&amp;".")-1))</f>
        <v>3</v>
      </c>
      <c r="FU20" s="45" t="str">
        <f aca="false">IF(AND(Tasks[[#This Row],[Task Name]]&lt;&gt;"",Tasks[[#This Row],[_Level]]=1),Tasks[[#This Row],[_Row]],"")</f>
        <v/>
      </c>
      <c r="FV20" s="45" t="str">
        <f aca="false">IF(AND(Tasks[[#This Row],[_IsLeaf]]=1,N(Tasks[[#This Row],[Duration]])=0),Tasks[[#This Row],[Planned Finish]]+Tasks[[#This Row],[_Row]]/100000,"")</f>
        <v/>
      </c>
      <c r="FW20" s="45" t="str">
        <f aca="false">IF(AND(Tasks[[#This Row],[_IsLeaf]]=1,Tasks[[#This Row],[_LeafProgress]]&lt;1,OR(N(Tasks[[#This Row],[Finish Var]])&gt;0,Tasks[[#This Row],[Status]]="Late Start")),MAX(0,Tasks[[#This Row],[Finish Var]])+1-Tasks[[#This Row],[_Row]]/1000000,"")</f>
        <v/>
      </c>
      <c r="FX20" s="45" t="str">
        <f aca="false">IF(AND(Tasks[[#This Row],[_IsLeaf]]=1,N(Tasks[[#This Row],[Actual Start]])=0,Tasks[[#This Row],[_ShownFcstStart]]&gt;=StatusDate,Tasks[[#This Row],[_ShownFcstStart]]&lt;=LookaheadEnd),Tasks[[#This Row],[_ShownFcstStart]]+Tasks[[#This Row],[_Row]]/100000,"")</f>
        <v/>
      </c>
      <c r="FY20" s="45" t="str">
        <f aca="false">IF(AND(Tasks[[#This Row],[_IsLeaf]]=1,Tasks[[#This Row],[_LeafProgress]]&lt;1,Tasks[[#This Row],[_ShownFcstFinish]]&gt;=StatusDate,Tasks[[#This Row],[_ShownFcstFinish]]&lt;=LookaheadEnd),Tasks[[#This Row],[_ShownFcstFinish]]+Tasks[[#This Row],[_Row]]/100000,"")</f>
        <v/>
      </c>
      <c r="FZ20" s="45" t="str">
        <f aca="false">IF(Tasks[[#This Row],[_LeafCritical]],Tasks[[#This Row],[_ShownFcstStart]]+Tasks[[#This Row],[_Row]]/100000,"")</f>
        <v/>
      </c>
      <c r="GA20" s="45" t="n">
        <f aca="false">Tasks[[#This Row],[_LeafWork]]*Tasks[[#This Row],[_LeafProgress]]</f>
        <v>0</v>
      </c>
      <c r="GB20" s="74" t="str">
        <f aca="false">IF(AND(Tasks[[#This Row],[_IsLeaf]]=1,Tasks[[#This Row],[_LeafProgress]]&gt;=1),IF(N(Tasks[[#This Row],[Actual Finish]])&gt;0,Tasks[[#This Row],[Actual Finish]],Tasks[[#This Row],[_ShownFcstFinish]]),"")</f>
        <v/>
      </c>
    </row>
    <row r="21" customFormat="false" ht="15" hidden="false" customHeight="false" outlineLevel="2" collapsed="false">
      <c r="A21" s="67" t="n">
        <f aca="false">IF(Tasks[[#This Row],[Task Name]]="","",COUNTA(Tasks[[#Headers],[Task Name]]:Tasks[[#This Row],[Task Name]])-1)</f>
        <v>16</v>
      </c>
      <c r="B21" s="21" t="n">
        <v>16</v>
      </c>
      <c r="C2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3.2.1</v>
      </c>
      <c r="D21" s="21" t="n">
        <v>3</v>
      </c>
      <c r="E21" s="78" t="s">
        <v>534</v>
      </c>
      <c r="F21" s="21" t="n">
        <v>6</v>
      </c>
      <c r="G21" s="22" t="s">
        <v>526</v>
      </c>
      <c r="H21" s="22" t="s">
        <v>535</v>
      </c>
      <c r="I21" s="22" t="s">
        <v>125</v>
      </c>
      <c r="J21" s="7" t="n">
        <v>46302</v>
      </c>
      <c r="K21" s="7" t="n">
        <v>46311</v>
      </c>
      <c r="L21" s="22"/>
      <c r="M21" s="58" t="n">
        <f aca="false">IF(Tasks[[#This Row],[Task Name]]="","",IF(Tasks[[#This Row],[_IsSummary]],MIN(INDEX(Tasks[_ShownFcstStart],Tasks[[#This Row],[_Row]]+1):INDEX(Tasks[_ShownFcstStart],Tasks[[#This Row],[_Row]]+Tasks[[#This Row],[_Descendants]])),Tasks[[#This Row],[_ShownFcstStart]]))</f>
        <v>46302</v>
      </c>
      <c r="N21" s="58" t="n">
        <f aca="false">IF(Tasks[[#This Row],[Task Name]]="","",IF(Tasks[[#This Row],[_IsSummary]],MAX(INDEX(Tasks[_ShownFcstFinish],Tasks[[#This Row],[_Row]]+1):INDEX(Tasks[_ShownFcstFinish],Tasks[[#This Row],[_Row]]+Tasks[[#This Row],[_Descendants]])),Tasks[[#This Row],[_ShownFcstFinish]]))</f>
        <v>46311</v>
      </c>
      <c r="O21" s="20" t="str">
        <f aca="false">IF(Tasks[[#This Row],[Task Name]]="","",IF(Tasks[[#This Row],[Progress]]&gt;=1,"Complete",IF(OR(N(Tasks[[#This Row],[Actual Start]])&gt;0,Tasks[[#This Row],[Progress]]&gt;0),IF(Tasks[[#This Row],[Finish Var]]&gt;0,"Behind","In Progress"),IF(Tasks[[#This Row],[Planned Start]]&lt;StatusDate,"Late Start","Not Started"))))</f>
        <v>Complete</v>
      </c>
      <c r="P21" s="20" t="str">
        <f aca="false">IF(Tasks[[#This Row],[Task Name]]="","",IF(IF(Tasks[[#This Row],[_IsSummary]],COUNTIF(INDEX(Tasks[_LeafCritical],Tasks[[#This Row],[_Row]]+1):INDEX(Tasks[_LeafCritical],Tasks[[#This Row],[_Row]]+Tasks[[#This Row],[_Descendants]]),TRUE())&gt;0,Tasks[[#This Row],[_LeafCritical]]),"Yes",""))</f>
        <v/>
      </c>
      <c r="Q2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21" s="67" t="str">
        <f aca="false">IF(Tasks[[#This Row],[Task Name]]="","",IF(Tasks[[#This Row],[_Level]]&lt;=OutlineShowLevel,"Yes","No"))</f>
        <v>Yes</v>
      </c>
      <c r="S21" s="7"/>
      <c r="T21" s="21" t="s">
        <v>195</v>
      </c>
      <c r="U21" s="22"/>
      <c r="V21" s="7"/>
      <c r="W21" s="67" t="n">
        <f aca="false">IF(Tasks[[#This Row],[Task Name]]="","",IF(Tasks[[#This Row],[Finish]]&gt;=Tasks[[#This Row],[Planned Finish]],NETWORKDAYS.INTL(Tasks[[#This Row],[Planned Finish]],Tasks[[#This Row],[Finish]],WorkWeek,Holidays)-1,1-NETWORKDAYS.INTL(Tasks[[#This Row],[Finish]],Tasks[[#This Row],[Planned Finish]],WorkWeek,Holidays)))</f>
        <v>5</v>
      </c>
      <c r="X21" s="58" t="n">
        <f aca="false">IF(Tasks[[#This Row],[Task Name]]="","",IF(N(Tasks[[#This Row],[Baseline Start]])&gt;0,Tasks[[#This Row],[Baseline Start]],Tasks[[#This Row],[_CalcStart]]))</f>
        <v>46297</v>
      </c>
      <c r="Y21" s="58" t="n">
        <f aca="false">IF(Tasks[[#This Row],[Task Name]]="","",IF(N(Tasks[[#This Row],[Baseline Finish]])&gt;0,Tasks[[#This Row],[Baseline Finish]],Tasks[[#This Row],[_CalcFinish]]))</f>
        <v>46304</v>
      </c>
      <c r="Z21" s="67" t="n">
        <f aca="false">IF(Tasks[[#This Row],[Task Name]]="","",IF(Tasks[[#This Row],[Start]]&gt;=Tasks[[#This Row],[Planned Start]],NETWORKDAYS.INTL(Tasks[[#This Row],[Planned Start]],Tasks[[#This Row],[Start]],WorkWeek,Holidays)-1,1-NETWORKDAYS.INTL(Tasks[[#This Row],[Start]],Tasks[[#This Row],[Planned Start]],WorkWeek,Holidays)))</f>
        <v>3</v>
      </c>
      <c r="AA21" s="58" t="n">
        <f aca="false">IF(Tasks[[#This Row],[Task Name]]="","",IF(Tasks[[#This Row],[_IsSummary]],MIN(INDEX(Tasks[_LeafLateStart],Tasks[[#This Row],[_Row]]+1):INDEX(Tasks[_LeafLateStart],Tasks[[#This Row],[_Row]]+Tasks[[#This Row],[_Descendants]])),Tasks[[#This Row],[_LeafLateStart]]))</f>
        <v>46308</v>
      </c>
      <c r="AB21" s="58" t="n">
        <f aca="false">IF(Tasks[[#This Row],[Task Name]]="","",IF(Tasks[[#This Row],[_IsSummary]],MAX(INDEX(Tasks[_LeafLateFinish],Tasks[[#This Row],[_Row]]+1):INDEX(Tasks[_LeafLateFinish],Tasks[[#This Row],[_Row]]+Tasks[[#This Row],[_Descendants]])),Tasks[[#This Row],[_LeafLateFinish]]))</f>
        <v>46315</v>
      </c>
      <c r="AC21" s="67" t="n">
        <f aca="false">IF(Tasks[[#This Row],[Task Name]]="","",IF(Tasks[[#This Row],[_IsSummary]],MIN(INDEX(Tasks[_LeafTotalSlack],Tasks[[#This Row],[_Row]]+1):INDEX(Tasks[_LeafTotalSlack],Tasks[[#This Row],[_Row]]+Tasks[[#This Row],[_Descendants]])),Tasks[[#This Row],[_LeafTotalSlack]]))</f>
        <v>2</v>
      </c>
      <c r="AD21"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2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2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21" s="60"/>
      <c r="AH21"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I2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9</v>
      </c>
      <c r="AJ21" s="69" t="n">
        <f aca="false">IF(Tasks[[#This Row],[Task Name]]="","",IF(Tasks[[#This Row],[_IsSummary]],SUM(INDEX(Tasks[_LeafTotalWork],Tasks[[#This Row],[_Row]]+1):INDEX(Tasks[_LeafTotalWork],Tasks[[#This Row],[_Row]]+Tasks[[#This Row],[_Descendants]])),Tasks[[#This Row],[_LeafTotalWork]]))</f>
        <v>48</v>
      </c>
      <c r="AK2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Sam Rivera</v>
      </c>
      <c r="AL21" s="70" t="n">
        <f aca="false">IF(Tasks[[#This Row],[Task Name]]="","",IF(Tasks[[#This Row],[_IsSummary]],SUM(INDEX(Tasks[_LeafTotalCost],Tasks[[#This Row],[_Row]]+1):INDEX(Tasks[_LeafTotalCost],Tasks[[#This Row],[_Row]]+Tasks[[#This Row],[_Descendants]])),Tasks[[#This Row],[_LeafTotalCost]]))</f>
        <v>3840</v>
      </c>
      <c r="AM21" s="71"/>
      <c r="AN21" s="20" t="str">
        <f aca="false">IF(OR(Tasks[[#This Row],[Task Name]]="",Tasks[[#This Row],[Baseline Duration]]=""),"",Tasks[[#This Row],[BL Source Duration]]-N(Tasks[[#This Row],[Baseline Duration]]))</f>
        <v/>
      </c>
      <c r="AO21" s="69" t="str">
        <f aca="false">IF(OR(Tasks[[#This Row],[Task Name]]="",Tasks[[#This Row],[Baseline Work]]=""),"",Tasks[[#This Row],[Work]]-N(Tasks[[#This Row],[Baseline Work]]))</f>
        <v/>
      </c>
      <c r="AP21" s="70" t="str">
        <f aca="false">IF(OR(Tasks[[#This Row],[Task Name]]="",Tasks[[#This Row],[Baseline Cost]]=""),"",Tasks[[#This Row],[Cost]]-N(Tasks[[#This Row],[Baseline Cost]]))</f>
        <v/>
      </c>
      <c r="AQ21" s="58" t="n">
        <f aca="false">IF(Tasks[[#This Row],[Task Name]]="","",Tasks[[#This Row],[Start]])</f>
        <v>46302</v>
      </c>
      <c r="AR21" s="58" t="n">
        <f aca="false">IF(Tasks[[#This Row],[Task Name]]="","",Tasks[[#This Row],[Finish]])</f>
        <v>46311</v>
      </c>
      <c r="AS21" s="67" t="n">
        <f aca="false">IF(Tasks[[#This Row],[Task Name]]="","",IF(Tasks[[#This Row],[_IsSummary]],NETWORKDAYS.INTL(Tasks[[#This Row],[Start]],Tasks[[#This Row],[Finish]],WorkWeek,Holidays),N(Tasks[[#This Row],[Duration]])))</f>
        <v>6</v>
      </c>
      <c r="AT21" s="69" t="n">
        <f aca="false">IF(Tasks[[#This Row],[Task Name]]="","",Tasks[[#This Row],[Work]])</f>
        <v>48</v>
      </c>
      <c r="AU21" s="70" t="n">
        <f aca="false">IF(Tasks[[#This Row],[Task Name]]="","",Tasks[[#This Row],[Cost]])</f>
        <v>3840</v>
      </c>
      <c r="AV21" s="7"/>
      <c r="AW21" s="7"/>
      <c r="AX21" s="21"/>
      <c r="AY21" s="72"/>
      <c r="AZ21" s="71"/>
      <c r="BA21" s="70" t="n">
        <f aca="false">IF(Tasks[[#This Row],[Task Name]]="","",IF(Tasks[[#This Row],[_IsSummary]],SUM(INDEX(Tasks[_LeafEV],Tasks[[#This Row],[_Row]]+1):INDEX(Tasks[_LeafEV],Tasks[[#This Row],[_Row]]+Tasks[[#This Row],[_Descendants]])),Tasks[[#This Row],[_LeafEV]]))</f>
        <v>3840</v>
      </c>
      <c r="BB21" s="70" t="n">
        <f aca="false">IF(Tasks[[#This Row],[Task Name]]="","",IF(Tasks[[#This Row],[_IsSummary]],SUM(INDEX(Tasks[_LeafBudget],Tasks[[#This Row],[_Row]]+1):INDEX(Tasks[_LeafBudget],Tasks[[#This Row],[_Row]]+Tasks[[#This Row],[_Descendants]])),Tasks[[#This Row],[_LeafBudget]]))</f>
        <v>3840</v>
      </c>
      <c r="BC21" s="70" t="n">
        <f aca="false">IF(Tasks[[#This Row],[Task Name]]="","",IF(Tasks[[#This Row],[_IsSummary]],SUM(INDEX(Tasks[_LeafPV],Tasks[[#This Row],[_Row]]+1):INDEX(Tasks[_LeafPV],Tasks[[#This Row],[_Row]]+Tasks[[#This Row],[_Descendants]])),Tasks[[#This Row],[_LeafPV]]))</f>
        <v>3840</v>
      </c>
      <c r="BD21" s="70" t="n">
        <f aca="false">IF(Tasks[[#This Row],[Task Name]]="","",IF(Tasks[[#This Row],[_IsSummary]],SUM(INDEX(Tasks[_LeafAC],Tasks[[#This Row],[_Row]]+1):INDEX(Tasks[_LeafAC],Tasks[[#This Row],[_Row]]+Tasks[[#This Row],[_Descendants]])),Tasks[[#This Row],[_LeafAC]]))</f>
        <v>3840</v>
      </c>
      <c r="BE21" s="45" t="n">
        <f aca="false">IF(Tasks[[#This Row],[Task Name]]="","",MAX(1,N(Tasks[[#This Row],[Level]])))</f>
        <v>3</v>
      </c>
      <c r="BF21" s="45" t="n">
        <f aca="false">ROW()-ROW(Tasks[[#Headers],[ID]])</f>
        <v>16</v>
      </c>
      <c r="BG21" s="45" t="n">
        <f aca="false">IF(OR(Tasks[[#This Row],[Task Name]]="",Tasks[[#This Row],[_Level]]&lt;=1),0,IFERROR(LOOKUP(2,1/(Tasks[[#Headers],[_Level]]:Tasks[[#This Row],[_Level]]=Tasks[[#This Row],[_Level]]-1),ROW(Tasks[[#Headers],[_Level]]:Tasks[[#This Row],[_Level]])),0))</f>
        <v>20</v>
      </c>
      <c r="BH21" s="45" t="n">
        <f aca="false">IFERROR(N(INDEX(Tasks[_Level],Tasks[[#This Row],[_Row]]+1)),0)</f>
        <v>3</v>
      </c>
      <c r="BI21" s="73" t="b">
        <f aca="false">AND(Tasks[[#This Row],[Task Name]]&lt;&gt;"",Tasks[[#This Row],[_NextLevel]]&gt;Tasks[[#This Row],[_Level]])</f>
        <v>0</v>
      </c>
      <c r="BJ21" s="45" t="n">
        <f aca="false">IF(Tasks[[#This Row],[_IsSummary]],COUNTIF(Tasks[WBS],Tasks[[#This Row],[WBS]]&amp;".*"),0)</f>
        <v>0</v>
      </c>
      <c r="BK21" s="45" t="n">
        <f aca="false">IF(AND(Tasks[[#This Row],[Task Name]]&lt;&gt;"",NOT(Tasks[[#This Row],[_IsSummary]])),1,0)</f>
        <v>1</v>
      </c>
      <c r="BL21" s="45" t="n">
        <f aca="false">IF(N(Tasks[[#This Row],[_Pred1UID]])=0,0,IFERROR(MATCH(Tasks[[#This Row],[_Pred1UID]],Tasks[UID],0),-1))</f>
        <v>9</v>
      </c>
      <c r="BM21" s="45" t="n">
        <f aca="false">IF(N(Tasks[[#This Row],[_Pred2UID]])=0,0,IFERROR(MATCH(Tasks[[#This Row],[_Pred2UID]],Tasks[UID],0),-1))</f>
        <v>0</v>
      </c>
      <c r="BN21" s="45" t="n">
        <f aca="false">IF(N(Tasks[[#This Row],[_Pred3UID]])=0,0,IFERROR(MATCH(Tasks[[#This Row],[_Pred3UID]],Tasks[UID],0),-1))</f>
        <v>0</v>
      </c>
      <c r="BO21" s="45" t="n">
        <f aca="false">IF(N(Tasks[[#This Row],[_Pred4UID]])=0,0,IFERROR(MATCH(Tasks[[#This Row],[_Pred4UID]],Tasks[UID],0),-1))</f>
        <v>0</v>
      </c>
      <c r="BP21"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2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21" s="74" t="n">
        <f aca="false">IF(OR(Tasks[[#This Row],[_ConstraintCode]]=2,Tasks[[#This Row],[_ConstraintCode]]=3,Tasks[[#This Row],[_ConstraintCode]]=4,Tasks[[#This Row],[_ConstraintCode]]=6),Tasks[[#This Row],[_ConstraintStart]],0)</f>
        <v>0</v>
      </c>
      <c r="BS21" s="74" t="n">
        <f aca="false">IF(OR(Tasks[[#This Row],[_ConstraintCode]]=2,Tasks[[#This Row],[_ConstraintCode]]=3,Tasks[[#This Row],[_ConstraintCode]]=5,Tasks[[#This Row],[_ConstraintCode]]=7),Tasks[[#This Row],[_ConstraintStart]],2958465)</f>
        <v>2958465</v>
      </c>
      <c r="BT21"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BU21" s="74" t="n">
        <f aca="false">IF(NOT(Tasks[[#This Row],[_IsLeaf]]=1),"",IF(N(Tasks[[#This Row],[Duration]])&lt;=0,Tasks[[#This Row],[_LeafCalcStart]],WORKDAY.INTL(Tasks[[#This Row],[_LeafCalcStart]],Tasks[[#This Row],[Duration]]-1,WorkWeek,Holidays)))</f>
        <v>46304</v>
      </c>
      <c r="BV21"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BW21"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46311</v>
      </c>
      <c r="BX21" s="45" t="str">
        <f aca="false">IF(Tasks[[#This Row],[Predecessors]]="","",TRIM(MID(SUBSTITUTE(SUBSTITUTE(SUBSTITUTE(UPPER(Tasks[[#This Row],[Predecessors]]),";",",")," ",""),",",REPT(" ",99)),1,99)))</f>
        <v>9</v>
      </c>
      <c r="BY21" s="45" t="n">
        <f aca="false">IF(Tasks[[#This Row],[_Pred1Text]]="","",IFERROR(VALUE(LEFT(Tasks[[#This Row],[_Pred1Text]],MIN(FIND("F",Tasks[[#This Row],[_Pred1Text]]&amp;"F"),FIND("S",Tasks[[#This Row],[_Pred1Text]]&amp;"S"),FIND("+",Tasks[[#This Row],[_Pred1Text]]&amp;"+"),FIND("-",Tasks[[#This Row],[_Pred1Text]]&amp;"-"))-1)),""))</f>
        <v>9</v>
      </c>
      <c r="BZ2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21"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21" s="45" t="str">
        <f aca="false">IF(Tasks[[#This Row],[_Pred1Text]]="","",TRIM(MID(SUBSTITUTE(SUBSTITUTE(SUBSTITUTE(UPPER(Tasks[[#This Row],[Predecessors]]),";",",")," ",""),",",REPT(" ",99)),100,99)))</f>
        <v/>
      </c>
      <c r="CC21" s="45" t="str">
        <f aca="false">IF(Tasks[[#This Row],[_Pred2Text]]="","",IFERROR(VALUE(LEFT(Tasks[[#This Row],[_Pred2Text]],MIN(FIND("F",Tasks[[#This Row],[_Pred2Text]]&amp;"F"),FIND("S",Tasks[[#This Row],[_Pred2Text]]&amp;"S"),FIND("+",Tasks[[#This Row],[_Pred2Text]]&amp;"+"),FIND("-",Tasks[[#This Row],[_Pred2Text]]&amp;"-"))-1)),""))</f>
        <v/>
      </c>
      <c r="CD2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2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21" s="45" t="str">
        <f aca="false">IF(Tasks[[#This Row],[_Pred2Text]]="","",TRIM(MID(SUBSTITUTE(SUBSTITUTE(SUBSTITUTE(UPPER(Tasks[[#This Row],[Predecessors]]),";",",")," ",""),",",REPT(" ",99)),199,99)))</f>
        <v/>
      </c>
      <c r="CG21" s="45" t="str">
        <f aca="false">IF(Tasks[[#This Row],[_Pred3Text]]="","",IFERROR(VALUE(LEFT(Tasks[[#This Row],[_Pred3Text]],MIN(FIND("F",Tasks[[#This Row],[_Pred3Text]]&amp;"F"),FIND("S",Tasks[[#This Row],[_Pred3Text]]&amp;"S"),FIND("+",Tasks[[#This Row],[_Pred3Text]]&amp;"+"),FIND("-",Tasks[[#This Row],[_Pred3Text]]&amp;"-"))-1)),""))</f>
        <v/>
      </c>
      <c r="CH2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2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21" s="45" t="str">
        <f aca="false">IF(Tasks[[#This Row],[_Pred3Text]]="","",TRIM(MID(SUBSTITUTE(SUBSTITUTE(SUBSTITUTE(UPPER(Tasks[[#This Row],[Predecessors]]),";",",")," ",""),",",REPT(" ",99)),298,99)))</f>
        <v/>
      </c>
      <c r="CK21" s="45" t="str">
        <f aca="false">IF(Tasks[[#This Row],[_Pred4Text]]="","",IFERROR(VALUE(LEFT(Tasks[[#This Row],[_Pred4Text]],MIN(FIND("F",Tasks[[#This Row],[_Pred4Text]]&amp;"F"),FIND("S",Tasks[[#This Row],[_Pred4Text]]&amp;"S"),FIND("+",Tasks[[#This Row],[_Pred4Text]]&amp;"+"),FIND("-",Tasks[[#This Row],[_Pred4Text]]&amp;"-"))-1)),""))</f>
        <v/>
      </c>
      <c r="CL2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2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21" s="45" t="str">
        <f aca="false">IF(OR(Tasks[[#This Row],[Task Name]]="",Tasks[[#This Row],[Resources]]=""),"",TRIM(MID(SUBSTITUTE(Tasks[[#This Row],[Resources]],",",REPT(" ",99)),1,99)))</f>
        <v>Sam Rivera</v>
      </c>
      <c r="CO21" s="45" t="str">
        <f aca="false">IF(Tasks[[#This Row],[_Res1Text]]="","",TRIM(MID(SUBSTITUTE(Tasks[[#This Row],[Resources]],",",REPT(" ",99)),100,99)))</f>
        <v/>
      </c>
      <c r="CP21" s="45" t="str">
        <f aca="false">IF(Tasks[[#This Row],[_Res2Text]]="","",TRIM(MID(SUBSTITUTE(Tasks[[#This Row],[Resources]],",",REPT(" ",99)),199,99)))</f>
        <v/>
      </c>
      <c r="CQ21" s="45" t="str">
        <f aca="false">IF(Tasks[[#This Row],[_Res3Text]]="","",TRIM(MID(SUBSTITUTE(Tasks[[#This Row],[Resources]],",",REPT(" ",99)),298,99)))</f>
        <v/>
      </c>
      <c r="CR2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Sam Rivera</v>
      </c>
      <c r="CS2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1" s="45" t="n">
        <f aca="false">IF(NOT(Tasks[[#This Row],[_IsLeaf]]=1),0,(Tasks[[#This Row],[_Resource1]]&lt;&gt;"")+(Tasks[[#This Row],[_Res2]]&lt;&gt;"")+(Tasks[[#This Row],[_Res3]]&lt;&gt;"")+(Tasks[[#This Row],[_Res4]]&lt;&gt;""))</f>
        <v>1</v>
      </c>
      <c r="CU2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2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1" s="45" t="n">
        <f aca="false">IF(OR(NOT(Tasks[[#This Row],[_IsLeaf]]=1),Tasks[[#This Row],[_Res2]]=""),0,IF(ISNA(MATCH(Tasks[[#This Row],[_Res2]],res_Name,0)),0,N(Tasks[[#This Row],[Duration]])*HoursPerDay*IF(Tasks[[#This Row],[_Res2Units]]="",DefaultUnits,Tasks[[#This Row],[_Res2Units]])))</f>
        <v>0</v>
      </c>
      <c r="CX21" s="45" t="n">
        <f aca="false">IF(Tasks[[#This Row],[_Res2Work]]=0,0,Tasks[[#This Row],[_Res2Work]]*IFERROR(INDEX(res_Rate,MATCH(Tasks[[#This Row],[_Res2]],res_Name,0)),0))</f>
        <v>0</v>
      </c>
      <c r="CY21" s="45" t="n">
        <f aca="false">IF(AND(AND(Tasks[[#This Row],[_IsLeaf]]=1,Tasks[[#This Row],[_LeafTotalWork]]&gt;0),Tasks[[#This Row],[_Res2Work]]&gt;0),Tasks[[#This Row],[_Res2Work]]/(Tasks[[#This Row],[_FinishWorkday]]-Tasks[[#This Row],[_StartWorkday]]+1),0)</f>
        <v>0</v>
      </c>
      <c r="CZ21" s="45" t="n">
        <f aca="false">Tasks[[#This Row],[_Res2WorkPerWD]]*MAX(0,Tasks[[#This Row],[_StartWorkday]]-1)</f>
        <v>0</v>
      </c>
      <c r="DA21" s="45" t="n">
        <f aca="false">Tasks[[#This Row],[_Res2Work]]*Tasks[[#This Row],[_LeafProgress]]</f>
        <v>0</v>
      </c>
      <c r="DB21" s="45" t="n">
        <f aca="false">IF(Tasks[[#This Row],[_LeafTotalCost]]=0,0,Tasks[[#This Row],[_LeafAC]]*Tasks[[#This Row],[_Res2Cost]]/Tasks[[#This Row],[_LeafTotalCost]])</f>
        <v>0</v>
      </c>
      <c r="DC2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2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21" s="45" t="n">
        <f aca="false">IF(OR(NOT(Tasks[[#This Row],[_IsLeaf]]=1),Tasks[[#This Row],[_Res3]]=""),0,IF(ISNA(MATCH(Tasks[[#This Row],[_Res3]],res_Name,0)),0,N(Tasks[[#This Row],[Duration]])*HoursPerDay*IF(Tasks[[#This Row],[_Res3Units]]="",DefaultUnits,Tasks[[#This Row],[_Res3Units]])))</f>
        <v>0</v>
      </c>
      <c r="DF21" s="45" t="n">
        <f aca="false">IF(Tasks[[#This Row],[_Res3Work]]=0,0,Tasks[[#This Row],[_Res3Work]]*IFERROR(INDEX(res_Rate,MATCH(Tasks[[#This Row],[_Res3]],res_Name,0)),0))</f>
        <v>0</v>
      </c>
      <c r="DG21" s="45" t="n">
        <f aca="false">IF(AND(AND(Tasks[[#This Row],[_IsLeaf]]=1,Tasks[[#This Row],[_LeafTotalWork]]&gt;0),Tasks[[#This Row],[_Res3Work]]&gt;0),Tasks[[#This Row],[_Res3Work]]/(Tasks[[#This Row],[_FinishWorkday]]-Tasks[[#This Row],[_StartWorkday]]+1),0)</f>
        <v>0</v>
      </c>
      <c r="DH21" s="45" t="n">
        <f aca="false">Tasks[[#This Row],[_Res3WorkPerWD]]*MAX(0,Tasks[[#This Row],[_StartWorkday]]-1)</f>
        <v>0</v>
      </c>
      <c r="DI21" s="45" t="n">
        <f aca="false">Tasks[[#This Row],[_Res3Work]]*Tasks[[#This Row],[_LeafProgress]]</f>
        <v>0</v>
      </c>
      <c r="DJ21" s="45" t="n">
        <f aca="false">IF(Tasks[[#This Row],[_LeafTotalCost]]=0,0,Tasks[[#This Row],[_LeafAC]]*Tasks[[#This Row],[_Res3Cost]]/Tasks[[#This Row],[_LeafTotalCost]])</f>
        <v>0</v>
      </c>
      <c r="DK2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2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21" s="45" t="n">
        <f aca="false">IF(OR(NOT(Tasks[[#This Row],[_IsLeaf]]=1),Tasks[[#This Row],[_Res4]]=""),0,IF(ISNA(MATCH(Tasks[[#This Row],[_Res4]],res_Name,0)),0,N(Tasks[[#This Row],[Duration]])*HoursPerDay*IF(Tasks[[#This Row],[_Res4Units]]="",DefaultUnits,Tasks[[#This Row],[_Res4Units]])))</f>
        <v>0</v>
      </c>
      <c r="DN21" s="45" t="n">
        <f aca="false">IF(Tasks[[#This Row],[_Res4Work]]=0,0,Tasks[[#This Row],[_Res4Work]]*IFERROR(INDEX(res_Rate,MATCH(Tasks[[#This Row],[_Res4]],res_Name,0)),0))</f>
        <v>0</v>
      </c>
      <c r="DO21" s="45" t="n">
        <f aca="false">IF(AND(AND(Tasks[[#This Row],[_IsLeaf]]=1,Tasks[[#This Row],[_LeafTotalWork]]&gt;0),Tasks[[#This Row],[_Res4Work]]&gt;0),Tasks[[#This Row],[_Res4Work]]/(Tasks[[#This Row],[_FinishWorkday]]-Tasks[[#This Row],[_StartWorkday]]+1),0)</f>
        <v>0</v>
      </c>
      <c r="DP21" s="45" t="n">
        <f aca="false">Tasks[[#This Row],[_Res4WorkPerWD]]*MAX(0,Tasks[[#This Row],[_StartWorkday]]-1)</f>
        <v>0</v>
      </c>
      <c r="DQ21" s="45" t="n">
        <f aca="false">Tasks[[#This Row],[_Res4Work]]*Tasks[[#This Row],[_LeafProgress]]</f>
        <v>0</v>
      </c>
      <c r="DR21" s="45" t="n">
        <f aca="false">IF(Tasks[[#This Row],[_LeafTotalCost]]=0,0,Tasks[[#This Row],[_LeafAC]]*Tasks[[#This Row],[_Res4Cost]]/Tasks[[#This Row],[_LeafTotalCost]])</f>
        <v>0</v>
      </c>
      <c r="DS21" s="76" t="n">
        <f aca="false">IF(ISNUMBER(Tasks[[#This Row],[% Complete]]),Tasks[[#This Row],[% Complete]],IF(Tasks[[#This Row],[Stage]]="",0,IFERROR(INDEX(stg_Pct,MATCH(Tasks[[#This Row],[Stage]],stg_Name,0)),0)))</f>
        <v>1</v>
      </c>
      <c r="DT21" s="45" t="n">
        <f aca="false">IF(NOT(Tasks[[#This Row],[_IsLeaf]]=1),0,IF(N(Tasks[[#This Row],[Actual Finish]])&gt;0,1,MIN(1,Tasks[[#This Row],[_Pct]])))</f>
        <v>1</v>
      </c>
      <c r="DU21" s="45" t="n">
        <f aca="false">IF(OR(NOT(Tasks[[#This Row],[_IsLeaf]]=1),Tasks[[#This Row],[_Resource1]]=""),0,IF(ISNA(MATCH(Tasks[[#This Row],[_Resource1]],res_Name,0)),0,N(Tasks[[#This Row],[Duration]])*HoursPerDay*IF(Tasks[[#This Row],[_Units1]]="",DefaultUnits,Tasks[[#This Row],[_Units1]])))</f>
        <v>48</v>
      </c>
      <c r="DV21" s="45" t="n">
        <f aca="false">IF(Tasks[[#This Row],[_LeafWork]]=0,0,Tasks[[#This Row],[_LeafWork]]*IFERROR(INDEX(res_Rate,MATCH(Tasks[[#This Row],[_Resource1]],res_Name,0)),0))</f>
        <v>3840</v>
      </c>
      <c r="DW21" s="45" t="n">
        <f aca="false">Tasks[[#This Row],[_LeafWork]]+Tasks[[#This Row],[_Res2Work]]+Tasks[[#This Row],[_Res3Work]]+Tasks[[#This Row],[_Res4Work]]</f>
        <v>48</v>
      </c>
      <c r="DX21" s="45" t="n">
        <f aca="false">Tasks[[#This Row],[_LeafCost]]+Tasks[[#This Row],[_Res2Cost]]+Tasks[[#This Row],[_Res3Cost]]+Tasks[[#This Row],[_Res4Cost]]</f>
        <v>3840</v>
      </c>
      <c r="DY21" s="45" t="n">
        <f aca="false">IF(Tasks[[#This Row],[_LeafTotalCost]]=0,Tasks[[#This Row],[_LeafAC]],Tasks[[#This Row],[_LeafAC]]*Tasks[[#This Row],[_LeafCost]]/Tasks[[#This Row],[_LeafTotalCost]])</f>
        <v>3840</v>
      </c>
      <c r="DZ21"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2912158</v>
      </c>
      <c r="EA2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2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2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21"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2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2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2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21" s="45" t="n">
        <f aca="false">IF(NOT(Tasks[[#This Row],[_IsLeaf]]=1),0,MAX(_xlfn.MAXIFS(Tasks[_Row],Tasks[_Pred1UID],Tasks[[#This Row],[UID]]),_xlfn.MAXIFS(Tasks[_Row],Tasks[_Pred2UID],Tasks[[#This Row],[UID]]),_xlfn.MAXIFS(Tasks[_Row],Tasks[_Pred3UID],Tasks[[#This Row],[UID]]),_xlfn.MAXIFS(Tasks[_Row],Tasks[_Pred4UID],Tasks[[#This Row],[UID]])))</f>
        <v>17</v>
      </c>
      <c r="EI21"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46315</v>
      </c>
      <c r="EJ21"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46315</v>
      </c>
      <c r="EK21" s="74" t="n">
        <f aca="false">IF(NOT(Tasks[[#This Row],[_IsLeaf]]=1),"",IF(N(Tasks[[#This Row],[Duration]])&lt;=0,Tasks[[#This Row],[_LeafLateFinish]],WORKDAY.INTL(Tasks[[#This Row],[_LeafLateFinish]],-(Tasks[[#This Row],[Duration]]-1),WorkWeek,Holidays)))</f>
        <v>46308</v>
      </c>
      <c r="EL21"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EM21" s="73" t="b">
        <f aca="false">AND(Tasks[[#This Row],[_IsLeaf]]=1,Tasks[[#This Row],[_LeafProgress]]&lt;1,N(Tasks[[#This Row],[_LeafTotalSlack]])&lt;=CriticalSlackDays)</f>
        <v>0</v>
      </c>
      <c r="EN21" s="45" t="n">
        <f aca="false">IF(AND(Tasks[[#This Row],[_IsLeaf]]=1,Tasks[[#This Row],[_ConstraintCode]]=1,Tasks[[#This Row],[Mode]]&lt;&gt;"Manual",N(Tasks[[#This Row],[Actual Start]])=0),MAX(0,N(Tasks[[#This Row],[Free Slack]])),0)</f>
        <v>0</v>
      </c>
      <c r="EO21" s="74" t="n">
        <f aca="false">IF(NOT(Tasks[[#This Row],[_IsLeaf]]=1),"",IF(Tasks[[#This Row],[_AlapShift]]=0,Tasks[[#This Row],[_LeafCalcStart]],WORKDAY.INTL(Tasks[[#This Row],[_LeafCalcStart]],Tasks[[#This Row],[_AlapShift]],WorkWeek,Holidays)))</f>
        <v>46297</v>
      </c>
      <c r="EP21" s="74" t="n">
        <f aca="false">IF(NOT(Tasks[[#This Row],[_IsLeaf]]=1),"",IF(Tasks[[#This Row],[_AlapShift]]=0,Tasks[[#This Row],[_LeafCalcFinish]],WORKDAY.INTL(Tasks[[#This Row],[_LeafCalcFinish]],Tasks[[#This Row],[_AlapShift]],WorkWeek,Holidays)))</f>
        <v>46304</v>
      </c>
      <c r="EQ21" s="74" t="n">
        <f aca="false">IF(NOT(Tasks[[#This Row],[_IsLeaf]]=1),"",IF(Tasks[[#This Row],[_AlapShift]]=0,Tasks[[#This Row],[_LeafFcstStart]],WORKDAY.INTL(Tasks[[#This Row],[_LeafFcstStart]],Tasks[[#This Row],[_AlapShift]],WorkWeek,Holidays)))</f>
        <v>46302</v>
      </c>
      <c r="ER21" s="74" t="n">
        <f aca="false">IF(NOT(Tasks[[#This Row],[_IsLeaf]]=1),"",IF(Tasks[[#This Row],[_AlapShift]]=0,Tasks[[#This Row],[_LeafFcstFinish]],WORKDAY.INTL(Tasks[[#This Row],[_LeafFcstFinish]],Tasks[[#This Row],[_AlapShift]],WorkWeek,Holidays)))</f>
        <v>46311</v>
      </c>
      <c r="ES21" s="74" t="n">
        <f aca="false">IF(Tasks[[#This Row],[Task Name]]="","",IF(Tasks[[#This Row],[_IsSummary]],MIN(INDEX(Tasks[_ShownCalcStart],Tasks[[#This Row],[_Row]]+1):INDEX(Tasks[_ShownCalcStart],Tasks[[#This Row],[_Row]]+Tasks[[#This Row],[_Descendants]])),Tasks[[#This Row],[_ShownCalcStart]]))</f>
        <v>46297</v>
      </c>
      <c r="ET21" s="74" t="n">
        <f aca="false">IF(Tasks[[#This Row],[Task Name]]="","",IF(Tasks[[#This Row],[_IsSummary]],MAX(INDEX(Tasks[_ShownCalcFinish],Tasks[[#This Row],[_Row]]+1):INDEX(Tasks[_ShownCalcFinish],Tasks[[#This Row],[_Row]]+Tasks[[#This Row],[_Descendants]])),Tasks[[#This Row],[_ShownCalcFinish]]))</f>
        <v>46304</v>
      </c>
      <c r="EU2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2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2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2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2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46297</v>
      </c>
      <c r="EZ2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2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2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2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46302</v>
      </c>
      <c r="FD2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2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2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21" s="45" t="n">
        <f aca="false">IF(AND(Tasks[[#This Row],[_IsLeaf]]=1,Tasks[[#This Row],[_LeafTotalWork]]&gt;0),NETWORKDAYS.INTL(ProjectStart,Tasks[[#This Row],[_ShownFcstStart]],WorkWeek,Holidays),0)</f>
        <v>23</v>
      </c>
      <c r="FH21" s="45" t="n">
        <f aca="false">IF(AND(Tasks[[#This Row],[_IsLeaf]]=1,Tasks[[#This Row],[_LeafTotalWork]]&gt;0),MAX(Tasks[[#This Row],[_StartWorkday]],NETWORKDAYS.INTL(ProjectStart,Tasks[[#This Row],[_ShownFcstFinish]],WorkWeek,Holidays)),0)</f>
        <v>30</v>
      </c>
      <c r="FI21" s="45" t="n">
        <f aca="false">IF(AND(Tasks[[#This Row],[_IsLeaf]]=1,Tasks[[#This Row],[_LeafTotalWork]]&gt;0),Tasks[[#This Row],[_LeafWork]]/(Tasks[[#This Row],[_FinishWorkday]]-Tasks[[#This Row],[_StartWorkday]]+1),0)</f>
        <v>6</v>
      </c>
      <c r="FJ21" s="45" t="n">
        <f aca="false">Tasks[[#This Row],[_WorkPerWorkday]]*(Tasks[[#This Row],[_StartWorkday]]-1)</f>
        <v>132</v>
      </c>
      <c r="FK21" s="45" t="n">
        <f aca="false">IF(Tasks[[#This Row],[_IsLeaf]]=1,MAX(N(Tasks[[#This Row],[Duration]]),0.1),0)</f>
        <v>6</v>
      </c>
      <c r="FL21" s="45" t="n">
        <f aca="false">Tasks[[#This Row],[_WeightDur]]*Tasks[[#This Row],[_LeafProgress]]</f>
        <v>6</v>
      </c>
      <c r="FM2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FN21" s="45" t="str">
        <f aca="false">IF(AND(Tasks[[#This Row],[_IsLeaf]]=1,N(Tasks[[#This Row],[Duration]])=0,Tasks[[#This Row],[_LeafProgress]]&lt;1),Tasks[[#This Row],[_ShownFcstFinish]]+Tasks[[#This Row],[_Row]]/100000,"")</f>
        <v/>
      </c>
      <c r="FO2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P21" s="45" t="n">
        <f aca="false">IF(NOT(Tasks[[#This Row],[_IsLeaf]]=1),0,IF(Tasks[[#This Row],[Baseline Cost]]="",Tasks[[#This Row],[_LeafTotalCost]],N(Tasks[[#This Row],[Baseline Cost]])))</f>
        <v>3840</v>
      </c>
      <c r="FQ21" s="45" t="n">
        <f aca="false">Tasks[[#This Row],[_LeafBudget]]*Tasks[[#This Row],[_PlannedPct]]</f>
        <v>3840</v>
      </c>
      <c r="FR21" s="45" t="n">
        <f aca="false">Tasks[[#This Row],[_LeafBudget]]*Tasks[[#This Row],[_LeafProgress]]</f>
        <v>3840</v>
      </c>
      <c r="FS21" s="45" t="n">
        <f aca="false">IF(NOT(Tasks[[#This Row],[_IsLeaf]]=1),0,IF(Tasks[[#This Row],[Actual Cost]]="",Tasks[[#This Row],[_LeafTotalCost]]*Tasks[[#This Row],[_LeafProgress]],N(Tasks[[#This Row],[Actual Cost]])))</f>
        <v>3840</v>
      </c>
      <c r="FT21" s="45" t="str">
        <f aca="false">IF(Tasks[[#This Row],[Task Name]]="","",LEFT(Tasks[[#This Row],[WBS]],FIND(".",Tasks[[#This Row],[WBS]]&amp;".")-1))</f>
        <v>3</v>
      </c>
      <c r="FU21" s="45" t="str">
        <f aca="false">IF(AND(Tasks[[#This Row],[Task Name]]&lt;&gt;"",Tasks[[#This Row],[_Level]]=1),Tasks[[#This Row],[_Row]],"")</f>
        <v/>
      </c>
      <c r="FV21" s="45" t="str">
        <f aca="false">IF(AND(Tasks[[#This Row],[_IsLeaf]]=1,N(Tasks[[#This Row],[Duration]])=0),Tasks[[#This Row],[Planned Finish]]+Tasks[[#This Row],[_Row]]/100000,"")</f>
        <v/>
      </c>
      <c r="FW21" s="45" t="str">
        <f aca="false">IF(AND(Tasks[[#This Row],[_IsLeaf]]=1,Tasks[[#This Row],[_LeafProgress]]&lt;1,OR(N(Tasks[[#This Row],[Finish Var]])&gt;0,Tasks[[#This Row],[Status]]="Late Start")),MAX(0,Tasks[[#This Row],[Finish Var]])+1-Tasks[[#This Row],[_Row]]/1000000,"")</f>
        <v/>
      </c>
      <c r="FX21" s="45" t="str">
        <f aca="false">IF(AND(Tasks[[#This Row],[_IsLeaf]]=1,N(Tasks[[#This Row],[Actual Start]])=0,Tasks[[#This Row],[_ShownFcstStart]]&gt;=StatusDate,Tasks[[#This Row],[_ShownFcstStart]]&lt;=LookaheadEnd),Tasks[[#This Row],[_ShownFcstStart]]+Tasks[[#This Row],[_Row]]/100000,"")</f>
        <v/>
      </c>
      <c r="FY21" s="45" t="str">
        <f aca="false">IF(AND(Tasks[[#This Row],[_IsLeaf]]=1,Tasks[[#This Row],[_LeafProgress]]&lt;1,Tasks[[#This Row],[_ShownFcstFinish]]&gt;=StatusDate,Tasks[[#This Row],[_ShownFcstFinish]]&lt;=LookaheadEnd),Tasks[[#This Row],[_ShownFcstFinish]]+Tasks[[#This Row],[_Row]]/100000,"")</f>
        <v/>
      </c>
      <c r="FZ21" s="45" t="str">
        <f aca="false">IF(Tasks[[#This Row],[_LeafCritical]],Tasks[[#This Row],[_ShownFcstStart]]+Tasks[[#This Row],[_Row]]/100000,"")</f>
        <v/>
      </c>
      <c r="GA21" s="45" t="n">
        <f aca="false">Tasks[[#This Row],[_LeafWork]]*Tasks[[#This Row],[_LeafProgress]]</f>
        <v>48</v>
      </c>
      <c r="GB21" s="74" t="n">
        <f aca="false">IF(AND(Tasks[[#This Row],[_IsLeaf]]=1,Tasks[[#This Row],[_LeafProgress]]&gt;=1),IF(N(Tasks[[#This Row],[Actual Finish]])&gt;0,Tasks[[#This Row],[Actual Finish]],Tasks[[#This Row],[_ShownFcstFinish]]),"")</f>
        <v>46311</v>
      </c>
    </row>
    <row r="22" customFormat="false" ht="15" hidden="false" customHeight="false" outlineLevel="2" collapsed="false">
      <c r="A22" s="67" t="n">
        <f aca="false">IF(Tasks[[#This Row],[Task Name]]="","",COUNTA(Tasks[[#Headers],[Task Name]]:Tasks[[#This Row],[Task Name]])-1)</f>
        <v>17</v>
      </c>
      <c r="B22" s="21" t="n">
        <v>17</v>
      </c>
      <c r="C2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3.2.2</v>
      </c>
      <c r="D22" s="21" t="n">
        <v>3</v>
      </c>
      <c r="E22" s="78" t="s">
        <v>536</v>
      </c>
      <c r="F22" s="21" t="n">
        <v>12</v>
      </c>
      <c r="G22" s="22" t="s">
        <v>537</v>
      </c>
      <c r="H22" s="22" t="s">
        <v>538</v>
      </c>
      <c r="I22" s="22" t="s">
        <v>315</v>
      </c>
      <c r="J22" s="7" t="n">
        <v>46314</v>
      </c>
      <c r="K22" s="7"/>
      <c r="L22" s="22"/>
      <c r="M22" s="58" t="n">
        <f aca="false">IF(Tasks[[#This Row],[Task Name]]="","",IF(Tasks[[#This Row],[_IsSummary]],MIN(INDEX(Tasks[_ShownFcstStart],Tasks[[#This Row],[_Row]]+1):INDEX(Tasks[_ShownFcstStart],Tasks[[#This Row],[_Row]]+Tasks[[#This Row],[_Descendants]])),Tasks[[#This Row],[_ShownFcstStart]]))</f>
        <v>46314</v>
      </c>
      <c r="N22" s="58" t="n">
        <f aca="false">IF(Tasks[[#This Row],[Task Name]]="","",IF(Tasks[[#This Row],[_IsSummary]],MAX(INDEX(Tasks[_ShownFcstFinish],Tasks[[#This Row],[_Row]]+1):INDEX(Tasks[_ShownFcstFinish],Tasks[[#This Row],[_Row]]+Tasks[[#This Row],[_Descendants]])),Tasks[[#This Row],[_ShownFcstFinish]]))</f>
        <v>46331</v>
      </c>
      <c r="O22" s="20" t="str">
        <f aca="false">IF(Tasks[[#This Row],[Task Name]]="","",IF(Tasks[[#This Row],[Progress]]&gt;=1,"Complete",IF(OR(N(Tasks[[#This Row],[Actual Start]])&gt;0,Tasks[[#This Row],[Progress]]&gt;0),IF(Tasks[[#This Row],[Finish Var]]&gt;0,"Behind","In Progress"),IF(Tasks[[#This Row],[Planned Start]]&lt;StatusDate,"Late Start","Not Started"))))</f>
        <v>Behind</v>
      </c>
      <c r="P22" s="20" t="str">
        <f aca="false">IF(Tasks[[#This Row],[Task Name]]="","",IF(IF(Tasks[[#This Row],[_IsSummary]],COUNTIF(INDEX(Tasks[_LeafCritical],Tasks[[#This Row],[_Row]]+1):INDEX(Tasks[_LeafCritical],Tasks[[#This Row],[_Row]]+Tasks[[#This Row],[_Descendants]]),TRUE())&gt;0,Tasks[[#This Row],[_LeafCritical]]),"Yes",""))</f>
        <v>Yes</v>
      </c>
      <c r="Q2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22" s="67" t="str">
        <f aca="false">IF(Tasks[[#This Row],[Task Name]]="","",IF(Tasks[[#This Row],[_Level]]&lt;=OutlineShowLevel,"Yes","No"))</f>
        <v>Yes</v>
      </c>
      <c r="S22" s="7"/>
      <c r="T22" s="21" t="s">
        <v>195</v>
      </c>
      <c r="U22" s="22"/>
      <c r="V22" s="7"/>
      <c r="W22" s="67" t="n">
        <f aca="false">IF(Tasks[[#This Row],[Task Name]]="","",IF(Tasks[[#This Row],[Finish]]&gt;=Tasks[[#This Row],[Planned Finish]],NETWORKDAYS.INTL(Tasks[[#This Row],[Planned Finish]],Tasks[[#This Row],[Finish]],WorkWeek,Holidays)-1,1-NETWORKDAYS.INTL(Tasks[[#This Row],[Finish]],Tasks[[#This Row],[Planned Finish]],WorkWeek,Holidays)))</f>
        <v>6</v>
      </c>
      <c r="X22" s="58" t="n">
        <f aca="false">IF(Tasks[[#This Row],[Task Name]]="","",IF(N(Tasks[[#This Row],[Baseline Start]])&gt;0,Tasks[[#This Row],[Baseline Start]],Tasks[[#This Row],[_CalcStart]]))</f>
        <v>46308</v>
      </c>
      <c r="Y22" s="58" t="n">
        <f aca="false">IF(Tasks[[#This Row],[Task Name]]="","",IF(N(Tasks[[#This Row],[Baseline Finish]])&gt;0,Tasks[[#This Row],[Baseline Finish]],Tasks[[#This Row],[_CalcFinish]]))</f>
        <v>46323</v>
      </c>
      <c r="Z22" s="67" t="n">
        <f aca="false">IF(Tasks[[#This Row],[Task Name]]="","",IF(Tasks[[#This Row],[Start]]&gt;=Tasks[[#This Row],[Planned Start]],NETWORKDAYS.INTL(Tasks[[#This Row],[Planned Start]],Tasks[[#This Row],[Start]],WorkWeek,Holidays)-1,1-NETWORKDAYS.INTL(Tasks[[#This Row],[Start]],Tasks[[#This Row],[Planned Start]],WorkWeek,Holidays)))</f>
        <v>4</v>
      </c>
      <c r="AA22" s="58" t="n">
        <f aca="false">IF(Tasks[[#This Row],[Task Name]]="","",IF(Tasks[[#This Row],[_IsSummary]],MIN(INDEX(Tasks[_LeafLateStart],Tasks[[#This Row],[_Row]]+1):INDEX(Tasks[_LeafLateStart],Tasks[[#This Row],[_Row]]+Tasks[[#This Row],[_Descendants]])),Tasks[[#This Row],[_LeafLateStart]]))</f>
        <v>46316</v>
      </c>
      <c r="AB22" s="58" t="n">
        <f aca="false">IF(Tasks[[#This Row],[Task Name]]="","",IF(Tasks[[#This Row],[_IsSummary]],MAX(INDEX(Tasks[_LeafLateFinish],Tasks[[#This Row],[_Row]]+1):INDEX(Tasks[_LeafLateFinish],Tasks[[#This Row],[_Row]]+Tasks[[#This Row],[_Descendants]])),Tasks[[#This Row],[_LeafLateFinish]]))</f>
        <v>46331</v>
      </c>
      <c r="AC22" s="67" t="n">
        <f aca="false">IF(Tasks[[#This Row],[Task Name]]="","",IF(Tasks[[#This Row],[_IsSummary]],MIN(INDEX(Tasks[_LeafTotalSlack],Tasks[[#This Row],[_Row]]+1):INDEX(Tasks[_LeafTotalSlack],Tasks[[#This Row],[_Row]]+Tasks[[#This Row],[_Descendants]])),Tasks[[#This Row],[_LeafTotalSlack]]))</f>
        <v>0</v>
      </c>
      <c r="AD22"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2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2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22" s="60" t="n">
        <v>0.25</v>
      </c>
      <c r="AH22"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0.25</v>
      </c>
      <c r="AI2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16,13SS+2d</v>
      </c>
      <c r="AJ22" s="69" t="n">
        <f aca="false">IF(Tasks[[#This Row],[Task Name]]="","",IF(Tasks[[#This Row],[_IsSummary]],SUM(INDEX(Tasks[_LeafTotalWork],Tasks[[#This Row],[_Row]]+1):INDEX(Tasks[_LeafTotalWork],Tasks[[#This Row],[_Row]]+Tasks[[#This Row],[_Descendants]])),Tasks[[#This Row],[_LeafTotalWork]]))</f>
        <v>144</v>
      </c>
      <c r="AK2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Sam Rivera, Casey Kim[50%]</v>
      </c>
      <c r="AL22" s="70" t="n">
        <f aca="false">IF(Tasks[[#This Row],[Task Name]]="","",IF(Tasks[[#This Row],[_IsSummary]],SUM(INDEX(Tasks[_LeafTotalCost],Tasks[[#This Row],[_Row]]+1):INDEX(Tasks[_LeafTotalCost],Tasks[[#This Row],[_Row]]+Tasks[[#This Row],[_Descendants]])),Tasks[[#This Row],[_LeafTotalCost]]))</f>
        <v>11280</v>
      </c>
      <c r="AM22" s="71"/>
      <c r="AN22" s="20" t="str">
        <f aca="false">IF(OR(Tasks[[#This Row],[Task Name]]="",Tasks[[#This Row],[Baseline Duration]]=""),"",Tasks[[#This Row],[BL Source Duration]]-N(Tasks[[#This Row],[Baseline Duration]]))</f>
        <v/>
      </c>
      <c r="AO22" s="69" t="str">
        <f aca="false">IF(OR(Tasks[[#This Row],[Task Name]]="",Tasks[[#This Row],[Baseline Work]]=""),"",Tasks[[#This Row],[Work]]-N(Tasks[[#This Row],[Baseline Work]]))</f>
        <v/>
      </c>
      <c r="AP22" s="70" t="str">
        <f aca="false">IF(OR(Tasks[[#This Row],[Task Name]]="",Tasks[[#This Row],[Baseline Cost]]=""),"",Tasks[[#This Row],[Cost]]-N(Tasks[[#This Row],[Baseline Cost]]))</f>
        <v/>
      </c>
      <c r="AQ22" s="58" t="n">
        <f aca="false">IF(Tasks[[#This Row],[Task Name]]="","",Tasks[[#This Row],[Start]])</f>
        <v>46314</v>
      </c>
      <c r="AR22" s="58" t="n">
        <f aca="false">IF(Tasks[[#This Row],[Task Name]]="","",Tasks[[#This Row],[Finish]])</f>
        <v>46331</v>
      </c>
      <c r="AS22" s="67" t="n">
        <f aca="false">IF(Tasks[[#This Row],[Task Name]]="","",IF(Tasks[[#This Row],[_IsSummary]],NETWORKDAYS.INTL(Tasks[[#This Row],[Start]],Tasks[[#This Row],[Finish]],WorkWeek,Holidays),N(Tasks[[#This Row],[Duration]])))</f>
        <v>12</v>
      </c>
      <c r="AT22" s="69" t="n">
        <f aca="false">IF(Tasks[[#This Row],[Task Name]]="","",Tasks[[#This Row],[Work]])</f>
        <v>144</v>
      </c>
      <c r="AU22" s="70" t="n">
        <f aca="false">IF(Tasks[[#This Row],[Task Name]]="","",Tasks[[#This Row],[Cost]])</f>
        <v>11280</v>
      </c>
      <c r="AV22" s="7"/>
      <c r="AW22" s="7"/>
      <c r="AX22" s="21"/>
      <c r="AY22" s="72"/>
      <c r="AZ22" s="71"/>
      <c r="BA22" s="70" t="n">
        <f aca="false">IF(Tasks[[#This Row],[Task Name]]="","",IF(Tasks[[#This Row],[_IsSummary]],SUM(INDEX(Tasks[_LeafEV],Tasks[[#This Row],[_Row]]+1):INDEX(Tasks[_LeafEV],Tasks[[#This Row],[_Row]]+Tasks[[#This Row],[_Descendants]])),Tasks[[#This Row],[_LeafEV]]))</f>
        <v>2820</v>
      </c>
      <c r="BB22" s="70" t="n">
        <f aca="false">IF(Tasks[[#This Row],[Task Name]]="","",IF(Tasks[[#This Row],[_IsSummary]],SUM(INDEX(Tasks[_LeafBudget],Tasks[[#This Row],[_Row]]+1):INDEX(Tasks[_LeafBudget],Tasks[[#This Row],[_Row]]+Tasks[[#This Row],[_Descendants]])),Tasks[[#This Row],[_LeafBudget]]))</f>
        <v>11280</v>
      </c>
      <c r="BC22" s="70" t="n">
        <f aca="false">IF(Tasks[[#This Row],[Task Name]]="","",IF(Tasks[[#This Row],[_IsSummary]],SUM(INDEX(Tasks[_LeafPV],Tasks[[#This Row],[_Row]]+1):INDEX(Tasks[_LeafPV],Tasks[[#This Row],[_Row]]+Tasks[[#This Row],[_Descendants]])),Tasks[[#This Row],[_LeafPV]]))</f>
        <v>8460</v>
      </c>
      <c r="BD22" s="70" t="n">
        <f aca="false">IF(Tasks[[#This Row],[Task Name]]="","",IF(Tasks[[#This Row],[_IsSummary]],SUM(INDEX(Tasks[_LeafAC],Tasks[[#This Row],[_Row]]+1):INDEX(Tasks[_LeafAC],Tasks[[#This Row],[_Row]]+Tasks[[#This Row],[_Descendants]])),Tasks[[#This Row],[_LeafAC]]))</f>
        <v>2820</v>
      </c>
      <c r="BE22" s="45" t="n">
        <f aca="false">IF(Tasks[[#This Row],[Task Name]]="","",MAX(1,N(Tasks[[#This Row],[Level]])))</f>
        <v>3</v>
      </c>
      <c r="BF22" s="45" t="n">
        <f aca="false">ROW()-ROW(Tasks[[#Headers],[ID]])</f>
        <v>17</v>
      </c>
      <c r="BG22" s="45" t="n">
        <f aca="false">IF(OR(Tasks[[#This Row],[Task Name]]="",Tasks[[#This Row],[_Level]]&lt;=1),0,IFERROR(LOOKUP(2,1/(Tasks[[#Headers],[_Level]]:Tasks[[#This Row],[_Level]]=Tasks[[#This Row],[_Level]]-1),ROW(Tasks[[#Headers],[_Level]]:Tasks[[#This Row],[_Level]])),0))</f>
        <v>20</v>
      </c>
      <c r="BH22" s="45" t="n">
        <f aca="false">IFERROR(N(INDEX(Tasks[_Level],Tasks[[#This Row],[_Row]]+1)),0)</f>
        <v>3</v>
      </c>
      <c r="BI22" s="73" t="b">
        <f aca="false">AND(Tasks[[#This Row],[Task Name]]&lt;&gt;"",Tasks[[#This Row],[_NextLevel]]&gt;Tasks[[#This Row],[_Level]])</f>
        <v>0</v>
      </c>
      <c r="BJ22" s="45" t="n">
        <f aca="false">IF(Tasks[[#This Row],[_IsSummary]],COUNTIF(Tasks[WBS],Tasks[[#This Row],[WBS]]&amp;".*"),0)</f>
        <v>0</v>
      </c>
      <c r="BK22" s="45" t="n">
        <f aca="false">IF(AND(Tasks[[#This Row],[Task Name]]&lt;&gt;"",NOT(Tasks[[#This Row],[_IsSummary]])),1,0)</f>
        <v>1</v>
      </c>
      <c r="BL22" s="45" t="n">
        <f aca="false">IF(N(Tasks[[#This Row],[_Pred1UID]])=0,0,IFERROR(MATCH(Tasks[[#This Row],[_Pred1UID]],Tasks[UID],0),-1))</f>
        <v>16</v>
      </c>
      <c r="BM22" s="45" t="n">
        <f aca="false">IF(N(Tasks[[#This Row],[_Pred2UID]])=0,0,IFERROR(MATCH(Tasks[[#This Row],[_Pred2UID]],Tasks[UID],0),-1))</f>
        <v>13</v>
      </c>
      <c r="BN22" s="45" t="n">
        <f aca="false">IF(N(Tasks[[#This Row],[_Pred3UID]])=0,0,IFERROR(MATCH(Tasks[[#This Row],[_Pred3UID]],Tasks[UID],0),-1))</f>
        <v>0</v>
      </c>
      <c r="BO22" s="45" t="n">
        <f aca="false">IF(N(Tasks[[#This Row],[_Pred4UID]])=0,0,IFERROR(MATCH(Tasks[[#This Row],[_Pred4UID]],Tasks[UID],0),-1))</f>
        <v>0</v>
      </c>
      <c r="BP22"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2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22" s="74" t="n">
        <f aca="false">IF(OR(Tasks[[#This Row],[_ConstraintCode]]=2,Tasks[[#This Row],[_ConstraintCode]]=3,Tasks[[#This Row],[_ConstraintCode]]=4,Tasks[[#This Row],[_ConstraintCode]]=6),Tasks[[#This Row],[_ConstraintStart]],0)</f>
        <v>0</v>
      </c>
      <c r="BS22" s="74" t="n">
        <f aca="false">IF(OR(Tasks[[#This Row],[_ConstraintCode]]=2,Tasks[[#This Row],[_ConstraintCode]]=3,Tasks[[#This Row],[_ConstraintCode]]=5,Tasks[[#This Row],[_ConstraintCode]]=7),Tasks[[#This Row],[_ConstraintStart]],2958465)</f>
        <v>2958465</v>
      </c>
      <c r="BT22"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46308</v>
      </c>
      <c r="BU22" s="74" t="n">
        <f aca="false">IF(NOT(Tasks[[#This Row],[_IsLeaf]]=1),"",IF(N(Tasks[[#This Row],[Duration]])&lt;=0,Tasks[[#This Row],[_LeafCalcStart]],WORKDAY.INTL(Tasks[[#This Row],[_LeafCalcStart]],Tasks[[#This Row],[Duration]]-1,WorkWeek,Holidays)))</f>
        <v>46323</v>
      </c>
      <c r="BV22"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46314</v>
      </c>
      <c r="BW22"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46331</v>
      </c>
      <c r="BX22" s="45" t="str">
        <f aca="false">IF(Tasks[[#This Row],[Predecessors]]="","",TRIM(MID(SUBSTITUTE(SUBSTITUTE(SUBSTITUTE(UPPER(Tasks[[#This Row],[Predecessors]]),";",",")," ",""),",",REPT(" ",99)),1,99)))</f>
        <v>16</v>
      </c>
      <c r="BY22" s="45" t="n">
        <f aca="false">IF(Tasks[[#This Row],[_Pred1Text]]="","",IFERROR(VALUE(LEFT(Tasks[[#This Row],[_Pred1Text]],MIN(FIND("F",Tasks[[#This Row],[_Pred1Text]]&amp;"F"),FIND("S",Tasks[[#This Row],[_Pred1Text]]&amp;"S"),FIND("+",Tasks[[#This Row],[_Pred1Text]]&amp;"+"),FIND("-",Tasks[[#This Row],[_Pred1Text]]&amp;"-"))-1)),""))</f>
        <v>16</v>
      </c>
      <c r="BZ2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22"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22" s="45" t="str">
        <f aca="false">IF(Tasks[[#This Row],[_Pred1Text]]="","",TRIM(MID(SUBSTITUTE(SUBSTITUTE(SUBSTITUTE(UPPER(Tasks[[#This Row],[Predecessors]]),";",",")," ",""),",",REPT(" ",99)),100,99)))</f>
        <v>13SS+2D</v>
      </c>
      <c r="CC22" s="45" t="n">
        <f aca="false">IF(Tasks[[#This Row],[_Pred2Text]]="","",IFERROR(VALUE(LEFT(Tasks[[#This Row],[_Pred2Text]],MIN(FIND("F",Tasks[[#This Row],[_Pred2Text]]&amp;"F"),FIND("S",Tasks[[#This Row],[_Pred2Text]]&amp;"S"),FIND("+",Tasks[[#This Row],[_Pred2Text]]&amp;"+"),FIND("-",Tasks[[#This Row],[_Pred2Text]]&amp;"-"))-1)),""))</f>
        <v>13</v>
      </c>
      <c r="CD2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SS</v>
      </c>
      <c r="CE22" s="45" t="n">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2</v>
      </c>
      <c r="CF22" s="45" t="str">
        <f aca="false">IF(Tasks[[#This Row],[_Pred2Text]]="","",TRIM(MID(SUBSTITUTE(SUBSTITUTE(SUBSTITUTE(UPPER(Tasks[[#This Row],[Predecessors]]),";",",")," ",""),",",REPT(" ",99)),199,99)))</f>
        <v/>
      </c>
      <c r="CG22" s="45" t="str">
        <f aca="false">IF(Tasks[[#This Row],[_Pred3Text]]="","",IFERROR(VALUE(LEFT(Tasks[[#This Row],[_Pred3Text]],MIN(FIND("F",Tasks[[#This Row],[_Pred3Text]]&amp;"F"),FIND("S",Tasks[[#This Row],[_Pred3Text]]&amp;"S"),FIND("+",Tasks[[#This Row],[_Pred3Text]]&amp;"+"),FIND("-",Tasks[[#This Row],[_Pred3Text]]&amp;"-"))-1)),""))</f>
        <v/>
      </c>
      <c r="CH2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2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22" s="45" t="str">
        <f aca="false">IF(Tasks[[#This Row],[_Pred3Text]]="","",TRIM(MID(SUBSTITUTE(SUBSTITUTE(SUBSTITUTE(UPPER(Tasks[[#This Row],[Predecessors]]),";",",")," ",""),",",REPT(" ",99)),298,99)))</f>
        <v/>
      </c>
      <c r="CK22" s="45" t="str">
        <f aca="false">IF(Tasks[[#This Row],[_Pred4Text]]="","",IFERROR(VALUE(LEFT(Tasks[[#This Row],[_Pred4Text]],MIN(FIND("F",Tasks[[#This Row],[_Pred4Text]]&amp;"F"),FIND("S",Tasks[[#This Row],[_Pred4Text]]&amp;"S"),FIND("+",Tasks[[#This Row],[_Pred4Text]]&amp;"+"),FIND("-",Tasks[[#This Row],[_Pred4Text]]&amp;"-"))-1)),""))</f>
        <v/>
      </c>
      <c r="CL2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2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22" s="45" t="str">
        <f aca="false">IF(OR(Tasks[[#This Row],[Task Name]]="",Tasks[[#This Row],[Resources]]=""),"",TRIM(MID(SUBSTITUTE(Tasks[[#This Row],[Resources]],",",REPT(" ",99)),1,99)))</f>
        <v>Sam Rivera</v>
      </c>
      <c r="CO22" s="45" t="str">
        <f aca="false">IF(Tasks[[#This Row],[_Res1Text]]="","",TRIM(MID(SUBSTITUTE(Tasks[[#This Row],[Resources]],",",REPT(" ",99)),100,99)))</f>
        <v>Casey Kim[50%]</v>
      </c>
      <c r="CP22" s="45" t="str">
        <f aca="false">IF(Tasks[[#This Row],[_Res2Text]]="","",TRIM(MID(SUBSTITUTE(Tasks[[#This Row],[Resources]],",",REPT(" ",99)),199,99)))</f>
        <v/>
      </c>
      <c r="CQ22" s="45" t="str">
        <f aca="false">IF(Tasks[[#This Row],[_Res3Text]]="","",TRIM(MID(SUBSTITUTE(Tasks[[#This Row],[Resources]],",",REPT(" ",99)),298,99)))</f>
        <v/>
      </c>
      <c r="CR2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Sam Rivera</v>
      </c>
      <c r="CS2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2" s="45" t="n">
        <f aca="false">IF(NOT(Tasks[[#This Row],[_IsLeaf]]=1),0,(Tasks[[#This Row],[_Resource1]]&lt;&gt;"")+(Tasks[[#This Row],[_Res2]]&lt;&gt;"")+(Tasks[[#This Row],[_Res3]]&lt;&gt;"")+(Tasks[[#This Row],[_Res4]]&lt;&gt;""))</f>
        <v>2</v>
      </c>
      <c r="CU2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Casey Kim</v>
      </c>
      <c r="CV22" s="45"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CW22" s="45" t="n">
        <f aca="false">IF(OR(NOT(Tasks[[#This Row],[_IsLeaf]]=1),Tasks[[#This Row],[_Res2]]=""),0,IF(ISNA(MATCH(Tasks[[#This Row],[_Res2]],res_Name,0)),0,N(Tasks[[#This Row],[Duration]])*HoursPerDay*IF(Tasks[[#This Row],[_Res2Units]]="",DefaultUnits,Tasks[[#This Row],[_Res2Units]])))</f>
        <v>48</v>
      </c>
      <c r="CX22" s="45" t="n">
        <f aca="false">IF(Tasks[[#This Row],[_Res2Work]]=0,0,Tasks[[#This Row],[_Res2Work]]*IFERROR(INDEX(res_Rate,MATCH(Tasks[[#This Row],[_Res2]],res_Name,0)),0))</f>
        <v>3600</v>
      </c>
      <c r="CY22" s="45" t="n">
        <f aca="false">IF(AND(AND(Tasks[[#This Row],[_IsLeaf]]=1,Tasks[[#This Row],[_LeafTotalWork]]&gt;0),Tasks[[#This Row],[_Res2Work]]&gt;0),Tasks[[#This Row],[_Res2Work]]/(Tasks[[#This Row],[_FinishWorkday]]-Tasks[[#This Row],[_StartWorkday]]+1),0)</f>
        <v>3.42857142857143</v>
      </c>
      <c r="CZ22" s="45" t="n">
        <f aca="false">Tasks[[#This Row],[_Res2WorkPerWD]]*MAX(0,Tasks[[#This Row],[_StartWorkday]]-1)</f>
        <v>102.857142857143</v>
      </c>
      <c r="DA22" s="45" t="n">
        <f aca="false">Tasks[[#This Row],[_Res2Work]]*Tasks[[#This Row],[_LeafProgress]]</f>
        <v>12</v>
      </c>
      <c r="DB22" s="45" t="n">
        <f aca="false">IF(Tasks[[#This Row],[_LeafTotalCost]]=0,0,Tasks[[#This Row],[_LeafAC]]*Tasks[[#This Row],[_Res2Cost]]/Tasks[[#This Row],[_LeafTotalCost]])</f>
        <v>900</v>
      </c>
      <c r="DC2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2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22" s="45" t="n">
        <f aca="false">IF(OR(NOT(Tasks[[#This Row],[_IsLeaf]]=1),Tasks[[#This Row],[_Res3]]=""),0,IF(ISNA(MATCH(Tasks[[#This Row],[_Res3]],res_Name,0)),0,N(Tasks[[#This Row],[Duration]])*HoursPerDay*IF(Tasks[[#This Row],[_Res3Units]]="",DefaultUnits,Tasks[[#This Row],[_Res3Units]])))</f>
        <v>0</v>
      </c>
      <c r="DF22" s="45" t="n">
        <f aca="false">IF(Tasks[[#This Row],[_Res3Work]]=0,0,Tasks[[#This Row],[_Res3Work]]*IFERROR(INDEX(res_Rate,MATCH(Tasks[[#This Row],[_Res3]],res_Name,0)),0))</f>
        <v>0</v>
      </c>
      <c r="DG22" s="45" t="n">
        <f aca="false">IF(AND(AND(Tasks[[#This Row],[_IsLeaf]]=1,Tasks[[#This Row],[_LeafTotalWork]]&gt;0),Tasks[[#This Row],[_Res3Work]]&gt;0),Tasks[[#This Row],[_Res3Work]]/(Tasks[[#This Row],[_FinishWorkday]]-Tasks[[#This Row],[_StartWorkday]]+1),0)</f>
        <v>0</v>
      </c>
      <c r="DH22" s="45" t="n">
        <f aca="false">Tasks[[#This Row],[_Res3WorkPerWD]]*MAX(0,Tasks[[#This Row],[_StartWorkday]]-1)</f>
        <v>0</v>
      </c>
      <c r="DI22" s="45" t="n">
        <f aca="false">Tasks[[#This Row],[_Res3Work]]*Tasks[[#This Row],[_LeafProgress]]</f>
        <v>0</v>
      </c>
      <c r="DJ22" s="45" t="n">
        <f aca="false">IF(Tasks[[#This Row],[_LeafTotalCost]]=0,0,Tasks[[#This Row],[_LeafAC]]*Tasks[[#This Row],[_Res3Cost]]/Tasks[[#This Row],[_LeafTotalCost]])</f>
        <v>0</v>
      </c>
      <c r="DK2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2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22" s="45" t="n">
        <f aca="false">IF(OR(NOT(Tasks[[#This Row],[_IsLeaf]]=1),Tasks[[#This Row],[_Res4]]=""),0,IF(ISNA(MATCH(Tasks[[#This Row],[_Res4]],res_Name,0)),0,N(Tasks[[#This Row],[Duration]])*HoursPerDay*IF(Tasks[[#This Row],[_Res4Units]]="",DefaultUnits,Tasks[[#This Row],[_Res4Units]])))</f>
        <v>0</v>
      </c>
      <c r="DN22" s="45" t="n">
        <f aca="false">IF(Tasks[[#This Row],[_Res4Work]]=0,0,Tasks[[#This Row],[_Res4Work]]*IFERROR(INDEX(res_Rate,MATCH(Tasks[[#This Row],[_Res4]],res_Name,0)),0))</f>
        <v>0</v>
      </c>
      <c r="DO22" s="45" t="n">
        <f aca="false">IF(AND(AND(Tasks[[#This Row],[_IsLeaf]]=1,Tasks[[#This Row],[_LeafTotalWork]]&gt;0),Tasks[[#This Row],[_Res4Work]]&gt;0),Tasks[[#This Row],[_Res4Work]]/(Tasks[[#This Row],[_FinishWorkday]]-Tasks[[#This Row],[_StartWorkday]]+1),0)</f>
        <v>0</v>
      </c>
      <c r="DP22" s="45" t="n">
        <f aca="false">Tasks[[#This Row],[_Res4WorkPerWD]]*MAX(0,Tasks[[#This Row],[_StartWorkday]]-1)</f>
        <v>0</v>
      </c>
      <c r="DQ22" s="45" t="n">
        <f aca="false">Tasks[[#This Row],[_Res4Work]]*Tasks[[#This Row],[_LeafProgress]]</f>
        <v>0</v>
      </c>
      <c r="DR22" s="45" t="n">
        <f aca="false">IF(Tasks[[#This Row],[_LeafTotalCost]]=0,0,Tasks[[#This Row],[_LeafAC]]*Tasks[[#This Row],[_Res4Cost]]/Tasks[[#This Row],[_LeafTotalCost]])</f>
        <v>0</v>
      </c>
      <c r="DS22" s="76" t="n">
        <f aca="false">IF(ISNUMBER(Tasks[[#This Row],[% Complete]]),Tasks[[#This Row],[% Complete]],IF(Tasks[[#This Row],[Stage]]="",0,IFERROR(INDEX(stg_Pct,MATCH(Tasks[[#This Row],[Stage]],stg_Name,0)),0)))</f>
        <v>0.25</v>
      </c>
      <c r="DT22" s="45" t="n">
        <f aca="false">IF(NOT(Tasks[[#This Row],[_IsLeaf]]=1),0,IF(N(Tasks[[#This Row],[Actual Finish]])&gt;0,1,MIN(1,Tasks[[#This Row],[_Pct]])))</f>
        <v>0.25</v>
      </c>
      <c r="DU22" s="45" t="n">
        <f aca="false">IF(OR(NOT(Tasks[[#This Row],[_IsLeaf]]=1),Tasks[[#This Row],[_Resource1]]=""),0,IF(ISNA(MATCH(Tasks[[#This Row],[_Resource1]],res_Name,0)),0,N(Tasks[[#This Row],[Duration]])*HoursPerDay*IF(Tasks[[#This Row],[_Units1]]="",DefaultUnits,Tasks[[#This Row],[_Units1]])))</f>
        <v>96</v>
      </c>
      <c r="DV22" s="45" t="n">
        <f aca="false">IF(Tasks[[#This Row],[_LeafWork]]=0,0,Tasks[[#This Row],[_LeafWork]]*IFERROR(INDEX(res_Rate,MATCH(Tasks[[#This Row],[_Resource1]],res_Name,0)),0))</f>
        <v>7680</v>
      </c>
      <c r="DW22" s="45" t="n">
        <f aca="false">Tasks[[#This Row],[_LeafWork]]+Tasks[[#This Row],[_Res2Work]]+Tasks[[#This Row],[_Res3Work]]+Tasks[[#This Row],[_Res4Work]]</f>
        <v>144</v>
      </c>
      <c r="DX22" s="45" t="n">
        <f aca="false">Tasks[[#This Row],[_LeafCost]]+Tasks[[#This Row],[_Res2Cost]]+Tasks[[#This Row],[_Res3Cost]]+Tasks[[#This Row],[_Res4Cost]]</f>
        <v>11280</v>
      </c>
      <c r="DY22" s="45" t="n">
        <f aca="false">IF(Tasks[[#This Row],[_LeafTotalCost]]=0,Tasks[[#This Row],[_LeafAC]],Tasks[[#This Row],[_LeafAC]]*Tasks[[#This Row],[_LeafCost]]/Tasks[[#This Row],[_LeafTotalCost]])</f>
        <v>1920</v>
      </c>
      <c r="DZ22"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2912150</v>
      </c>
      <c r="EA22" s="77" t="n">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2912140</v>
      </c>
      <c r="EB2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2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22"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22" s="45"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EF2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2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22" s="45" t="n">
        <f aca="false">IF(NOT(Tasks[[#This Row],[_IsLeaf]]=1),0,MAX(_xlfn.MAXIFS(Tasks[_Row],Tasks[_Pred1UID],Tasks[[#This Row],[UID]]),_xlfn.MAXIFS(Tasks[_Row],Tasks[_Pred2UID],Tasks[[#This Row],[UID]]),_xlfn.MAXIFS(Tasks[_Row],Tasks[_Pred3UID],Tasks[[#This Row],[UID]]),_xlfn.MAXIFS(Tasks[_Row],Tasks[_Pred4UID],Tasks[[#This Row],[UID]])))</f>
        <v>18</v>
      </c>
      <c r="EI22"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46331</v>
      </c>
      <c r="EJ22"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46331</v>
      </c>
      <c r="EK22" s="74" t="n">
        <f aca="false">IF(NOT(Tasks[[#This Row],[_IsLeaf]]=1),"",IF(N(Tasks[[#This Row],[Duration]])&lt;=0,Tasks[[#This Row],[_LeafLateFinish]],WORKDAY.INTL(Tasks[[#This Row],[_LeafLateFinish]],-(Tasks[[#This Row],[Duration]]-1),WorkWeek,Holidays)))</f>
        <v>46316</v>
      </c>
      <c r="EL22"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M22" s="73" t="b">
        <f aca="false">AND(Tasks[[#This Row],[_IsLeaf]]=1,Tasks[[#This Row],[_LeafProgress]]&lt;1,N(Tasks[[#This Row],[_LeafTotalSlack]])&lt;=CriticalSlackDays)</f>
        <v>1</v>
      </c>
      <c r="EN22" s="45" t="n">
        <f aca="false">IF(AND(Tasks[[#This Row],[_IsLeaf]]=1,Tasks[[#This Row],[_ConstraintCode]]=1,Tasks[[#This Row],[Mode]]&lt;&gt;"Manual",N(Tasks[[#This Row],[Actual Start]])=0),MAX(0,N(Tasks[[#This Row],[Free Slack]])),0)</f>
        <v>0</v>
      </c>
      <c r="EO22" s="74" t="n">
        <f aca="false">IF(NOT(Tasks[[#This Row],[_IsLeaf]]=1),"",IF(Tasks[[#This Row],[_AlapShift]]=0,Tasks[[#This Row],[_LeafCalcStart]],WORKDAY.INTL(Tasks[[#This Row],[_LeafCalcStart]],Tasks[[#This Row],[_AlapShift]],WorkWeek,Holidays)))</f>
        <v>46308</v>
      </c>
      <c r="EP22" s="74" t="n">
        <f aca="false">IF(NOT(Tasks[[#This Row],[_IsLeaf]]=1),"",IF(Tasks[[#This Row],[_AlapShift]]=0,Tasks[[#This Row],[_LeafCalcFinish]],WORKDAY.INTL(Tasks[[#This Row],[_LeafCalcFinish]],Tasks[[#This Row],[_AlapShift]],WorkWeek,Holidays)))</f>
        <v>46323</v>
      </c>
      <c r="EQ22" s="74" t="n">
        <f aca="false">IF(NOT(Tasks[[#This Row],[_IsLeaf]]=1),"",IF(Tasks[[#This Row],[_AlapShift]]=0,Tasks[[#This Row],[_LeafFcstStart]],WORKDAY.INTL(Tasks[[#This Row],[_LeafFcstStart]],Tasks[[#This Row],[_AlapShift]],WorkWeek,Holidays)))</f>
        <v>46314</v>
      </c>
      <c r="ER22" s="74" t="n">
        <f aca="false">IF(NOT(Tasks[[#This Row],[_IsLeaf]]=1),"",IF(Tasks[[#This Row],[_AlapShift]]=0,Tasks[[#This Row],[_LeafFcstFinish]],WORKDAY.INTL(Tasks[[#This Row],[_LeafFcstFinish]],Tasks[[#This Row],[_AlapShift]],WorkWeek,Holidays)))</f>
        <v>46331</v>
      </c>
      <c r="ES22" s="74" t="n">
        <f aca="false">IF(Tasks[[#This Row],[Task Name]]="","",IF(Tasks[[#This Row],[_IsSummary]],MIN(INDEX(Tasks[_ShownCalcStart],Tasks[[#This Row],[_Row]]+1):INDEX(Tasks[_ShownCalcStart],Tasks[[#This Row],[_Row]]+Tasks[[#This Row],[_Descendants]])),Tasks[[#This Row],[_ShownCalcStart]]))</f>
        <v>46308</v>
      </c>
      <c r="ET22" s="74" t="n">
        <f aca="false">IF(Tasks[[#This Row],[Task Name]]="","",IF(Tasks[[#This Row],[_IsSummary]],MAX(INDEX(Tasks[_ShownCalcFinish],Tasks[[#This Row],[_Row]]+1):INDEX(Tasks[_ShownCalcFinish],Tasks[[#This Row],[_Row]]+Tasks[[#This Row],[_Descendants]])),Tasks[[#This Row],[_ShownCalcFinish]]))</f>
        <v>46323</v>
      </c>
      <c r="EU2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2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2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2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2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46307</v>
      </c>
      <c r="EZ2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46308</v>
      </c>
      <c r="FA2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2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2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46314</v>
      </c>
      <c r="FD2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46314</v>
      </c>
      <c r="FE2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2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22" s="45" t="n">
        <f aca="false">IF(AND(Tasks[[#This Row],[_IsLeaf]]=1,Tasks[[#This Row],[_LeafTotalWork]]&gt;0),NETWORKDAYS.INTL(ProjectStart,Tasks[[#This Row],[_ShownFcstStart]],WorkWeek,Holidays),0)</f>
        <v>31</v>
      </c>
      <c r="FH22" s="45" t="n">
        <f aca="false">IF(AND(Tasks[[#This Row],[_IsLeaf]]=1,Tasks[[#This Row],[_LeafTotalWork]]&gt;0),MAX(Tasks[[#This Row],[_StartWorkday]],NETWORKDAYS.INTL(ProjectStart,Tasks[[#This Row],[_ShownFcstFinish]],WorkWeek,Holidays)),0)</f>
        <v>44</v>
      </c>
      <c r="FI22" s="45" t="n">
        <f aca="false">IF(AND(Tasks[[#This Row],[_IsLeaf]]=1,Tasks[[#This Row],[_LeafTotalWork]]&gt;0),Tasks[[#This Row],[_LeafWork]]/(Tasks[[#This Row],[_FinishWorkday]]-Tasks[[#This Row],[_StartWorkday]]+1),0)</f>
        <v>6.85714285714286</v>
      </c>
      <c r="FJ22" s="45" t="n">
        <f aca="false">Tasks[[#This Row],[_WorkPerWorkday]]*(Tasks[[#This Row],[_StartWorkday]]-1)</f>
        <v>205.714285714286</v>
      </c>
      <c r="FK22" s="45" t="n">
        <f aca="false">IF(Tasks[[#This Row],[_IsLeaf]]=1,MAX(N(Tasks[[#This Row],[Duration]]),0.1),0)</f>
        <v>12</v>
      </c>
      <c r="FL22" s="45" t="n">
        <f aca="false">Tasks[[#This Row],[_WeightDur]]*Tasks[[#This Row],[_LeafProgress]]</f>
        <v>3</v>
      </c>
      <c r="FM2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16,13SS+2d</v>
      </c>
      <c r="FN22" s="45" t="str">
        <f aca="false">IF(AND(Tasks[[#This Row],[_IsLeaf]]=1,N(Tasks[[#This Row],[Duration]])=0,Tasks[[#This Row],[_LeafProgress]]&lt;1),Tasks[[#This Row],[_ShownFcstFinish]]+Tasks[[#This Row],[_Row]]/100000,"")</f>
        <v/>
      </c>
      <c r="FO2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0.75</v>
      </c>
      <c r="FP22" s="45" t="n">
        <f aca="false">IF(NOT(Tasks[[#This Row],[_IsLeaf]]=1),0,IF(Tasks[[#This Row],[Baseline Cost]]="",Tasks[[#This Row],[_LeafTotalCost]],N(Tasks[[#This Row],[Baseline Cost]])))</f>
        <v>11280</v>
      </c>
      <c r="FQ22" s="45" t="n">
        <f aca="false">Tasks[[#This Row],[_LeafBudget]]*Tasks[[#This Row],[_PlannedPct]]</f>
        <v>8460</v>
      </c>
      <c r="FR22" s="45" t="n">
        <f aca="false">Tasks[[#This Row],[_LeafBudget]]*Tasks[[#This Row],[_LeafProgress]]</f>
        <v>2820</v>
      </c>
      <c r="FS22" s="45" t="n">
        <f aca="false">IF(NOT(Tasks[[#This Row],[_IsLeaf]]=1),0,IF(Tasks[[#This Row],[Actual Cost]]="",Tasks[[#This Row],[_LeafTotalCost]]*Tasks[[#This Row],[_LeafProgress]],N(Tasks[[#This Row],[Actual Cost]])))</f>
        <v>2820</v>
      </c>
      <c r="FT22" s="45" t="str">
        <f aca="false">IF(Tasks[[#This Row],[Task Name]]="","",LEFT(Tasks[[#This Row],[WBS]],FIND(".",Tasks[[#This Row],[WBS]]&amp;".")-1))</f>
        <v>3</v>
      </c>
      <c r="FU22" s="45" t="str">
        <f aca="false">IF(AND(Tasks[[#This Row],[Task Name]]&lt;&gt;"",Tasks[[#This Row],[_Level]]=1),Tasks[[#This Row],[_Row]],"")</f>
        <v/>
      </c>
      <c r="FV22" s="45" t="str">
        <f aca="false">IF(AND(Tasks[[#This Row],[_IsLeaf]]=1,N(Tasks[[#This Row],[Duration]])=0),Tasks[[#This Row],[Planned Finish]]+Tasks[[#This Row],[_Row]]/100000,"")</f>
        <v/>
      </c>
      <c r="FW22" s="45" t="n">
        <f aca="false">IF(AND(Tasks[[#This Row],[_IsLeaf]]=1,Tasks[[#This Row],[_LeafProgress]]&lt;1,OR(N(Tasks[[#This Row],[Finish Var]])&gt;0,Tasks[[#This Row],[Status]]="Late Start")),MAX(0,Tasks[[#This Row],[Finish Var]])+1-Tasks[[#This Row],[_Row]]/1000000,"")</f>
        <v>6.999983</v>
      </c>
      <c r="FX22" s="45" t="str">
        <f aca="false">IF(AND(Tasks[[#This Row],[_IsLeaf]]=1,N(Tasks[[#This Row],[Actual Start]])=0,Tasks[[#This Row],[_ShownFcstStart]]&gt;=StatusDate,Tasks[[#This Row],[_ShownFcstStart]]&lt;=LookaheadEnd),Tasks[[#This Row],[_ShownFcstStart]]+Tasks[[#This Row],[_Row]]/100000,"")</f>
        <v/>
      </c>
      <c r="FY22" s="77" t="n">
        <f aca="false">IF(AND(Tasks[[#This Row],[_IsLeaf]]=1,Tasks[[#This Row],[_LeafProgress]]&lt;1,Tasks[[#This Row],[_ShownFcstFinish]]&gt;=StatusDate,Tasks[[#This Row],[_ShownFcstFinish]]&lt;=LookaheadEnd),Tasks[[#This Row],[_ShownFcstFinish]]+Tasks[[#This Row],[_Row]]/100000,"")</f>
        <v>46331.00017</v>
      </c>
      <c r="FZ22" s="77" t="n">
        <f aca="false">IF(Tasks[[#This Row],[_LeafCritical]],Tasks[[#This Row],[_ShownFcstStart]]+Tasks[[#This Row],[_Row]]/100000,"")</f>
        <v>46314.00017</v>
      </c>
      <c r="GA22" s="45" t="n">
        <f aca="false">Tasks[[#This Row],[_LeafWork]]*Tasks[[#This Row],[_LeafProgress]]</f>
        <v>24</v>
      </c>
      <c r="GB22" s="74" t="str">
        <f aca="false">IF(AND(Tasks[[#This Row],[_IsLeaf]]=1,Tasks[[#This Row],[_LeafProgress]]&gt;=1),IF(N(Tasks[[#This Row],[Actual Finish]])&gt;0,Tasks[[#This Row],[Actual Finish]],Tasks[[#This Row],[_ShownFcstFinish]]),"")</f>
        <v/>
      </c>
    </row>
    <row r="23" customFormat="false" ht="15" hidden="false" customHeight="false" outlineLevel="2" collapsed="false">
      <c r="A23" s="67" t="n">
        <f aca="false">IF(Tasks[[#This Row],[Task Name]]="","",COUNTA(Tasks[[#Headers],[Task Name]]:Tasks[[#This Row],[Task Name]])-1)</f>
        <v>18</v>
      </c>
      <c r="B23" s="21" t="n">
        <v>18</v>
      </c>
      <c r="C2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3.2.3</v>
      </c>
      <c r="D23" s="21" t="n">
        <v>3</v>
      </c>
      <c r="E23" s="78" t="s">
        <v>539</v>
      </c>
      <c r="F23" s="21" t="n">
        <v>3</v>
      </c>
      <c r="G23" s="22" t="s">
        <v>540</v>
      </c>
      <c r="H23" s="22" t="s">
        <v>541</v>
      </c>
      <c r="I23" s="22"/>
      <c r="J23" s="7"/>
      <c r="K23" s="7"/>
      <c r="L23" s="22" t="s">
        <v>542</v>
      </c>
      <c r="M23" s="58" t="n">
        <f aca="false">IF(Tasks[[#This Row],[Task Name]]="","",IF(Tasks[[#This Row],[_IsSummary]],MIN(INDEX(Tasks[_ShownFcstStart],Tasks[[#This Row],[_Row]]+1):INDEX(Tasks[_ShownFcstStart],Tasks[[#This Row],[_Row]]+Tasks[[#This Row],[_Descendants]])),Tasks[[#This Row],[_ShownFcstStart]]))</f>
        <v>46330</v>
      </c>
      <c r="N23" s="58" t="n">
        <f aca="false">IF(Tasks[[#This Row],[Task Name]]="","",IF(Tasks[[#This Row],[_IsSummary]],MAX(INDEX(Tasks[_ShownFcstFinish],Tasks[[#This Row],[_Row]]+1):INDEX(Tasks[_ShownFcstFinish],Tasks[[#This Row],[_Row]]+Tasks[[#This Row],[_Descendants]])),Tasks[[#This Row],[_ShownFcstFinish]]))</f>
        <v>46332</v>
      </c>
      <c r="O23" s="20" t="str">
        <f aca="false">IF(Tasks[[#This Row],[Task Name]]="","",IF(Tasks[[#This Row],[Progress]]&gt;=1,"Complete",IF(OR(N(Tasks[[#This Row],[Actual Start]])&gt;0,Tasks[[#This Row],[Progress]]&gt;0),IF(Tasks[[#This Row],[Finish Var]]&gt;0,"Behind","In Progress"),IF(Tasks[[#This Row],[Planned Start]]&lt;StatusDate,"Late Start","Not Started"))))</f>
        <v>Not Started</v>
      </c>
      <c r="P23" s="20" t="str">
        <f aca="false">IF(Tasks[[#This Row],[Task Name]]="","",IF(IF(Tasks[[#This Row],[_IsSummary]],COUNTIF(INDEX(Tasks[_LeafCritical],Tasks[[#This Row],[_Row]]+1):INDEX(Tasks[_LeafCritical],Tasks[[#This Row],[_Row]]+Tasks[[#This Row],[_Descendants]]),TRUE())&gt;0,Tasks[[#This Row],[_LeafCritical]]),"Yes",""))</f>
        <v>Yes</v>
      </c>
      <c r="Q2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23" s="67" t="str">
        <f aca="false">IF(Tasks[[#This Row],[Task Name]]="","",IF(Tasks[[#This Row],[_Level]]&lt;=OutlineShowLevel,"Yes","No"))</f>
        <v>Yes</v>
      </c>
      <c r="S23" s="7"/>
      <c r="T23" s="21" t="s">
        <v>195</v>
      </c>
      <c r="U23" s="22"/>
      <c r="V23" s="7"/>
      <c r="W23" s="67" t="n">
        <f aca="false">IF(Tasks[[#This Row],[Task Name]]="","",IF(Tasks[[#This Row],[Finish]]&gt;=Tasks[[#This Row],[Planned Finish]],NETWORKDAYS.INTL(Tasks[[#This Row],[Planned Finish]],Tasks[[#This Row],[Finish]],WorkWeek,Holidays)-1,1-NETWORKDAYS.INTL(Tasks[[#This Row],[Finish]],Tasks[[#This Row],[Planned Finish]],WorkWeek,Holidays)))</f>
        <v>6</v>
      </c>
      <c r="X23" s="58" t="n">
        <f aca="false">IF(Tasks[[#This Row],[Task Name]]="","",IF(N(Tasks[[#This Row],[Baseline Start]])&gt;0,Tasks[[#This Row],[Baseline Start]],Tasks[[#This Row],[_CalcStart]]))</f>
        <v>46322</v>
      </c>
      <c r="Y23" s="58" t="n">
        <f aca="false">IF(Tasks[[#This Row],[Task Name]]="","",IF(N(Tasks[[#This Row],[Baseline Finish]])&gt;0,Tasks[[#This Row],[Baseline Finish]],Tasks[[#This Row],[_CalcFinish]]))</f>
        <v>46324</v>
      </c>
      <c r="Z23" s="67" t="n">
        <f aca="false">IF(Tasks[[#This Row],[Task Name]]="","",IF(Tasks[[#This Row],[Start]]&gt;=Tasks[[#This Row],[Planned Start]],NETWORKDAYS.INTL(Tasks[[#This Row],[Planned Start]],Tasks[[#This Row],[Start]],WorkWeek,Holidays)-1,1-NETWORKDAYS.INTL(Tasks[[#This Row],[Start]],Tasks[[#This Row],[Planned Start]],WorkWeek,Holidays)))</f>
        <v>6</v>
      </c>
      <c r="AA23" s="58" t="n">
        <f aca="false">IF(Tasks[[#This Row],[Task Name]]="","",IF(Tasks[[#This Row],[_IsSummary]],MIN(INDEX(Tasks[_LeafLateStart],Tasks[[#This Row],[_Row]]+1):INDEX(Tasks[_LeafLateStart],Tasks[[#This Row],[_Row]]+Tasks[[#This Row],[_Descendants]])),Tasks[[#This Row],[_LeafLateStart]]))</f>
        <v>46330</v>
      </c>
      <c r="AB23" s="58" t="n">
        <f aca="false">IF(Tasks[[#This Row],[Task Name]]="","",IF(Tasks[[#This Row],[_IsSummary]],MAX(INDEX(Tasks[_LeafLateFinish],Tasks[[#This Row],[_Row]]+1):INDEX(Tasks[_LeafLateFinish],Tasks[[#This Row],[_Row]]+Tasks[[#This Row],[_Descendants]])),Tasks[[#This Row],[_LeafLateFinish]]))</f>
        <v>46332</v>
      </c>
      <c r="AC23" s="67" t="n">
        <f aca="false">IF(Tasks[[#This Row],[Task Name]]="","",IF(Tasks[[#This Row],[_IsSummary]],MIN(INDEX(Tasks[_LeafTotalSlack],Tasks[[#This Row],[_Row]]+1):INDEX(Tasks[_LeafTotalSlack],Tasks[[#This Row],[_Row]]+Tasks[[#This Row],[_Descendants]])),Tasks[[#This Row],[_LeafTotalSlack]]))</f>
        <v>0</v>
      </c>
      <c r="AD23"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2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2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23" s="60"/>
      <c r="AH23"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I2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17FF+1d</v>
      </c>
      <c r="AJ23" s="69" t="n">
        <f aca="false">IF(Tasks[[#This Row],[Task Name]]="","",IF(Tasks[[#This Row],[_IsSummary]],SUM(INDEX(Tasks[_LeafTotalWork],Tasks[[#This Row],[_Row]]+1):INDEX(Tasks[_LeafTotalWork],Tasks[[#This Row],[_Row]]+Tasks[[#This Row],[_Descendants]])),Tasks[[#This Row],[_LeafTotalWork]]))</f>
        <v>12</v>
      </c>
      <c r="AK2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Casey Kim[50%]</v>
      </c>
      <c r="AL23" s="70" t="n">
        <f aca="false">IF(Tasks[[#This Row],[Task Name]]="","",IF(Tasks[[#This Row],[_IsSummary]],SUM(INDEX(Tasks[_LeafTotalCost],Tasks[[#This Row],[_Row]]+1):INDEX(Tasks[_LeafTotalCost],Tasks[[#This Row],[_Row]]+Tasks[[#This Row],[_Descendants]])),Tasks[[#This Row],[_LeafTotalCost]]))</f>
        <v>900</v>
      </c>
      <c r="AM23" s="71"/>
      <c r="AN23" s="20" t="str">
        <f aca="false">IF(OR(Tasks[[#This Row],[Task Name]]="",Tasks[[#This Row],[Baseline Duration]]=""),"",Tasks[[#This Row],[BL Source Duration]]-N(Tasks[[#This Row],[Baseline Duration]]))</f>
        <v/>
      </c>
      <c r="AO23" s="69" t="str">
        <f aca="false">IF(OR(Tasks[[#This Row],[Task Name]]="",Tasks[[#This Row],[Baseline Work]]=""),"",Tasks[[#This Row],[Work]]-N(Tasks[[#This Row],[Baseline Work]]))</f>
        <v/>
      </c>
      <c r="AP23" s="70" t="str">
        <f aca="false">IF(OR(Tasks[[#This Row],[Task Name]]="",Tasks[[#This Row],[Baseline Cost]]=""),"",Tasks[[#This Row],[Cost]]-N(Tasks[[#This Row],[Baseline Cost]]))</f>
        <v/>
      </c>
      <c r="AQ23" s="58" t="n">
        <f aca="false">IF(Tasks[[#This Row],[Task Name]]="","",Tasks[[#This Row],[Start]])</f>
        <v>46330</v>
      </c>
      <c r="AR23" s="58" t="n">
        <f aca="false">IF(Tasks[[#This Row],[Task Name]]="","",Tasks[[#This Row],[Finish]])</f>
        <v>46332</v>
      </c>
      <c r="AS23" s="67" t="n">
        <f aca="false">IF(Tasks[[#This Row],[Task Name]]="","",IF(Tasks[[#This Row],[_IsSummary]],NETWORKDAYS.INTL(Tasks[[#This Row],[Start]],Tasks[[#This Row],[Finish]],WorkWeek,Holidays),N(Tasks[[#This Row],[Duration]])))</f>
        <v>3</v>
      </c>
      <c r="AT23" s="69" t="n">
        <f aca="false">IF(Tasks[[#This Row],[Task Name]]="","",Tasks[[#This Row],[Work]])</f>
        <v>12</v>
      </c>
      <c r="AU23" s="70" t="n">
        <f aca="false">IF(Tasks[[#This Row],[Task Name]]="","",Tasks[[#This Row],[Cost]])</f>
        <v>900</v>
      </c>
      <c r="AV23" s="7"/>
      <c r="AW23" s="7"/>
      <c r="AX23" s="21"/>
      <c r="AY23" s="72"/>
      <c r="AZ23" s="71"/>
      <c r="BA23" s="70" t="n">
        <f aca="false">IF(Tasks[[#This Row],[Task Name]]="","",IF(Tasks[[#This Row],[_IsSummary]],SUM(INDEX(Tasks[_LeafEV],Tasks[[#This Row],[_Row]]+1):INDEX(Tasks[_LeafEV],Tasks[[#This Row],[_Row]]+Tasks[[#This Row],[_Descendants]])),Tasks[[#This Row],[_LeafEV]]))</f>
        <v>0</v>
      </c>
      <c r="BB23" s="70" t="n">
        <f aca="false">IF(Tasks[[#This Row],[Task Name]]="","",IF(Tasks[[#This Row],[_IsSummary]],SUM(INDEX(Tasks[_LeafBudget],Tasks[[#This Row],[_Row]]+1):INDEX(Tasks[_LeafBudget],Tasks[[#This Row],[_Row]]+Tasks[[#This Row],[_Descendants]])),Tasks[[#This Row],[_LeafBudget]]))</f>
        <v>900</v>
      </c>
      <c r="BC23" s="70" t="n">
        <f aca="false">IF(Tasks[[#This Row],[Task Name]]="","",IF(Tasks[[#This Row],[_IsSummary]],SUM(INDEX(Tasks[_LeafPV],Tasks[[#This Row],[_Row]]+1):INDEX(Tasks[_LeafPV],Tasks[[#This Row],[_Row]]+Tasks[[#This Row],[_Descendants]])),Tasks[[#This Row],[_LeafPV]]))</f>
        <v>0</v>
      </c>
      <c r="BD23" s="70" t="n">
        <f aca="false">IF(Tasks[[#This Row],[Task Name]]="","",IF(Tasks[[#This Row],[_IsSummary]],SUM(INDEX(Tasks[_LeafAC],Tasks[[#This Row],[_Row]]+1):INDEX(Tasks[_LeafAC],Tasks[[#This Row],[_Row]]+Tasks[[#This Row],[_Descendants]])),Tasks[[#This Row],[_LeafAC]]))</f>
        <v>0</v>
      </c>
      <c r="BE23" s="45" t="n">
        <f aca="false">IF(Tasks[[#This Row],[Task Name]]="","",MAX(1,N(Tasks[[#This Row],[Level]])))</f>
        <v>3</v>
      </c>
      <c r="BF23" s="45" t="n">
        <f aca="false">ROW()-ROW(Tasks[[#Headers],[ID]])</f>
        <v>18</v>
      </c>
      <c r="BG23" s="45" t="n">
        <f aca="false">IF(OR(Tasks[[#This Row],[Task Name]]="",Tasks[[#This Row],[_Level]]&lt;=1),0,IFERROR(LOOKUP(2,1/(Tasks[[#Headers],[_Level]]:Tasks[[#This Row],[_Level]]=Tasks[[#This Row],[_Level]]-1),ROW(Tasks[[#Headers],[_Level]]:Tasks[[#This Row],[_Level]])),0))</f>
        <v>20</v>
      </c>
      <c r="BH23" s="45" t="n">
        <f aca="false">IFERROR(N(INDEX(Tasks[_Level],Tasks[[#This Row],[_Row]]+1)),0)</f>
        <v>2</v>
      </c>
      <c r="BI23" s="73" t="b">
        <f aca="false">AND(Tasks[[#This Row],[Task Name]]&lt;&gt;"",Tasks[[#This Row],[_NextLevel]]&gt;Tasks[[#This Row],[_Level]])</f>
        <v>0</v>
      </c>
      <c r="BJ23" s="45" t="n">
        <f aca="false">IF(Tasks[[#This Row],[_IsSummary]],COUNTIF(Tasks[WBS],Tasks[[#This Row],[WBS]]&amp;".*"),0)</f>
        <v>0</v>
      </c>
      <c r="BK23" s="45" t="n">
        <f aca="false">IF(AND(Tasks[[#This Row],[Task Name]]&lt;&gt;"",NOT(Tasks[[#This Row],[_IsSummary]])),1,0)</f>
        <v>1</v>
      </c>
      <c r="BL23" s="45" t="n">
        <f aca="false">IF(N(Tasks[[#This Row],[_Pred1UID]])=0,0,IFERROR(MATCH(Tasks[[#This Row],[_Pred1UID]],Tasks[UID],0),-1))</f>
        <v>17</v>
      </c>
      <c r="BM23" s="45" t="n">
        <f aca="false">IF(N(Tasks[[#This Row],[_Pred2UID]])=0,0,IFERROR(MATCH(Tasks[[#This Row],[_Pred2UID]],Tasks[UID],0),-1))</f>
        <v>0</v>
      </c>
      <c r="BN23" s="45" t="n">
        <f aca="false">IF(N(Tasks[[#This Row],[_Pred3UID]])=0,0,IFERROR(MATCH(Tasks[[#This Row],[_Pred3UID]],Tasks[UID],0),-1))</f>
        <v>0</v>
      </c>
      <c r="BO23" s="45" t="n">
        <f aca="false">IF(N(Tasks[[#This Row],[_Pred4UID]])=0,0,IFERROR(MATCH(Tasks[[#This Row],[_Pred4UID]],Tasks[UID],0),-1))</f>
        <v>0</v>
      </c>
      <c r="BP23"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2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23" s="74" t="n">
        <f aca="false">IF(OR(Tasks[[#This Row],[_ConstraintCode]]=2,Tasks[[#This Row],[_ConstraintCode]]=3,Tasks[[#This Row],[_ConstraintCode]]=4,Tasks[[#This Row],[_ConstraintCode]]=6),Tasks[[#This Row],[_ConstraintStart]],0)</f>
        <v>0</v>
      </c>
      <c r="BS23" s="74" t="n">
        <f aca="false">IF(OR(Tasks[[#This Row],[_ConstraintCode]]=2,Tasks[[#This Row],[_ConstraintCode]]=3,Tasks[[#This Row],[_ConstraintCode]]=5,Tasks[[#This Row],[_ConstraintCode]]=7),Tasks[[#This Row],[_ConstraintStart]],2958465)</f>
        <v>2958465</v>
      </c>
      <c r="BT23"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46322</v>
      </c>
      <c r="BU23" s="74" t="n">
        <f aca="false">IF(NOT(Tasks[[#This Row],[_IsLeaf]]=1),"",IF(N(Tasks[[#This Row],[Duration]])&lt;=0,Tasks[[#This Row],[_LeafCalcStart]],WORKDAY.INTL(Tasks[[#This Row],[_LeafCalcStart]],Tasks[[#This Row],[Duration]]-1,WorkWeek,Holidays)))</f>
        <v>46324</v>
      </c>
      <c r="BV23"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46330</v>
      </c>
      <c r="BW23"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46332</v>
      </c>
      <c r="BX23" s="45" t="str">
        <f aca="false">IF(Tasks[[#This Row],[Predecessors]]="","",TRIM(MID(SUBSTITUTE(SUBSTITUTE(SUBSTITUTE(UPPER(Tasks[[#This Row],[Predecessors]]),";",",")," ",""),",",REPT(" ",99)),1,99)))</f>
        <v>17FF+1D</v>
      </c>
      <c r="BY23" s="45" t="n">
        <f aca="false">IF(Tasks[[#This Row],[_Pred1Text]]="","",IFERROR(VALUE(LEFT(Tasks[[#This Row],[_Pred1Text]],MIN(FIND("F",Tasks[[#This Row],[_Pred1Text]]&amp;"F"),FIND("S",Tasks[[#This Row],[_Pred1Text]]&amp;"S"),FIND("+",Tasks[[#This Row],[_Pred1Text]]&amp;"+"),FIND("-",Tasks[[#This Row],[_Pred1Text]]&amp;"-"))-1)),""))</f>
        <v>17</v>
      </c>
      <c r="BZ2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FF</v>
      </c>
      <c r="CA23"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1</v>
      </c>
      <c r="CB23" s="45" t="str">
        <f aca="false">IF(Tasks[[#This Row],[_Pred1Text]]="","",TRIM(MID(SUBSTITUTE(SUBSTITUTE(SUBSTITUTE(UPPER(Tasks[[#This Row],[Predecessors]]),";",",")," ",""),",",REPT(" ",99)),100,99)))</f>
        <v/>
      </c>
      <c r="CC23" s="45" t="str">
        <f aca="false">IF(Tasks[[#This Row],[_Pred2Text]]="","",IFERROR(VALUE(LEFT(Tasks[[#This Row],[_Pred2Text]],MIN(FIND("F",Tasks[[#This Row],[_Pred2Text]]&amp;"F"),FIND("S",Tasks[[#This Row],[_Pred2Text]]&amp;"S"),FIND("+",Tasks[[#This Row],[_Pred2Text]]&amp;"+"),FIND("-",Tasks[[#This Row],[_Pred2Text]]&amp;"-"))-1)),""))</f>
        <v/>
      </c>
      <c r="CD2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2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23" s="45" t="str">
        <f aca="false">IF(Tasks[[#This Row],[_Pred2Text]]="","",TRIM(MID(SUBSTITUTE(SUBSTITUTE(SUBSTITUTE(UPPER(Tasks[[#This Row],[Predecessors]]),";",",")," ",""),",",REPT(" ",99)),199,99)))</f>
        <v/>
      </c>
      <c r="CG23" s="45" t="str">
        <f aca="false">IF(Tasks[[#This Row],[_Pred3Text]]="","",IFERROR(VALUE(LEFT(Tasks[[#This Row],[_Pred3Text]],MIN(FIND("F",Tasks[[#This Row],[_Pred3Text]]&amp;"F"),FIND("S",Tasks[[#This Row],[_Pred3Text]]&amp;"S"),FIND("+",Tasks[[#This Row],[_Pred3Text]]&amp;"+"),FIND("-",Tasks[[#This Row],[_Pred3Text]]&amp;"-"))-1)),""))</f>
        <v/>
      </c>
      <c r="CH2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2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23" s="45" t="str">
        <f aca="false">IF(Tasks[[#This Row],[_Pred3Text]]="","",TRIM(MID(SUBSTITUTE(SUBSTITUTE(SUBSTITUTE(UPPER(Tasks[[#This Row],[Predecessors]]),";",",")," ",""),",",REPT(" ",99)),298,99)))</f>
        <v/>
      </c>
      <c r="CK23" s="45" t="str">
        <f aca="false">IF(Tasks[[#This Row],[_Pred4Text]]="","",IFERROR(VALUE(LEFT(Tasks[[#This Row],[_Pred4Text]],MIN(FIND("F",Tasks[[#This Row],[_Pred4Text]]&amp;"F"),FIND("S",Tasks[[#This Row],[_Pred4Text]]&amp;"S"),FIND("+",Tasks[[#This Row],[_Pred4Text]]&amp;"+"),FIND("-",Tasks[[#This Row],[_Pred4Text]]&amp;"-"))-1)),""))</f>
        <v/>
      </c>
      <c r="CL2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2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23" s="45" t="str">
        <f aca="false">IF(OR(Tasks[[#This Row],[Task Name]]="",Tasks[[#This Row],[Resources]]=""),"",TRIM(MID(SUBSTITUTE(Tasks[[#This Row],[Resources]],",",REPT(" ",99)),1,99)))</f>
        <v>Casey Kim[50%]</v>
      </c>
      <c r="CO23" s="45" t="str">
        <f aca="false">IF(Tasks[[#This Row],[_Res1Text]]="","",TRIM(MID(SUBSTITUTE(Tasks[[#This Row],[Resources]],",",REPT(" ",99)),100,99)))</f>
        <v/>
      </c>
      <c r="CP23" s="45" t="str">
        <f aca="false">IF(Tasks[[#This Row],[_Res2Text]]="","",TRIM(MID(SUBSTITUTE(Tasks[[#This Row],[Resources]],",",REPT(" ",99)),199,99)))</f>
        <v/>
      </c>
      <c r="CQ23" s="45" t="str">
        <f aca="false">IF(Tasks[[#This Row],[_Res3Text]]="","",TRIM(MID(SUBSTITUTE(Tasks[[#This Row],[Resources]],",",REPT(" ",99)),298,99)))</f>
        <v/>
      </c>
      <c r="CR2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Casey Kim</v>
      </c>
      <c r="CS23" s="45" t="n">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0.5</v>
      </c>
      <c r="CT23" s="45" t="n">
        <f aca="false">IF(NOT(Tasks[[#This Row],[_IsLeaf]]=1),0,(Tasks[[#This Row],[_Resource1]]&lt;&gt;"")+(Tasks[[#This Row],[_Res2]]&lt;&gt;"")+(Tasks[[#This Row],[_Res3]]&lt;&gt;"")+(Tasks[[#This Row],[_Res4]]&lt;&gt;""))</f>
        <v>1</v>
      </c>
      <c r="CU2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2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3" s="45" t="n">
        <f aca="false">IF(OR(NOT(Tasks[[#This Row],[_IsLeaf]]=1),Tasks[[#This Row],[_Res2]]=""),0,IF(ISNA(MATCH(Tasks[[#This Row],[_Res2]],res_Name,0)),0,N(Tasks[[#This Row],[Duration]])*HoursPerDay*IF(Tasks[[#This Row],[_Res2Units]]="",DefaultUnits,Tasks[[#This Row],[_Res2Units]])))</f>
        <v>0</v>
      </c>
      <c r="CX23" s="45" t="n">
        <f aca="false">IF(Tasks[[#This Row],[_Res2Work]]=0,0,Tasks[[#This Row],[_Res2Work]]*IFERROR(INDEX(res_Rate,MATCH(Tasks[[#This Row],[_Res2]],res_Name,0)),0))</f>
        <v>0</v>
      </c>
      <c r="CY23" s="45" t="n">
        <f aca="false">IF(AND(AND(Tasks[[#This Row],[_IsLeaf]]=1,Tasks[[#This Row],[_LeafTotalWork]]&gt;0),Tasks[[#This Row],[_Res2Work]]&gt;0),Tasks[[#This Row],[_Res2Work]]/(Tasks[[#This Row],[_FinishWorkday]]-Tasks[[#This Row],[_StartWorkday]]+1),0)</f>
        <v>0</v>
      </c>
      <c r="CZ23" s="45" t="n">
        <f aca="false">Tasks[[#This Row],[_Res2WorkPerWD]]*MAX(0,Tasks[[#This Row],[_StartWorkday]]-1)</f>
        <v>0</v>
      </c>
      <c r="DA23" s="45" t="n">
        <f aca="false">Tasks[[#This Row],[_Res2Work]]*Tasks[[#This Row],[_LeafProgress]]</f>
        <v>0</v>
      </c>
      <c r="DB23" s="45" t="n">
        <f aca="false">IF(Tasks[[#This Row],[_LeafTotalCost]]=0,0,Tasks[[#This Row],[_LeafAC]]*Tasks[[#This Row],[_Res2Cost]]/Tasks[[#This Row],[_LeafTotalCost]])</f>
        <v>0</v>
      </c>
      <c r="DC2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2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23" s="45" t="n">
        <f aca="false">IF(OR(NOT(Tasks[[#This Row],[_IsLeaf]]=1),Tasks[[#This Row],[_Res3]]=""),0,IF(ISNA(MATCH(Tasks[[#This Row],[_Res3]],res_Name,0)),0,N(Tasks[[#This Row],[Duration]])*HoursPerDay*IF(Tasks[[#This Row],[_Res3Units]]="",DefaultUnits,Tasks[[#This Row],[_Res3Units]])))</f>
        <v>0</v>
      </c>
      <c r="DF23" s="45" t="n">
        <f aca="false">IF(Tasks[[#This Row],[_Res3Work]]=0,0,Tasks[[#This Row],[_Res3Work]]*IFERROR(INDEX(res_Rate,MATCH(Tasks[[#This Row],[_Res3]],res_Name,0)),0))</f>
        <v>0</v>
      </c>
      <c r="DG23" s="45" t="n">
        <f aca="false">IF(AND(AND(Tasks[[#This Row],[_IsLeaf]]=1,Tasks[[#This Row],[_LeafTotalWork]]&gt;0),Tasks[[#This Row],[_Res3Work]]&gt;0),Tasks[[#This Row],[_Res3Work]]/(Tasks[[#This Row],[_FinishWorkday]]-Tasks[[#This Row],[_StartWorkday]]+1),0)</f>
        <v>0</v>
      </c>
      <c r="DH23" s="45" t="n">
        <f aca="false">Tasks[[#This Row],[_Res3WorkPerWD]]*MAX(0,Tasks[[#This Row],[_StartWorkday]]-1)</f>
        <v>0</v>
      </c>
      <c r="DI23" s="45" t="n">
        <f aca="false">Tasks[[#This Row],[_Res3Work]]*Tasks[[#This Row],[_LeafProgress]]</f>
        <v>0</v>
      </c>
      <c r="DJ23" s="45" t="n">
        <f aca="false">IF(Tasks[[#This Row],[_LeafTotalCost]]=0,0,Tasks[[#This Row],[_LeafAC]]*Tasks[[#This Row],[_Res3Cost]]/Tasks[[#This Row],[_LeafTotalCost]])</f>
        <v>0</v>
      </c>
      <c r="DK2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2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23" s="45" t="n">
        <f aca="false">IF(OR(NOT(Tasks[[#This Row],[_IsLeaf]]=1),Tasks[[#This Row],[_Res4]]=""),0,IF(ISNA(MATCH(Tasks[[#This Row],[_Res4]],res_Name,0)),0,N(Tasks[[#This Row],[Duration]])*HoursPerDay*IF(Tasks[[#This Row],[_Res4Units]]="",DefaultUnits,Tasks[[#This Row],[_Res4Units]])))</f>
        <v>0</v>
      </c>
      <c r="DN23" s="45" t="n">
        <f aca="false">IF(Tasks[[#This Row],[_Res4Work]]=0,0,Tasks[[#This Row],[_Res4Work]]*IFERROR(INDEX(res_Rate,MATCH(Tasks[[#This Row],[_Res4]],res_Name,0)),0))</f>
        <v>0</v>
      </c>
      <c r="DO23" s="45" t="n">
        <f aca="false">IF(AND(AND(Tasks[[#This Row],[_IsLeaf]]=1,Tasks[[#This Row],[_LeafTotalWork]]&gt;0),Tasks[[#This Row],[_Res4Work]]&gt;0),Tasks[[#This Row],[_Res4Work]]/(Tasks[[#This Row],[_FinishWorkday]]-Tasks[[#This Row],[_StartWorkday]]+1),0)</f>
        <v>0</v>
      </c>
      <c r="DP23" s="45" t="n">
        <f aca="false">Tasks[[#This Row],[_Res4WorkPerWD]]*MAX(0,Tasks[[#This Row],[_StartWorkday]]-1)</f>
        <v>0</v>
      </c>
      <c r="DQ23" s="45" t="n">
        <f aca="false">Tasks[[#This Row],[_Res4Work]]*Tasks[[#This Row],[_LeafProgress]]</f>
        <v>0</v>
      </c>
      <c r="DR23" s="45" t="n">
        <f aca="false">IF(Tasks[[#This Row],[_LeafTotalCost]]=0,0,Tasks[[#This Row],[_LeafAC]]*Tasks[[#This Row],[_Res4Cost]]/Tasks[[#This Row],[_LeafTotalCost]])</f>
        <v>0</v>
      </c>
      <c r="DS23" s="45" t="n">
        <f aca="false">IF(ISNUMBER(Tasks[[#This Row],[% Complete]]),Tasks[[#This Row],[% Complete]],IF(Tasks[[#This Row],[Stage]]="",0,IFERROR(INDEX(stg_Pct,MATCH(Tasks[[#This Row],[Stage]],stg_Name,0)),0)))</f>
        <v>0</v>
      </c>
      <c r="DT23" s="45" t="n">
        <f aca="false">IF(NOT(Tasks[[#This Row],[_IsLeaf]]=1),0,IF(N(Tasks[[#This Row],[Actual Finish]])&gt;0,1,MIN(1,Tasks[[#This Row],[_Pct]])))</f>
        <v>0</v>
      </c>
      <c r="DU23" s="45" t="n">
        <f aca="false">IF(OR(NOT(Tasks[[#This Row],[_IsLeaf]]=1),Tasks[[#This Row],[_Resource1]]=""),0,IF(ISNA(MATCH(Tasks[[#This Row],[_Resource1]],res_Name,0)),0,N(Tasks[[#This Row],[Duration]])*HoursPerDay*IF(Tasks[[#This Row],[_Units1]]="",DefaultUnits,Tasks[[#This Row],[_Units1]])))</f>
        <v>12</v>
      </c>
      <c r="DV23" s="45" t="n">
        <f aca="false">IF(Tasks[[#This Row],[_LeafWork]]=0,0,Tasks[[#This Row],[_LeafWork]]*IFERROR(INDEX(res_Rate,MATCH(Tasks[[#This Row],[_Resource1]],res_Name,0)),0))</f>
        <v>900</v>
      </c>
      <c r="DW23" s="45" t="n">
        <f aca="false">Tasks[[#This Row],[_LeafWork]]+Tasks[[#This Row],[_Res2Work]]+Tasks[[#This Row],[_Res3Work]]+Tasks[[#This Row],[_Res4Work]]</f>
        <v>12</v>
      </c>
      <c r="DX23" s="45" t="n">
        <f aca="false">Tasks[[#This Row],[_LeafCost]]+Tasks[[#This Row],[_Res2Cost]]+Tasks[[#This Row],[_Res3Cost]]+Tasks[[#This Row],[_Res4Cost]]</f>
        <v>900</v>
      </c>
      <c r="DY23" s="45" t="n">
        <f aca="false">IF(Tasks[[#This Row],[_LeafTotalCost]]=0,Tasks[[#This Row],[_LeafAC]],Tasks[[#This Row],[_LeafAC]]*Tasks[[#This Row],[_LeafCost]]/Tasks[[#This Row],[_LeafTotalCost]])</f>
        <v>0</v>
      </c>
      <c r="DZ23"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2912134</v>
      </c>
      <c r="EA2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2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2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23"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2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2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2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23" s="45" t="n">
        <f aca="false">IF(NOT(Tasks[[#This Row],[_IsLeaf]]=1),0,MAX(_xlfn.MAXIFS(Tasks[_Row],Tasks[_Pred1UID],Tasks[[#This Row],[UID]]),_xlfn.MAXIFS(Tasks[_Row],Tasks[_Pred2UID],Tasks[[#This Row],[UID]]),_xlfn.MAXIFS(Tasks[_Row],Tasks[_Pred3UID],Tasks[[#This Row],[UID]]),_xlfn.MAXIFS(Tasks[_Row],Tasks[_Pred4UID],Tasks[[#This Row],[UID]])))</f>
        <v>19</v>
      </c>
      <c r="EI23"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46332</v>
      </c>
      <c r="EJ23"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EK23" s="74" t="n">
        <f aca="false">IF(NOT(Tasks[[#This Row],[_IsLeaf]]=1),"",IF(N(Tasks[[#This Row],[Duration]])&lt;=0,Tasks[[#This Row],[_LeafLateFinish]],WORKDAY.INTL(Tasks[[#This Row],[_LeafLateFinish]],-(Tasks[[#This Row],[Duration]]-1),WorkWeek,Holidays)))</f>
        <v>46330</v>
      </c>
      <c r="EL23"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M23" s="73" t="b">
        <f aca="false">AND(Tasks[[#This Row],[_IsLeaf]]=1,Tasks[[#This Row],[_LeafProgress]]&lt;1,N(Tasks[[#This Row],[_LeafTotalSlack]])&lt;=CriticalSlackDays)</f>
        <v>1</v>
      </c>
      <c r="EN23" s="45" t="n">
        <f aca="false">IF(AND(Tasks[[#This Row],[_IsLeaf]]=1,Tasks[[#This Row],[_ConstraintCode]]=1,Tasks[[#This Row],[Mode]]&lt;&gt;"Manual",N(Tasks[[#This Row],[Actual Start]])=0),MAX(0,N(Tasks[[#This Row],[Free Slack]])),0)</f>
        <v>0</v>
      </c>
      <c r="EO23" s="74" t="n">
        <f aca="false">IF(NOT(Tasks[[#This Row],[_IsLeaf]]=1),"",IF(Tasks[[#This Row],[_AlapShift]]=0,Tasks[[#This Row],[_LeafCalcStart]],WORKDAY.INTL(Tasks[[#This Row],[_LeafCalcStart]],Tasks[[#This Row],[_AlapShift]],WorkWeek,Holidays)))</f>
        <v>46322</v>
      </c>
      <c r="EP23" s="74" t="n">
        <f aca="false">IF(NOT(Tasks[[#This Row],[_IsLeaf]]=1),"",IF(Tasks[[#This Row],[_AlapShift]]=0,Tasks[[#This Row],[_LeafCalcFinish]],WORKDAY.INTL(Tasks[[#This Row],[_LeafCalcFinish]],Tasks[[#This Row],[_AlapShift]],WorkWeek,Holidays)))</f>
        <v>46324</v>
      </c>
      <c r="EQ23" s="74" t="n">
        <f aca="false">IF(NOT(Tasks[[#This Row],[_IsLeaf]]=1),"",IF(Tasks[[#This Row],[_AlapShift]]=0,Tasks[[#This Row],[_LeafFcstStart]],WORKDAY.INTL(Tasks[[#This Row],[_LeafFcstStart]],Tasks[[#This Row],[_AlapShift]],WorkWeek,Holidays)))</f>
        <v>46330</v>
      </c>
      <c r="ER23" s="74" t="n">
        <f aca="false">IF(NOT(Tasks[[#This Row],[_IsLeaf]]=1),"",IF(Tasks[[#This Row],[_AlapShift]]=0,Tasks[[#This Row],[_LeafFcstFinish]],WORKDAY.INTL(Tasks[[#This Row],[_LeafFcstFinish]],Tasks[[#This Row],[_AlapShift]],WorkWeek,Holidays)))</f>
        <v>46332</v>
      </c>
      <c r="ES23" s="74" t="n">
        <f aca="false">IF(Tasks[[#This Row],[Task Name]]="","",IF(Tasks[[#This Row],[_IsSummary]],MIN(INDEX(Tasks[_ShownCalcStart],Tasks[[#This Row],[_Row]]+1):INDEX(Tasks[_ShownCalcStart],Tasks[[#This Row],[_Row]]+Tasks[[#This Row],[_Descendants]])),Tasks[[#This Row],[_ShownCalcStart]]))</f>
        <v>46322</v>
      </c>
      <c r="ET23" s="74" t="n">
        <f aca="false">IF(Tasks[[#This Row],[Task Name]]="","",IF(Tasks[[#This Row],[_IsSummary]],MAX(INDEX(Tasks[_ShownCalcFinish],Tasks[[#This Row],[_Row]]+1):INDEX(Tasks[_ShownCalcFinish],Tasks[[#This Row],[_Row]]+Tasks[[#This Row],[_Descendants]])),Tasks[[#This Row],[_ShownCalcFinish]]))</f>
        <v>46324</v>
      </c>
      <c r="EU2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2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2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2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2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46322</v>
      </c>
      <c r="EZ2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2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2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2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46330</v>
      </c>
      <c r="FD2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2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2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23" s="45" t="n">
        <f aca="false">IF(AND(Tasks[[#This Row],[_IsLeaf]]=1,Tasks[[#This Row],[_LeafTotalWork]]&gt;0),NETWORKDAYS.INTL(ProjectStart,Tasks[[#This Row],[_ShownFcstStart]],WorkWeek,Holidays),0)</f>
        <v>43</v>
      </c>
      <c r="FH23" s="45" t="n">
        <f aca="false">IF(AND(Tasks[[#This Row],[_IsLeaf]]=1,Tasks[[#This Row],[_LeafTotalWork]]&gt;0),MAX(Tasks[[#This Row],[_StartWorkday]],NETWORKDAYS.INTL(ProjectStart,Tasks[[#This Row],[_ShownFcstFinish]],WorkWeek,Holidays)),0)</f>
        <v>45</v>
      </c>
      <c r="FI23" s="45" t="n">
        <f aca="false">IF(AND(Tasks[[#This Row],[_IsLeaf]]=1,Tasks[[#This Row],[_LeafTotalWork]]&gt;0),Tasks[[#This Row],[_LeafWork]]/(Tasks[[#This Row],[_FinishWorkday]]-Tasks[[#This Row],[_StartWorkday]]+1),0)</f>
        <v>4</v>
      </c>
      <c r="FJ23" s="45" t="n">
        <f aca="false">Tasks[[#This Row],[_WorkPerWorkday]]*(Tasks[[#This Row],[_StartWorkday]]-1)</f>
        <v>168</v>
      </c>
      <c r="FK23" s="45" t="n">
        <f aca="false">IF(Tasks[[#This Row],[_IsLeaf]]=1,MAX(N(Tasks[[#This Row],[Duration]]),0.1),0)</f>
        <v>3</v>
      </c>
      <c r="FL23" s="45" t="n">
        <f aca="false">Tasks[[#This Row],[_WeightDur]]*Tasks[[#This Row],[_LeafProgress]]</f>
        <v>0</v>
      </c>
      <c r="FM2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17FF+1d</v>
      </c>
      <c r="FN23" s="45" t="str">
        <f aca="false">IF(AND(Tasks[[#This Row],[_IsLeaf]]=1,N(Tasks[[#This Row],[Duration]])=0,Tasks[[#This Row],[_LeafProgress]]&lt;1),Tasks[[#This Row],[_ShownFcstFinish]]+Tasks[[#This Row],[_Row]]/100000,"")</f>
        <v/>
      </c>
      <c r="FO2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23" s="45" t="n">
        <f aca="false">IF(NOT(Tasks[[#This Row],[_IsLeaf]]=1),0,IF(Tasks[[#This Row],[Baseline Cost]]="",Tasks[[#This Row],[_LeafTotalCost]],N(Tasks[[#This Row],[Baseline Cost]])))</f>
        <v>900</v>
      </c>
      <c r="FQ23" s="45" t="n">
        <f aca="false">Tasks[[#This Row],[_LeafBudget]]*Tasks[[#This Row],[_PlannedPct]]</f>
        <v>0</v>
      </c>
      <c r="FR23" s="45" t="n">
        <f aca="false">Tasks[[#This Row],[_LeafBudget]]*Tasks[[#This Row],[_LeafProgress]]</f>
        <v>0</v>
      </c>
      <c r="FS23" s="45" t="n">
        <f aca="false">IF(NOT(Tasks[[#This Row],[_IsLeaf]]=1),0,IF(Tasks[[#This Row],[Actual Cost]]="",Tasks[[#This Row],[_LeafTotalCost]]*Tasks[[#This Row],[_LeafProgress]],N(Tasks[[#This Row],[Actual Cost]])))</f>
        <v>0</v>
      </c>
      <c r="FT23" s="45" t="str">
        <f aca="false">IF(Tasks[[#This Row],[Task Name]]="","",LEFT(Tasks[[#This Row],[WBS]],FIND(".",Tasks[[#This Row],[WBS]]&amp;".")-1))</f>
        <v>3</v>
      </c>
      <c r="FU23" s="45" t="str">
        <f aca="false">IF(AND(Tasks[[#This Row],[Task Name]]&lt;&gt;"",Tasks[[#This Row],[_Level]]=1),Tasks[[#This Row],[_Row]],"")</f>
        <v/>
      </c>
      <c r="FV23" s="45" t="str">
        <f aca="false">IF(AND(Tasks[[#This Row],[_IsLeaf]]=1,N(Tasks[[#This Row],[Duration]])=0),Tasks[[#This Row],[Planned Finish]]+Tasks[[#This Row],[_Row]]/100000,"")</f>
        <v/>
      </c>
      <c r="FW23" s="45" t="n">
        <f aca="false">IF(AND(Tasks[[#This Row],[_IsLeaf]]=1,Tasks[[#This Row],[_LeafProgress]]&lt;1,OR(N(Tasks[[#This Row],[Finish Var]])&gt;0,Tasks[[#This Row],[Status]]="Late Start")),MAX(0,Tasks[[#This Row],[Finish Var]])+1-Tasks[[#This Row],[_Row]]/1000000,"")</f>
        <v>6.999982</v>
      </c>
      <c r="FX23" s="77" t="n">
        <f aca="false">IF(AND(Tasks[[#This Row],[_IsLeaf]]=1,N(Tasks[[#This Row],[Actual Start]])=0,Tasks[[#This Row],[_ShownFcstStart]]&gt;=StatusDate,Tasks[[#This Row],[_ShownFcstStart]]&lt;=LookaheadEnd),Tasks[[#This Row],[_ShownFcstStart]]+Tasks[[#This Row],[_Row]]/100000,"")</f>
        <v>46330.00018</v>
      </c>
      <c r="FY23" s="77" t="n">
        <f aca="false">IF(AND(Tasks[[#This Row],[_IsLeaf]]=1,Tasks[[#This Row],[_LeafProgress]]&lt;1,Tasks[[#This Row],[_ShownFcstFinish]]&gt;=StatusDate,Tasks[[#This Row],[_ShownFcstFinish]]&lt;=LookaheadEnd),Tasks[[#This Row],[_ShownFcstFinish]]+Tasks[[#This Row],[_Row]]/100000,"")</f>
        <v>46332.00018</v>
      </c>
      <c r="FZ23" s="77" t="n">
        <f aca="false">IF(Tasks[[#This Row],[_LeafCritical]],Tasks[[#This Row],[_ShownFcstStart]]+Tasks[[#This Row],[_Row]]/100000,"")</f>
        <v>46330.00018</v>
      </c>
      <c r="GA23" s="45" t="n">
        <f aca="false">Tasks[[#This Row],[_LeafWork]]*Tasks[[#This Row],[_LeafProgress]]</f>
        <v>0</v>
      </c>
      <c r="GB23" s="74" t="str">
        <f aca="false">IF(AND(Tasks[[#This Row],[_IsLeaf]]=1,Tasks[[#This Row],[_LeafProgress]]&gt;=1),IF(N(Tasks[[#This Row],[Actual Finish]])&gt;0,Tasks[[#This Row],[Actual Finish]],Tasks[[#This Row],[_ShownFcstFinish]]),"")</f>
        <v/>
      </c>
    </row>
    <row r="24" customFormat="false" ht="15" hidden="false" customHeight="false" outlineLevel="1" collapsed="false">
      <c r="A24" s="67" t="n">
        <f aca="false">IF(Tasks[[#This Row],[Task Name]]="","",COUNTA(Tasks[[#Headers],[Task Name]]:Tasks[[#This Row],[Task Name]])-1)</f>
        <v>19</v>
      </c>
      <c r="B24" s="21" t="n">
        <v>19</v>
      </c>
      <c r="C2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D24" s="21" t="n">
        <v>2</v>
      </c>
      <c r="E24" s="75" t="s">
        <v>543</v>
      </c>
      <c r="F24" s="21" t="n">
        <v>0</v>
      </c>
      <c r="G24" s="22" t="s">
        <v>544</v>
      </c>
      <c r="H24" s="22"/>
      <c r="I24" s="22"/>
      <c r="J24" s="7"/>
      <c r="K24" s="7"/>
      <c r="L24" s="22" t="s">
        <v>545</v>
      </c>
      <c r="M24" s="58" t="n">
        <f aca="false">IF(Tasks[[#This Row],[Task Name]]="","",IF(Tasks[[#This Row],[_IsSummary]],MIN(INDEX(Tasks[_ShownFcstStart],Tasks[[#This Row],[_Row]]+1):INDEX(Tasks[_ShownFcstStart],Tasks[[#This Row],[_Row]]+Tasks[[#This Row],[_Descendants]])),Tasks[[#This Row],[_ShownFcstStart]]))</f>
        <v>46335</v>
      </c>
      <c r="N24" s="58" t="n">
        <f aca="false">IF(Tasks[[#This Row],[Task Name]]="","",IF(Tasks[[#This Row],[_IsSummary]],MAX(INDEX(Tasks[_ShownFcstFinish],Tasks[[#This Row],[_Row]]+1):INDEX(Tasks[_ShownFcstFinish],Tasks[[#This Row],[_Row]]+Tasks[[#This Row],[_Descendants]])),Tasks[[#This Row],[_ShownFcstFinish]]))</f>
        <v>46335</v>
      </c>
      <c r="O24" s="20" t="str">
        <f aca="false">IF(Tasks[[#This Row],[Task Name]]="","",IF(Tasks[[#This Row],[Progress]]&gt;=1,"Complete",IF(OR(N(Tasks[[#This Row],[Actual Start]])&gt;0,Tasks[[#This Row],[Progress]]&gt;0),IF(Tasks[[#This Row],[Finish Var]]&gt;0,"Behind","In Progress"),IF(Tasks[[#This Row],[Planned Start]]&lt;StatusDate,"Late Start","Not Started"))))</f>
        <v>Not Started</v>
      </c>
      <c r="P24" s="20" t="str">
        <f aca="false">IF(Tasks[[#This Row],[Task Name]]="","",IF(IF(Tasks[[#This Row],[_IsSummary]],COUNTIF(INDEX(Tasks[_LeafCritical],Tasks[[#This Row],[_Row]]+1):INDEX(Tasks[_LeafCritical],Tasks[[#This Row],[_Row]]+Tasks[[#This Row],[_Descendants]]),TRUE())&gt;0,Tasks[[#This Row],[_LeafCritical]]),"Yes",""))</f>
        <v>Yes</v>
      </c>
      <c r="Q2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Misses its deadline (late by 1d).</v>
      </c>
      <c r="R24" s="67" t="str">
        <f aca="false">IF(Tasks[[#This Row],[Task Name]]="","",IF(Tasks[[#This Row],[_Level]]&lt;=OutlineShowLevel,"Yes","No"))</f>
        <v>Yes</v>
      </c>
      <c r="S24" s="7" t="n">
        <v>46332</v>
      </c>
      <c r="T24" s="21" t="s">
        <v>195</v>
      </c>
      <c r="U24" s="22"/>
      <c r="V24" s="7"/>
      <c r="W24" s="67" t="n">
        <f aca="false">IF(Tasks[[#This Row],[Task Name]]="","",IF(Tasks[[#This Row],[Finish]]&gt;=Tasks[[#This Row],[Planned Finish]],NETWORKDAYS.INTL(Tasks[[#This Row],[Planned Finish]],Tasks[[#This Row],[Finish]],WorkWeek,Holidays)-1,1-NETWORKDAYS.INTL(Tasks[[#This Row],[Finish]],Tasks[[#This Row],[Planned Finish]],WorkWeek,Holidays)))</f>
        <v>6</v>
      </c>
      <c r="X24" s="58" t="n">
        <f aca="false">IF(Tasks[[#This Row],[Task Name]]="","",IF(N(Tasks[[#This Row],[Baseline Start]])&gt;0,Tasks[[#This Row],[Baseline Start]],Tasks[[#This Row],[_CalcStart]]))</f>
        <v>46325</v>
      </c>
      <c r="Y24" s="58" t="n">
        <f aca="false">IF(Tasks[[#This Row],[Task Name]]="","",IF(N(Tasks[[#This Row],[Baseline Finish]])&gt;0,Tasks[[#This Row],[Baseline Finish]],Tasks[[#This Row],[_CalcFinish]]))</f>
        <v>46325</v>
      </c>
      <c r="Z24" s="67" t="n">
        <f aca="false">IF(Tasks[[#This Row],[Task Name]]="","",IF(Tasks[[#This Row],[Start]]&gt;=Tasks[[#This Row],[Planned Start]],NETWORKDAYS.INTL(Tasks[[#This Row],[Planned Start]],Tasks[[#This Row],[Start]],WorkWeek,Holidays)-1,1-NETWORKDAYS.INTL(Tasks[[#This Row],[Start]],Tasks[[#This Row],[Planned Start]],WorkWeek,Holidays)))</f>
        <v>6</v>
      </c>
      <c r="AA24" s="58" t="n">
        <f aca="false">IF(Tasks[[#This Row],[Task Name]]="","",IF(Tasks[[#This Row],[_IsSummary]],MIN(INDEX(Tasks[_LeafLateStart],Tasks[[#This Row],[_Row]]+1):INDEX(Tasks[_LeafLateStart],Tasks[[#This Row],[_Row]]+Tasks[[#This Row],[_Descendants]])),Tasks[[#This Row],[_LeafLateStart]]))</f>
        <v>46332</v>
      </c>
      <c r="AB24" s="58" t="n">
        <f aca="false">IF(Tasks[[#This Row],[Task Name]]="","",IF(Tasks[[#This Row],[_IsSummary]],MAX(INDEX(Tasks[_LeafLateFinish],Tasks[[#This Row],[_Row]]+1):INDEX(Tasks[_LeafLateFinish],Tasks[[#This Row],[_Row]]+Tasks[[#This Row],[_Descendants]])),Tasks[[#This Row],[_LeafLateFinish]]))</f>
        <v>46332</v>
      </c>
      <c r="AC24" s="67" t="n">
        <f aca="false">IF(Tasks[[#This Row],[Task Name]]="","",IF(Tasks[[#This Row],[_IsSummary]],MIN(INDEX(Tasks[_LeafTotalSlack],Tasks[[#This Row],[_Row]]+1):INDEX(Tasks[_LeafTotalSlack],Tasks[[#This Row],[_Row]]+Tasks[[#This Row],[_Descendants]])),Tasks[[#This Row],[_LeafTotalSlack]]))</f>
        <v>-1</v>
      </c>
      <c r="AD24"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-1</v>
      </c>
      <c r="AE2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Late by 1d</v>
      </c>
      <c r="AF2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24" s="60"/>
      <c r="AH24"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I2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14,18</v>
      </c>
      <c r="AJ24" s="69" t="n">
        <f aca="false">IF(Tasks[[#This Row],[Task Name]]="","",IF(Tasks[[#This Row],[_IsSummary]],SUM(INDEX(Tasks[_LeafTotalWork],Tasks[[#This Row],[_Row]]+1):INDEX(Tasks[_LeafTotalWork],Tasks[[#This Row],[_Row]]+Tasks[[#This Row],[_Descendants]])),Tasks[[#This Row],[_LeafTotalWork]]))</f>
        <v>0</v>
      </c>
      <c r="AK2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24" s="70" t="n">
        <f aca="false">IF(Tasks[[#This Row],[Task Name]]="","",IF(Tasks[[#This Row],[_IsSummary]],SUM(INDEX(Tasks[_LeafTotalCost],Tasks[[#This Row],[_Row]]+1):INDEX(Tasks[_LeafTotalCost],Tasks[[#This Row],[_Row]]+Tasks[[#This Row],[_Descendants]])),Tasks[[#This Row],[_LeafTotalCost]]))</f>
        <v>0</v>
      </c>
      <c r="AM24" s="71"/>
      <c r="AN24" s="20" t="str">
        <f aca="false">IF(OR(Tasks[[#This Row],[Task Name]]="",Tasks[[#This Row],[Baseline Duration]]=""),"",Tasks[[#This Row],[BL Source Duration]]-N(Tasks[[#This Row],[Baseline Duration]]))</f>
        <v/>
      </c>
      <c r="AO24" s="69" t="str">
        <f aca="false">IF(OR(Tasks[[#This Row],[Task Name]]="",Tasks[[#This Row],[Baseline Work]]=""),"",Tasks[[#This Row],[Work]]-N(Tasks[[#This Row],[Baseline Work]]))</f>
        <v/>
      </c>
      <c r="AP24" s="70" t="str">
        <f aca="false">IF(OR(Tasks[[#This Row],[Task Name]]="",Tasks[[#This Row],[Baseline Cost]]=""),"",Tasks[[#This Row],[Cost]]-N(Tasks[[#This Row],[Baseline Cost]]))</f>
        <v/>
      </c>
      <c r="AQ24" s="58" t="n">
        <f aca="false">IF(Tasks[[#This Row],[Task Name]]="","",Tasks[[#This Row],[Start]])</f>
        <v>46335</v>
      </c>
      <c r="AR24" s="58" t="n">
        <f aca="false">IF(Tasks[[#This Row],[Task Name]]="","",Tasks[[#This Row],[Finish]])</f>
        <v>46335</v>
      </c>
      <c r="AS24" s="67" t="n">
        <f aca="false">IF(Tasks[[#This Row],[Task Name]]="","",IF(Tasks[[#This Row],[_IsSummary]],NETWORKDAYS.INTL(Tasks[[#This Row],[Start]],Tasks[[#This Row],[Finish]],WorkWeek,Holidays),N(Tasks[[#This Row],[Duration]])))</f>
        <v>0</v>
      </c>
      <c r="AT24" s="69" t="n">
        <f aca="false">IF(Tasks[[#This Row],[Task Name]]="","",Tasks[[#This Row],[Work]])</f>
        <v>0</v>
      </c>
      <c r="AU24" s="70" t="n">
        <f aca="false">IF(Tasks[[#This Row],[Task Name]]="","",Tasks[[#This Row],[Cost]])</f>
        <v>0</v>
      </c>
      <c r="AV24" s="7"/>
      <c r="AW24" s="7"/>
      <c r="AX24" s="21"/>
      <c r="AY24" s="72"/>
      <c r="AZ24" s="71"/>
      <c r="BA24" s="70" t="n">
        <f aca="false">IF(Tasks[[#This Row],[Task Name]]="","",IF(Tasks[[#This Row],[_IsSummary]],SUM(INDEX(Tasks[_LeafEV],Tasks[[#This Row],[_Row]]+1):INDEX(Tasks[_LeafEV],Tasks[[#This Row],[_Row]]+Tasks[[#This Row],[_Descendants]])),Tasks[[#This Row],[_LeafEV]]))</f>
        <v>0</v>
      </c>
      <c r="BB24" s="70" t="n">
        <f aca="false">IF(Tasks[[#This Row],[Task Name]]="","",IF(Tasks[[#This Row],[_IsSummary]],SUM(INDEX(Tasks[_LeafBudget],Tasks[[#This Row],[_Row]]+1):INDEX(Tasks[_LeafBudget],Tasks[[#This Row],[_Row]]+Tasks[[#This Row],[_Descendants]])),Tasks[[#This Row],[_LeafBudget]]))</f>
        <v>0</v>
      </c>
      <c r="BC24" s="70" t="n">
        <f aca="false">IF(Tasks[[#This Row],[Task Name]]="","",IF(Tasks[[#This Row],[_IsSummary]],SUM(INDEX(Tasks[_LeafPV],Tasks[[#This Row],[_Row]]+1):INDEX(Tasks[_LeafPV],Tasks[[#This Row],[_Row]]+Tasks[[#This Row],[_Descendants]])),Tasks[[#This Row],[_LeafPV]]))</f>
        <v>0</v>
      </c>
      <c r="BD24" s="70" t="n">
        <f aca="false">IF(Tasks[[#This Row],[Task Name]]="","",IF(Tasks[[#This Row],[_IsSummary]],SUM(INDEX(Tasks[_LeafAC],Tasks[[#This Row],[_Row]]+1):INDEX(Tasks[_LeafAC],Tasks[[#This Row],[_Row]]+Tasks[[#This Row],[_Descendants]])),Tasks[[#This Row],[_LeafAC]]))</f>
        <v>0</v>
      </c>
      <c r="BE24" s="45" t="n">
        <f aca="false">IF(Tasks[[#This Row],[Task Name]]="","",MAX(1,N(Tasks[[#This Row],[Level]])))</f>
        <v>2</v>
      </c>
      <c r="BF24" s="45" t="n">
        <f aca="false">ROW()-ROW(Tasks[[#Headers],[ID]])</f>
        <v>19</v>
      </c>
      <c r="BG24" s="45" t="n">
        <f aca="false">IF(OR(Tasks[[#This Row],[Task Name]]="",Tasks[[#This Row],[_Level]]&lt;=1),0,IFERROR(LOOKUP(2,1/(Tasks[[#Headers],[_Level]]:Tasks[[#This Row],[_Level]]=Tasks[[#This Row],[_Level]]-1),ROW(Tasks[[#Headers],[_Level]]:Tasks[[#This Row],[_Level]])),0))</f>
        <v>15</v>
      </c>
      <c r="BH24" s="45" t="n">
        <f aca="false">IFERROR(N(INDEX(Tasks[_Level],Tasks[[#This Row],[_Row]]+1)),0)</f>
        <v>1</v>
      </c>
      <c r="BI24" s="73" t="b">
        <f aca="false">AND(Tasks[[#This Row],[Task Name]]&lt;&gt;"",Tasks[[#This Row],[_NextLevel]]&gt;Tasks[[#This Row],[_Level]])</f>
        <v>0</v>
      </c>
      <c r="BJ24" s="45" t="n">
        <f aca="false">IF(Tasks[[#This Row],[_IsSummary]],COUNTIF(Tasks[WBS],Tasks[[#This Row],[WBS]]&amp;".*"),0)</f>
        <v>0</v>
      </c>
      <c r="BK24" s="45" t="n">
        <f aca="false">IF(AND(Tasks[[#This Row],[Task Name]]&lt;&gt;"",NOT(Tasks[[#This Row],[_IsSummary]])),1,0)</f>
        <v>1</v>
      </c>
      <c r="BL24" s="45" t="n">
        <f aca="false">IF(N(Tasks[[#This Row],[_Pred1UID]])=0,0,IFERROR(MATCH(Tasks[[#This Row],[_Pred1UID]],Tasks[UID],0),-1))</f>
        <v>14</v>
      </c>
      <c r="BM24" s="45" t="n">
        <f aca="false">IF(N(Tasks[[#This Row],[_Pred2UID]])=0,0,IFERROR(MATCH(Tasks[[#This Row],[_Pred2UID]],Tasks[UID],0),-1))</f>
        <v>18</v>
      </c>
      <c r="BN24" s="45" t="n">
        <f aca="false">IF(N(Tasks[[#This Row],[_Pred3UID]])=0,0,IFERROR(MATCH(Tasks[[#This Row],[_Pred3UID]],Tasks[UID],0),-1))</f>
        <v>0</v>
      </c>
      <c r="BO24" s="45" t="n">
        <f aca="false">IF(N(Tasks[[#This Row],[_Pred4UID]])=0,0,IFERROR(MATCH(Tasks[[#This Row],[_Pred4UID]],Tasks[UID],0),-1))</f>
        <v>0</v>
      </c>
      <c r="BP24"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2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24" s="74" t="n">
        <f aca="false">IF(OR(Tasks[[#This Row],[_ConstraintCode]]=2,Tasks[[#This Row],[_ConstraintCode]]=3,Tasks[[#This Row],[_ConstraintCode]]=4,Tasks[[#This Row],[_ConstraintCode]]=6),Tasks[[#This Row],[_ConstraintStart]],0)</f>
        <v>0</v>
      </c>
      <c r="BS24" s="74" t="n">
        <f aca="false">IF(OR(Tasks[[#This Row],[_ConstraintCode]]=2,Tasks[[#This Row],[_ConstraintCode]]=3,Tasks[[#This Row],[_ConstraintCode]]=5,Tasks[[#This Row],[_ConstraintCode]]=7),Tasks[[#This Row],[_ConstraintStart]],2958465)</f>
        <v>2958465</v>
      </c>
      <c r="BT24"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46325</v>
      </c>
      <c r="BU24" s="74" t="n">
        <f aca="false">IF(NOT(Tasks[[#This Row],[_IsLeaf]]=1),"",IF(N(Tasks[[#This Row],[Duration]])&lt;=0,Tasks[[#This Row],[_LeafCalcStart]],WORKDAY.INTL(Tasks[[#This Row],[_LeafCalcStart]],Tasks[[#This Row],[Duration]]-1,WorkWeek,Holidays)))</f>
        <v>46325</v>
      </c>
      <c r="BV24"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46335</v>
      </c>
      <c r="BW24"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46335</v>
      </c>
      <c r="BX24" s="45" t="str">
        <f aca="false">IF(Tasks[[#This Row],[Predecessors]]="","",TRIM(MID(SUBSTITUTE(SUBSTITUTE(SUBSTITUTE(UPPER(Tasks[[#This Row],[Predecessors]]),";",",")," ",""),",",REPT(" ",99)),1,99)))</f>
        <v>14</v>
      </c>
      <c r="BY24" s="45" t="n">
        <f aca="false">IF(Tasks[[#This Row],[_Pred1Text]]="","",IFERROR(VALUE(LEFT(Tasks[[#This Row],[_Pred1Text]],MIN(FIND("F",Tasks[[#This Row],[_Pred1Text]]&amp;"F"),FIND("S",Tasks[[#This Row],[_Pred1Text]]&amp;"S"),FIND("+",Tasks[[#This Row],[_Pred1Text]]&amp;"+"),FIND("-",Tasks[[#This Row],[_Pred1Text]]&amp;"-"))-1)),""))</f>
        <v>14</v>
      </c>
      <c r="BZ2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24"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24" s="45" t="str">
        <f aca="false">IF(Tasks[[#This Row],[_Pred1Text]]="","",TRIM(MID(SUBSTITUTE(SUBSTITUTE(SUBSTITUTE(UPPER(Tasks[[#This Row],[Predecessors]]),";",",")," ",""),",",REPT(" ",99)),100,99)))</f>
        <v>18</v>
      </c>
      <c r="CC24" s="45" t="n">
        <f aca="false">IF(Tasks[[#This Row],[_Pred2Text]]="","",IFERROR(VALUE(LEFT(Tasks[[#This Row],[_Pred2Text]],MIN(FIND("F",Tasks[[#This Row],[_Pred2Text]]&amp;"F"),FIND("S",Tasks[[#This Row],[_Pred2Text]]&amp;"S"),FIND("+",Tasks[[#This Row],[_Pred2Text]]&amp;"+"),FIND("-",Tasks[[#This Row],[_Pred2Text]]&amp;"-"))-1)),""))</f>
        <v>18</v>
      </c>
      <c r="CD2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FS</v>
      </c>
      <c r="CE24" s="45" t="n">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0</v>
      </c>
      <c r="CF24" s="45" t="str">
        <f aca="false">IF(Tasks[[#This Row],[_Pred2Text]]="","",TRIM(MID(SUBSTITUTE(SUBSTITUTE(SUBSTITUTE(UPPER(Tasks[[#This Row],[Predecessors]]),";",",")," ",""),",",REPT(" ",99)),199,99)))</f>
        <v/>
      </c>
      <c r="CG24" s="45" t="str">
        <f aca="false">IF(Tasks[[#This Row],[_Pred3Text]]="","",IFERROR(VALUE(LEFT(Tasks[[#This Row],[_Pred3Text]],MIN(FIND("F",Tasks[[#This Row],[_Pred3Text]]&amp;"F"),FIND("S",Tasks[[#This Row],[_Pred3Text]]&amp;"S"),FIND("+",Tasks[[#This Row],[_Pred3Text]]&amp;"+"),FIND("-",Tasks[[#This Row],[_Pred3Text]]&amp;"-"))-1)),""))</f>
        <v/>
      </c>
      <c r="CH2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2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24" s="45" t="str">
        <f aca="false">IF(Tasks[[#This Row],[_Pred3Text]]="","",TRIM(MID(SUBSTITUTE(SUBSTITUTE(SUBSTITUTE(UPPER(Tasks[[#This Row],[Predecessors]]),";",",")," ",""),",",REPT(" ",99)),298,99)))</f>
        <v/>
      </c>
      <c r="CK24" s="45" t="str">
        <f aca="false">IF(Tasks[[#This Row],[_Pred4Text]]="","",IFERROR(VALUE(LEFT(Tasks[[#This Row],[_Pred4Text]],MIN(FIND("F",Tasks[[#This Row],[_Pred4Text]]&amp;"F"),FIND("S",Tasks[[#This Row],[_Pred4Text]]&amp;"S"),FIND("+",Tasks[[#This Row],[_Pred4Text]]&amp;"+"),FIND("-",Tasks[[#This Row],[_Pred4Text]]&amp;"-"))-1)),""))</f>
        <v/>
      </c>
      <c r="CL2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2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24" s="45" t="str">
        <f aca="false">IF(OR(Tasks[[#This Row],[Task Name]]="",Tasks[[#This Row],[Resources]]=""),"",TRIM(MID(SUBSTITUTE(Tasks[[#This Row],[Resources]],",",REPT(" ",99)),1,99)))</f>
        <v/>
      </c>
      <c r="CO24" s="45" t="str">
        <f aca="false">IF(Tasks[[#This Row],[_Res1Text]]="","",TRIM(MID(SUBSTITUTE(Tasks[[#This Row],[Resources]],",",REPT(" ",99)),100,99)))</f>
        <v/>
      </c>
      <c r="CP24" s="45" t="str">
        <f aca="false">IF(Tasks[[#This Row],[_Res2Text]]="","",TRIM(MID(SUBSTITUTE(Tasks[[#This Row],[Resources]],",",REPT(" ",99)),199,99)))</f>
        <v/>
      </c>
      <c r="CQ24" s="45" t="str">
        <f aca="false">IF(Tasks[[#This Row],[_Res3Text]]="","",TRIM(MID(SUBSTITUTE(Tasks[[#This Row],[Resources]],",",REPT(" ",99)),298,99)))</f>
        <v/>
      </c>
      <c r="CR2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2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4" s="45" t="n">
        <f aca="false">IF(NOT(Tasks[[#This Row],[_IsLeaf]]=1),0,(Tasks[[#This Row],[_Resource1]]&lt;&gt;"")+(Tasks[[#This Row],[_Res2]]&lt;&gt;"")+(Tasks[[#This Row],[_Res3]]&lt;&gt;"")+(Tasks[[#This Row],[_Res4]]&lt;&gt;""))</f>
        <v>0</v>
      </c>
      <c r="CU2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2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4" s="45" t="n">
        <f aca="false">IF(OR(NOT(Tasks[[#This Row],[_IsLeaf]]=1),Tasks[[#This Row],[_Res2]]=""),0,IF(ISNA(MATCH(Tasks[[#This Row],[_Res2]],res_Name,0)),0,N(Tasks[[#This Row],[Duration]])*HoursPerDay*IF(Tasks[[#This Row],[_Res2Units]]="",DefaultUnits,Tasks[[#This Row],[_Res2Units]])))</f>
        <v>0</v>
      </c>
      <c r="CX24" s="45" t="n">
        <f aca="false">IF(Tasks[[#This Row],[_Res2Work]]=0,0,Tasks[[#This Row],[_Res2Work]]*IFERROR(INDEX(res_Rate,MATCH(Tasks[[#This Row],[_Res2]],res_Name,0)),0))</f>
        <v>0</v>
      </c>
      <c r="CY24" s="45" t="n">
        <f aca="false">IF(AND(AND(Tasks[[#This Row],[_IsLeaf]]=1,Tasks[[#This Row],[_LeafTotalWork]]&gt;0),Tasks[[#This Row],[_Res2Work]]&gt;0),Tasks[[#This Row],[_Res2Work]]/(Tasks[[#This Row],[_FinishWorkday]]-Tasks[[#This Row],[_StartWorkday]]+1),0)</f>
        <v>0</v>
      </c>
      <c r="CZ24" s="45" t="n">
        <f aca="false">Tasks[[#This Row],[_Res2WorkPerWD]]*MAX(0,Tasks[[#This Row],[_StartWorkday]]-1)</f>
        <v>0</v>
      </c>
      <c r="DA24" s="45" t="n">
        <f aca="false">Tasks[[#This Row],[_Res2Work]]*Tasks[[#This Row],[_LeafProgress]]</f>
        <v>0</v>
      </c>
      <c r="DB24" s="45" t="n">
        <f aca="false">IF(Tasks[[#This Row],[_LeafTotalCost]]=0,0,Tasks[[#This Row],[_LeafAC]]*Tasks[[#This Row],[_Res2Cost]]/Tasks[[#This Row],[_LeafTotalCost]])</f>
        <v>0</v>
      </c>
      <c r="DC2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2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24" s="45" t="n">
        <f aca="false">IF(OR(NOT(Tasks[[#This Row],[_IsLeaf]]=1),Tasks[[#This Row],[_Res3]]=""),0,IF(ISNA(MATCH(Tasks[[#This Row],[_Res3]],res_Name,0)),0,N(Tasks[[#This Row],[Duration]])*HoursPerDay*IF(Tasks[[#This Row],[_Res3Units]]="",DefaultUnits,Tasks[[#This Row],[_Res3Units]])))</f>
        <v>0</v>
      </c>
      <c r="DF24" s="45" t="n">
        <f aca="false">IF(Tasks[[#This Row],[_Res3Work]]=0,0,Tasks[[#This Row],[_Res3Work]]*IFERROR(INDEX(res_Rate,MATCH(Tasks[[#This Row],[_Res3]],res_Name,0)),0))</f>
        <v>0</v>
      </c>
      <c r="DG24" s="45" t="n">
        <f aca="false">IF(AND(AND(Tasks[[#This Row],[_IsLeaf]]=1,Tasks[[#This Row],[_LeafTotalWork]]&gt;0),Tasks[[#This Row],[_Res3Work]]&gt;0),Tasks[[#This Row],[_Res3Work]]/(Tasks[[#This Row],[_FinishWorkday]]-Tasks[[#This Row],[_StartWorkday]]+1),0)</f>
        <v>0</v>
      </c>
      <c r="DH24" s="45" t="n">
        <f aca="false">Tasks[[#This Row],[_Res3WorkPerWD]]*MAX(0,Tasks[[#This Row],[_StartWorkday]]-1)</f>
        <v>0</v>
      </c>
      <c r="DI24" s="45" t="n">
        <f aca="false">Tasks[[#This Row],[_Res3Work]]*Tasks[[#This Row],[_LeafProgress]]</f>
        <v>0</v>
      </c>
      <c r="DJ24" s="45" t="n">
        <f aca="false">IF(Tasks[[#This Row],[_LeafTotalCost]]=0,0,Tasks[[#This Row],[_LeafAC]]*Tasks[[#This Row],[_Res3Cost]]/Tasks[[#This Row],[_LeafTotalCost]])</f>
        <v>0</v>
      </c>
      <c r="DK2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2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24" s="45" t="n">
        <f aca="false">IF(OR(NOT(Tasks[[#This Row],[_IsLeaf]]=1),Tasks[[#This Row],[_Res4]]=""),0,IF(ISNA(MATCH(Tasks[[#This Row],[_Res4]],res_Name,0)),0,N(Tasks[[#This Row],[Duration]])*HoursPerDay*IF(Tasks[[#This Row],[_Res4Units]]="",DefaultUnits,Tasks[[#This Row],[_Res4Units]])))</f>
        <v>0</v>
      </c>
      <c r="DN24" s="45" t="n">
        <f aca="false">IF(Tasks[[#This Row],[_Res4Work]]=0,0,Tasks[[#This Row],[_Res4Work]]*IFERROR(INDEX(res_Rate,MATCH(Tasks[[#This Row],[_Res4]],res_Name,0)),0))</f>
        <v>0</v>
      </c>
      <c r="DO24" s="45" t="n">
        <f aca="false">IF(AND(AND(Tasks[[#This Row],[_IsLeaf]]=1,Tasks[[#This Row],[_LeafTotalWork]]&gt;0),Tasks[[#This Row],[_Res4Work]]&gt;0),Tasks[[#This Row],[_Res4Work]]/(Tasks[[#This Row],[_FinishWorkday]]-Tasks[[#This Row],[_StartWorkday]]+1),0)</f>
        <v>0</v>
      </c>
      <c r="DP24" s="45" t="n">
        <f aca="false">Tasks[[#This Row],[_Res4WorkPerWD]]*MAX(0,Tasks[[#This Row],[_StartWorkday]]-1)</f>
        <v>0</v>
      </c>
      <c r="DQ24" s="45" t="n">
        <f aca="false">Tasks[[#This Row],[_Res4Work]]*Tasks[[#This Row],[_LeafProgress]]</f>
        <v>0</v>
      </c>
      <c r="DR24" s="45" t="n">
        <f aca="false">IF(Tasks[[#This Row],[_LeafTotalCost]]=0,0,Tasks[[#This Row],[_LeafAC]]*Tasks[[#This Row],[_Res4Cost]]/Tasks[[#This Row],[_LeafTotalCost]])</f>
        <v>0</v>
      </c>
      <c r="DS24" s="45" t="n">
        <f aca="false">IF(ISNUMBER(Tasks[[#This Row],[% Complete]]),Tasks[[#This Row],[% Complete]],IF(Tasks[[#This Row],[Stage]]="",0,IFERROR(INDEX(stg_Pct,MATCH(Tasks[[#This Row],[Stage]],stg_Name,0)),0)))</f>
        <v>0</v>
      </c>
      <c r="DT24" s="45" t="n">
        <f aca="false">IF(NOT(Tasks[[#This Row],[_IsLeaf]]=1),0,IF(N(Tasks[[#This Row],[Actual Finish]])&gt;0,1,MIN(1,Tasks[[#This Row],[_Pct]])))</f>
        <v>0</v>
      </c>
      <c r="DU24" s="45" t="n">
        <f aca="false">IF(OR(NOT(Tasks[[#This Row],[_IsLeaf]]=1),Tasks[[#This Row],[_Resource1]]=""),0,IF(ISNA(MATCH(Tasks[[#This Row],[_Resource1]],res_Name,0)),0,N(Tasks[[#This Row],[Duration]])*HoursPerDay*IF(Tasks[[#This Row],[_Units1]]="",DefaultUnits,Tasks[[#This Row],[_Units1]])))</f>
        <v>0</v>
      </c>
      <c r="DV24" s="45" t="n">
        <f aca="false">IF(Tasks[[#This Row],[_LeafWork]]=0,0,Tasks[[#This Row],[_LeafWork]]*IFERROR(INDEX(res_Rate,MATCH(Tasks[[#This Row],[_Resource1]],res_Name,0)),0))</f>
        <v>0</v>
      </c>
      <c r="DW24" s="45" t="n">
        <f aca="false">Tasks[[#This Row],[_LeafWork]]+Tasks[[#This Row],[_Res2Work]]+Tasks[[#This Row],[_Res3Work]]+Tasks[[#This Row],[_Res4Work]]</f>
        <v>0</v>
      </c>
      <c r="DX24" s="45" t="n">
        <f aca="false">Tasks[[#This Row],[_LeafCost]]+Tasks[[#This Row],[_Res2Cost]]+Tasks[[#This Row],[_Res3Cost]]+Tasks[[#This Row],[_Res4Cost]]</f>
        <v>0</v>
      </c>
      <c r="DY24" s="45" t="n">
        <f aca="false">IF(Tasks[[#This Row],[_LeafTotalCost]]=0,Tasks[[#This Row],[_LeafAC]],Tasks[[#This Row],[_LeafAC]]*Tasks[[#This Row],[_LeafCost]]/Tasks[[#This Row],[_LeafTotalCost]])</f>
        <v>0</v>
      </c>
      <c r="DZ24"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2912133</v>
      </c>
      <c r="EA24" s="77" t="n">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2912133</v>
      </c>
      <c r="EB2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2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24"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24" s="45"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99999</v>
      </c>
      <c r="EF2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2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24" s="45" t="n">
        <f aca="false">IF(NOT(Tasks[[#This Row],[_IsLeaf]]=1),0,MAX(_xlfn.MAXIFS(Tasks[_Row],Tasks[_Pred1UID],Tasks[[#This Row],[UID]]),_xlfn.MAXIFS(Tasks[_Row],Tasks[_Pred2UID],Tasks[[#This Row],[UID]]),_xlfn.MAXIFS(Tasks[_Row],Tasks[_Pred3UID],Tasks[[#This Row],[UID]]),_xlfn.MAXIFS(Tasks[_Row],Tasks[_Pred4UID],Tasks[[#This Row],[UID]])))</f>
        <v>21</v>
      </c>
      <c r="EI24"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46350</v>
      </c>
      <c r="EJ24"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EK24" s="74" t="n">
        <f aca="false">IF(NOT(Tasks[[#This Row],[_IsLeaf]]=1),"",IF(N(Tasks[[#This Row],[Duration]])&lt;=0,Tasks[[#This Row],[_LeafLateFinish]],WORKDAY.INTL(Tasks[[#This Row],[_LeafLateFinish]],-(Tasks[[#This Row],[Duration]]-1),WorkWeek,Holidays)))</f>
        <v>46332</v>
      </c>
      <c r="EL24"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M24" s="73" t="b">
        <f aca="false">AND(Tasks[[#This Row],[_IsLeaf]]=1,Tasks[[#This Row],[_LeafProgress]]&lt;1,N(Tasks[[#This Row],[_LeafTotalSlack]])&lt;=CriticalSlackDays)</f>
        <v>1</v>
      </c>
      <c r="EN24" s="45" t="n">
        <f aca="false">IF(AND(Tasks[[#This Row],[_IsLeaf]]=1,Tasks[[#This Row],[_ConstraintCode]]=1,Tasks[[#This Row],[Mode]]&lt;&gt;"Manual",N(Tasks[[#This Row],[Actual Start]])=0),MAX(0,N(Tasks[[#This Row],[Free Slack]])),0)</f>
        <v>0</v>
      </c>
      <c r="EO24" s="74" t="n">
        <f aca="false">IF(NOT(Tasks[[#This Row],[_IsLeaf]]=1),"",IF(Tasks[[#This Row],[_AlapShift]]=0,Tasks[[#This Row],[_LeafCalcStart]],WORKDAY.INTL(Tasks[[#This Row],[_LeafCalcStart]],Tasks[[#This Row],[_AlapShift]],WorkWeek,Holidays)))</f>
        <v>46325</v>
      </c>
      <c r="EP24" s="74" t="n">
        <f aca="false">IF(NOT(Tasks[[#This Row],[_IsLeaf]]=1),"",IF(Tasks[[#This Row],[_AlapShift]]=0,Tasks[[#This Row],[_LeafCalcFinish]],WORKDAY.INTL(Tasks[[#This Row],[_LeafCalcFinish]],Tasks[[#This Row],[_AlapShift]],WorkWeek,Holidays)))</f>
        <v>46325</v>
      </c>
      <c r="EQ24" s="74" t="n">
        <f aca="false">IF(NOT(Tasks[[#This Row],[_IsLeaf]]=1),"",IF(Tasks[[#This Row],[_AlapShift]]=0,Tasks[[#This Row],[_LeafFcstStart]],WORKDAY.INTL(Tasks[[#This Row],[_LeafFcstStart]],Tasks[[#This Row],[_AlapShift]],WorkWeek,Holidays)))</f>
        <v>46335</v>
      </c>
      <c r="ER24" s="74" t="n">
        <f aca="false">IF(NOT(Tasks[[#This Row],[_IsLeaf]]=1),"",IF(Tasks[[#This Row],[_AlapShift]]=0,Tasks[[#This Row],[_LeafFcstFinish]],WORKDAY.INTL(Tasks[[#This Row],[_LeafFcstFinish]],Tasks[[#This Row],[_AlapShift]],WorkWeek,Holidays)))</f>
        <v>46335</v>
      </c>
      <c r="ES24" s="74" t="n">
        <f aca="false">IF(Tasks[[#This Row],[Task Name]]="","",IF(Tasks[[#This Row],[_IsSummary]],MIN(INDEX(Tasks[_ShownCalcStart],Tasks[[#This Row],[_Row]]+1):INDEX(Tasks[_ShownCalcStart],Tasks[[#This Row],[_Row]]+Tasks[[#This Row],[_Descendants]])),Tasks[[#This Row],[_ShownCalcStart]]))</f>
        <v>46325</v>
      </c>
      <c r="ET24" s="74" t="n">
        <f aca="false">IF(Tasks[[#This Row],[Task Name]]="","",IF(Tasks[[#This Row],[_IsSummary]],MAX(INDEX(Tasks[_ShownCalcFinish],Tasks[[#This Row],[_Row]]+1):INDEX(Tasks[_ShownCalcFinish],Tasks[[#This Row],[_Row]]+Tasks[[#This Row],[_Descendants]])),Tasks[[#This Row],[_ShownCalcFinish]]))</f>
        <v>46325</v>
      </c>
      <c r="EU2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2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2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2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2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46325</v>
      </c>
      <c r="EZ2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46324</v>
      </c>
      <c r="FA2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2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2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46335</v>
      </c>
      <c r="FD2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46332</v>
      </c>
      <c r="FE2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2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24" s="45" t="n">
        <f aca="false">IF(AND(Tasks[[#This Row],[_IsLeaf]]=1,Tasks[[#This Row],[_LeafTotalWork]]&gt;0),NETWORKDAYS.INTL(ProjectStart,Tasks[[#This Row],[_ShownFcstStart]],WorkWeek,Holidays),0)</f>
        <v>0</v>
      </c>
      <c r="FH24" s="45" t="n">
        <f aca="false">IF(AND(Tasks[[#This Row],[_IsLeaf]]=1,Tasks[[#This Row],[_LeafTotalWork]]&gt;0),MAX(Tasks[[#This Row],[_StartWorkday]],NETWORKDAYS.INTL(ProjectStart,Tasks[[#This Row],[_ShownFcstFinish]],WorkWeek,Holidays)),0)</f>
        <v>0</v>
      </c>
      <c r="FI24" s="45" t="n">
        <f aca="false">IF(AND(Tasks[[#This Row],[_IsLeaf]]=1,Tasks[[#This Row],[_LeafTotalWork]]&gt;0),Tasks[[#This Row],[_LeafWork]]/(Tasks[[#This Row],[_FinishWorkday]]-Tasks[[#This Row],[_StartWorkday]]+1),0)</f>
        <v>0</v>
      </c>
      <c r="FJ24" s="45" t="n">
        <f aca="false">Tasks[[#This Row],[_WorkPerWorkday]]*(Tasks[[#This Row],[_StartWorkday]]-1)</f>
        <v>-0</v>
      </c>
      <c r="FK24" s="45" t="n">
        <f aca="false">IF(Tasks[[#This Row],[_IsLeaf]]=1,MAX(N(Tasks[[#This Row],[Duration]]),0.1),0)</f>
        <v>0.1</v>
      </c>
      <c r="FL24" s="45" t="n">
        <f aca="false">Tasks[[#This Row],[_WeightDur]]*Tasks[[#This Row],[_LeafProgress]]</f>
        <v>0</v>
      </c>
      <c r="FM2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14,18</v>
      </c>
      <c r="FN24" s="77" t="n">
        <f aca="false">IF(AND(Tasks[[#This Row],[_IsLeaf]]=1,N(Tasks[[#This Row],[Duration]])=0,Tasks[[#This Row],[_LeafProgress]]&lt;1),Tasks[[#This Row],[_ShownFcstFinish]]+Tasks[[#This Row],[_Row]]/100000,"")</f>
        <v>46335.00019</v>
      </c>
      <c r="FO2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24" s="45" t="n">
        <f aca="false">IF(NOT(Tasks[[#This Row],[_IsLeaf]]=1),0,IF(Tasks[[#This Row],[Baseline Cost]]="",Tasks[[#This Row],[_LeafTotalCost]],N(Tasks[[#This Row],[Baseline Cost]])))</f>
        <v>0</v>
      </c>
      <c r="FQ24" s="45" t="n">
        <f aca="false">Tasks[[#This Row],[_LeafBudget]]*Tasks[[#This Row],[_PlannedPct]]</f>
        <v>0</v>
      </c>
      <c r="FR24" s="45" t="n">
        <f aca="false">Tasks[[#This Row],[_LeafBudget]]*Tasks[[#This Row],[_LeafProgress]]</f>
        <v>0</v>
      </c>
      <c r="FS24" s="45" t="n">
        <f aca="false">IF(NOT(Tasks[[#This Row],[_IsLeaf]]=1),0,IF(Tasks[[#This Row],[Actual Cost]]="",Tasks[[#This Row],[_LeafTotalCost]]*Tasks[[#This Row],[_LeafProgress]],N(Tasks[[#This Row],[Actual Cost]])))</f>
        <v>0</v>
      </c>
      <c r="FT24" s="45" t="str">
        <f aca="false">IF(Tasks[[#This Row],[Task Name]]="","",LEFT(Tasks[[#This Row],[WBS]],FIND(".",Tasks[[#This Row],[WBS]]&amp;".")-1))</f>
        <v>3</v>
      </c>
      <c r="FU24" s="45" t="str">
        <f aca="false">IF(AND(Tasks[[#This Row],[Task Name]]&lt;&gt;"",Tasks[[#This Row],[_Level]]=1),Tasks[[#This Row],[_Row]],"")</f>
        <v/>
      </c>
      <c r="FV24" s="77" t="n">
        <f aca="false">IF(AND(Tasks[[#This Row],[_IsLeaf]]=1,N(Tasks[[#This Row],[Duration]])=0),Tasks[[#This Row],[Planned Finish]]+Tasks[[#This Row],[_Row]]/100000,"")</f>
        <v>46325.00019</v>
      </c>
      <c r="FW24" s="45" t="n">
        <f aca="false">IF(AND(Tasks[[#This Row],[_IsLeaf]]=1,Tasks[[#This Row],[_LeafProgress]]&lt;1,OR(N(Tasks[[#This Row],[Finish Var]])&gt;0,Tasks[[#This Row],[Status]]="Late Start")),MAX(0,Tasks[[#This Row],[Finish Var]])+1-Tasks[[#This Row],[_Row]]/1000000,"")</f>
        <v>6.999981</v>
      </c>
      <c r="FX24" s="45" t="str">
        <f aca="false">IF(AND(Tasks[[#This Row],[_IsLeaf]]=1,N(Tasks[[#This Row],[Actual Start]])=0,Tasks[[#This Row],[_ShownFcstStart]]&gt;=StatusDate,Tasks[[#This Row],[_ShownFcstStart]]&lt;=LookaheadEnd),Tasks[[#This Row],[_ShownFcstStart]]+Tasks[[#This Row],[_Row]]/100000,"")</f>
        <v/>
      </c>
      <c r="FY24" s="45" t="str">
        <f aca="false">IF(AND(Tasks[[#This Row],[_IsLeaf]]=1,Tasks[[#This Row],[_LeafProgress]]&lt;1,Tasks[[#This Row],[_ShownFcstFinish]]&gt;=StatusDate,Tasks[[#This Row],[_ShownFcstFinish]]&lt;=LookaheadEnd),Tasks[[#This Row],[_ShownFcstFinish]]+Tasks[[#This Row],[_Row]]/100000,"")</f>
        <v/>
      </c>
      <c r="FZ24" s="77" t="n">
        <f aca="false">IF(Tasks[[#This Row],[_LeafCritical]],Tasks[[#This Row],[_ShownFcstStart]]+Tasks[[#This Row],[_Row]]/100000,"")</f>
        <v>46335.00019</v>
      </c>
      <c r="GA24" s="45" t="n">
        <f aca="false">Tasks[[#This Row],[_LeafWork]]*Tasks[[#This Row],[_LeafProgress]]</f>
        <v>0</v>
      </c>
      <c r="GB24" s="74" t="str">
        <f aca="false">IF(AND(Tasks[[#This Row],[_IsLeaf]]=1,Tasks[[#This Row],[_LeafProgress]]&gt;=1),IF(N(Tasks[[#This Row],[Actual Finish]])&gt;0,Tasks[[#This Row],[Actual Finish]],Tasks[[#This Row],[_ShownFcstFinish]]),"")</f>
        <v/>
      </c>
    </row>
    <row r="25" customFormat="false" ht="15" hidden="false" customHeight="false" outlineLevel="0" collapsed="false">
      <c r="A25" s="67" t="n">
        <f aca="false">IF(Tasks[[#This Row],[Task Name]]="","",COUNTA(Tasks[[#Headers],[Task Name]]:Tasks[[#This Row],[Task Name]])-1)</f>
        <v>20</v>
      </c>
      <c r="B25" s="21" t="n">
        <v>20</v>
      </c>
      <c r="C2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v>
      </c>
      <c r="D25" s="21" t="n">
        <v>1</v>
      </c>
      <c r="E25" s="22" t="s">
        <v>546</v>
      </c>
      <c r="F25" s="21"/>
      <c r="G25" s="22"/>
      <c r="H25" s="22"/>
      <c r="I25" s="22"/>
      <c r="J25" s="7"/>
      <c r="K25" s="7"/>
      <c r="L25" s="22"/>
      <c r="M25" s="58" t="n">
        <f aca="false">IF(Tasks[[#This Row],[Task Name]]="","",IF(Tasks[[#This Row],[_IsSummary]],MIN(INDEX(Tasks[_ShownFcstStart],Tasks[[#This Row],[_Row]]+1):INDEX(Tasks[_ShownFcstStart],Tasks[[#This Row],[_Row]]+Tasks[[#This Row],[_Descendants]])),Tasks[[#This Row],[_ShownFcstStart]]))</f>
        <v>46336</v>
      </c>
      <c r="N25" s="58" t="n">
        <f aca="false">IF(Tasks[[#This Row],[Task Name]]="","",IF(Tasks[[#This Row],[_IsSummary]],MAX(INDEX(Tasks[_ShownFcstFinish],Tasks[[#This Row],[_Row]]+1):INDEX(Tasks[_ShownFcstFinish],Tasks[[#This Row],[_Row]]+Tasks[[#This Row],[_Descendants]])),Tasks[[#This Row],[_ShownFcstFinish]]))</f>
        <v>46391</v>
      </c>
      <c r="O25" s="20" t="str">
        <f aca="false">IF(Tasks[[#This Row],[Task Name]]="","",IF(Tasks[[#This Row],[Progress]]&gt;=1,"Complete",IF(OR(N(Tasks[[#This Row],[Actual Start]])&gt;0,Tasks[[#This Row],[Progress]]&gt;0),IF(Tasks[[#This Row],[Finish Var]]&gt;0,"Behind","In Progress"),IF(Tasks[[#This Row],[Planned Start]]&lt;StatusDate,"Late Start","Not Started"))))</f>
        <v>Not Started</v>
      </c>
      <c r="P25" s="20" t="str">
        <f aca="false">IF(Tasks[[#This Row],[Task Name]]="","",IF(IF(Tasks[[#This Row],[_IsSummary]],COUNTIF(INDEX(Tasks[_LeafCritical],Tasks[[#This Row],[_Row]]+1):INDEX(Tasks[_LeafCritical],Tasks[[#This Row],[_Row]]+Tasks[[#This Row],[_Descendants]]),TRUE())&gt;0,Tasks[[#This Row],[_LeafCritical]]),"Yes",""))</f>
        <v>Yes</v>
      </c>
      <c r="Q2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25" s="67" t="str">
        <f aca="false">IF(Tasks[[#This Row],[Task Name]]="","",IF(Tasks[[#This Row],[_Level]]&lt;=OutlineShowLevel,"Yes","No"))</f>
        <v>Yes</v>
      </c>
      <c r="S25" s="7"/>
      <c r="T25" s="21" t="s">
        <v>195</v>
      </c>
      <c r="U25" s="22"/>
      <c r="V25" s="7"/>
      <c r="W25" s="67" t="n">
        <f aca="false">IF(Tasks[[#This Row],[Task Name]]="","",IF(Tasks[[#This Row],[Finish]]&gt;=Tasks[[#This Row],[Planned Finish]],NETWORKDAYS.INTL(Tasks[[#This Row],[Planned Finish]],Tasks[[#This Row],[Finish]],WorkWeek,Holidays)-1,1-NETWORKDAYS.INTL(Tasks[[#This Row],[Finish]],Tasks[[#This Row],[Planned Finish]],WorkWeek,Holidays)))</f>
        <v>0</v>
      </c>
      <c r="X25" s="58" t="n">
        <f aca="false">IF(Tasks[[#This Row],[Task Name]]="","",IF(N(Tasks[[#This Row],[Baseline Start]])&gt;0,Tasks[[#This Row],[Baseline Start]],Tasks[[#This Row],[_CalcStart]]))</f>
        <v>46328</v>
      </c>
      <c r="Y25" s="58" t="n">
        <f aca="false">IF(Tasks[[#This Row],[Task Name]]="","",IF(N(Tasks[[#This Row],[Baseline Finish]])&gt;0,Tasks[[#This Row],[Baseline Finish]],Tasks[[#This Row],[_CalcFinish]]))</f>
        <v>46391</v>
      </c>
      <c r="Z25" s="67" t="n">
        <f aca="false">IF(Tasks[[#This Row],[Task Name]]="","",IF(Tasks[[#This Row],[Start]]&gt;=Tasks[[#This Row],[Planned Start]],NETWORKDAYS.INTL(Tasks[[#This Row],[Planned Start]],Tasks[[#This Row],[Start]],WorkWeek,Holidays)-1,1-NETWORKDAYS.INTL(Tasks[[#This Row],[Start]],Tasks[[#This Row],[Planned Start]],WorkWeek,Holidays)))</f>
        <v>6</v>
      </c>
      <c r="AA25" s="58" t="n">
        <f aca="false">IF(Tasks[[#This Row],[Task Name]]="","",IF(Tasks[[#This Row],[_IsSummary]],MIN(INDEX(Tasks[_LeafLateStart],Tasks[[#This Row],[_Row]]+1):INDEX(Tasks[_LeafLateStart],Tasks[[#This Row],[_Row]]+Tasks[[#This Row],[_Descendants]])),Tasks[[#This Row],[_LeafLateStart]]))</f>
        <v>46351</v>
      </c>
      <c r="AB25" s="58" t="n">
        <f aca="false">IF(Tasks[[#This Row],[Task Name]]="","",IF(Tasks[[#This Row],[_IsSummary]],MAX(INDEX(Tasks[_LeafLateFinish],Tasks[[#This Row],[_Row]]+1):INDEX(Tasks[_LeafLateFinish],Tasks[[#This Row],[_Row]]+Tasks[[#This Row],[_Descendants]])),Tasks[[#This Row],[_LeafLateFinish]]))</f>
        <v>46391</v>
      </c>
      <c r="AC25" s="67" t="n">
        <f aca="false">IF(Tasks[[#This Row],[Task Name]]="","",IF(Tasks[[#This Row],[_IsSummary]],MIN(INDEX(Tasks[_LeafTotalSlack],Tasks[[#This Row],[_Row]]+1):INDEX(Tasks[_LeafTotalSlack],Tasks[[#This Row],[_Row]]+Tasks[[#This Row],[_Descendants]])),Tasks[[#This Row],[_LeafTotalSlack]]))</f>
        <v>0</v>
      </c>
      <c r="AD2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2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2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25" s="60"/>
      <c r="AH25"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I2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25" s="69" t="n">
        <f aca="false">IF(Tasks[[#This Row],[Task Name]]="","",IF(Tasks[[#This Row],[_IsSummary]],SUM(INDEX(Tasks[_LeafTotalWork],Tasks[[#This Row],[_Row]]+1):INDEX(Tasks[_LeafTotalWork],Tasks[[#This Row],[_Row]]+Tasks[[#This Row],[_Descendants]])),Tasks[[#This Row],[_LeafTotalWork]]))</f>
        <v>260</v>
      </c>
      <c r="AK2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25" s="70" t="n">
        <f aca="false">IF(Tasks[[#This Row],[Task Name]]="","",IF(Tasks[[#This Row],[_IsSummary]],SUM(INDEX(Tasks[_LeafTotalCost],Tasks[[#This Row],[_Row]]+1):INDEX(Tasks[_LeafTotalCost],Tasks[[#This Row],[_Row]]+Tasks[[#This Row],[_Descendants]])),Tasks[[#This Row],[_LeafTotalCost]]))</f>
        <v>18860</v>
      </c>
      <c r="AM25" s="71"/>
      <c r="AN25" s="20" t="str">
        <f aca="false">IF(OR(Tasks[[#This Row],[Task Name]]="",Tasks[[#This Row],[Baseline Duration]]=""),"",Tasks[[#This Row],[BL Source Duration]]-N(Tasks[[#This Row],[Baseline Duration]]))</f>
        <v/>
      </c>
      <c r="AO25" s="69" t="str">
        <f aca="false">IF(OR(Tasks[[#This Row],[Task Name]]="",Tasks[[#This Row],[Baseline Work]]=""),"",Tasks[[#This Row],[Work]]-N(Tasks[[#This Row],[Baseline Work]]))</f>
        <v/>
      </c>
      <c r="AP25" s="70" t="str">
        <f aca="false">IF(OR(Tasks[[#This Row],[Task Name]]="",Tasks[[#This Row],[Baseline Cost]]=""),"",Tasks[[#This Row],[Cost]]-N(Tasks[[#This Row],[Baseline Cost]]))</f>
        <v/>
      </c>
      <c r="AQ25" s="58" t="n">
        <f aca="false">IF(Tasks[[#This Row],[Task Name]]="","",Tasks[[#This Row],[Start]])</f>
        <v>46336</v>
      </c>
      <c r="AR25" s="58" t="n">
        <f aca="false">IF(Tasks[[#This Row],[Task Name]]="","",Tasks[[#This Row],[Finish]])</f>
        <v>46391</v>
      </c>
      <c r="AS25" s="67" t="n">
        <f aca="false">IF(Tasks[[#This Row],[Task Name]]="","",IF(Tasks[[#This Row],[_IsSummary]],NETWORKDAYS.INTL(Tasks[[#This Row],[Start]],Tasks[[#This Row],[Finish]],WorkWeek,Holidays),N(Tasks[[#This Row],[Duration]])))</f>
        <v>36</v>
      </c>
      <c r="AT25" s="69" t="n">
        <f aca="false">IF(Tasks[[#This Row],[Task Name]]="","",Tasks[[#This Row],[Work]])</f>
        <v>260</v>
      </c>
      <c r="AU25" s="70" t="n">
        <f aca="false">IF(Tasks[[#This Row],[Task Name]]="","",Tasks[[#This Row],[Cost]])</f>
        <v>18860</v>
      </c>
      <c r="AV25" s="7"/>
      <c r="AW25" s="7"/>
      <c r="AX25" s="21"/>
      <c r="AY25" s="72"/>
      <c r="AZ25" s="71"/>
      <c r="BA25" s="70" t="n">
        <f aca="false">IF(Tasks[[#This Row],[Task Name]]="","",IF(Tasks[[#This Row],[_IsSummary]],SUM(INDEX(Tasks[_LeafEV],Tasks[[#This Row],[_Row]]+1):INDEX(Tasks[_LeafEV],Tasks[[#This Row],[_Row]]+Tasks[[#This Row],[_Descendants]])),Tasks[[#This Row],[_LeafEV]]))</f>
        <v>0</v>
      </c>
      <c r="BB25" s="70" t="n">
        <f aca="false">IF(Tasks[[#This Row],[Task Name]]="","",IF(Tasks[[#This Row],[_IsSummary]],SUM(INDEX(Tasks[_LeafBudget],Tasks[[#This Row],[_Row]]+1):INDEX(Tasks[_LeafBudget],Tasks[[#This Row],[_Row]]+Tasks[[#This Row],[_Descendants]])),Tasks[[#This Row],[_LeafBudget]]))</f>
        <v>18860</v>
      </c>
      <c r="BC25" s="70" t="n">
        <f aca="false">IF(Tasks[[#This Row],[Task Name]]="","",IF(Tasks[[#This Row],[_IsSummary]],SUM(INDEX(Tasks[_LeafPV],Tasks[[#This Row],[_Row]]+1):INDEX(Tasks[_LeafPV],Tasks[[#This Row],[_Row]]+Tasks[[#This Row],[_Descendants]])),Tasks[[#This Row],[_LeafPV]]))</f>
        <v>0</v>
      </c>
      <c r="BD25" s="70" t="n">
        <f aca="false">IF(Tasks[[#This Row],[Task Name]]="","",IF(Tasks[[#This Row],[_IsSummary]],SUM(INDEX(Tasks[_LeafAC],Tasks[[#This Row],[_Row]]+1):INDEX(Tasks[_LeafAC],Tasks[[#This Row],[_Row]]+Tasks[[#This Row],[_Descendants]])),Tasks[[#This Row],[_LeafAC]]))</f>
        <v>0</v>
      </c>
      <c r="BE25" s="45" t="n">
        <f aca="false">IF(Tasks[[#This Row],[Task Name]]="","",MAX(1,N(Tasks[[#This Row],[Level]])))</f>
        <v>1</v>
      </c>
      <c r="BF25" s="45" t="n">
        <f aca="false">ROW()-ROW(Tasks[[#Headers],[ID]])</f>
        <v>20</v>
      </c>
      <c r="BG25" s="45" t="n">
        <f aca="false">IF(OR(Tasks[[#This Row],[Task Name]]="",Tasks[[#This Row],[_Level]]&lt;=1),0,IFERROR(LOOKUP(2,1/(Tasks[[#Headers],[_Level]]:Tasks[[#This Row],[_Level]]=Tasks[[#This Row],[_Level]]-1),ROW(Tasks[[#Headers],[_Level]]:Tasks[[#This Row],[_Level]])),0))</f>
        <v>0</v>
      </c>
      <c r="BH25" s="45" t="n">
        <f aca="false">IFERROR(N(INDEX(Tasks[_Level],Tasks[[#This Row],[_Row]]+1)),0)</f>
        <v>2</v>
      </c>
      <c r="BI25" s="73" t="b">
        <f aca="false">AND(Tasks[[#This Row],[Task Name]]&lt;&gt;"",Tasks[[#This Row],[_NextLevel]]&gt;Tasks[[#This Row],[_Level]])</f>
        <v>1</v>
      </c>
      <c r="BJ25" s="45" t="n">
        <f aca="false">IF(Tasks[[#This Row],[_IsSummary]],COUNTIF(Tasks[WBS],Tasks[[#This Row],[WBS]]&amp;".*"),0)</f>
        <v>6</v>
      </c>
      <c r="BK25" s="45" t="n">
        <f aca="false">IF(AND(Tasks[[#This Row],[Task Name]]&lt;&gt;"",NOT(Tasks[[#This Row],[_IsSummary]])),1,0)</f>
        <v>0</v>
      </c>
      <c r="BL25" s="45" t="n">
        <f aca="false">IF(N(Tasks[[#This Row],[_Pred1UID]])=0,0,IFERROR(MATCH(Tasks[[#This Row],[_Pred1UID]],Tasks[UID],0),-1))</f>
        <v>0</v>
      </c>
      <c r="BM25" s="45" t="n">
        <f aca="false">IF(N(Tasks[[#This Row],[_Pred2UID]])=0,0,IFERROR(MATCH(Tasks[[#This Row],[_Pred2UID]],Tasks[UID],0),-1))</f>
        <v>0</v>
      </c>
      <c r="BN25" s="45" t="n">
        <f aca="false">IF(N(Tasks[[#This Row],[_Pred3UID]])=0,0,IFERROR(MATCH(Tasks[[#This Row],[_Pred3UID]],Tasks[UID],0),-1))</f>
        <v>0</v>
      </c>
      <c r="BO25" s="45" t="n">
        <f aca="false">IF(N(Tasks[[#This Row],[_Pred4UID]])=0,0,IFERROR(MATCH(Tasks[[#This Row],[_Pred4UID]],Tasks[UID],0),-1))</f>
        <v>0</v>
      </c>
      <c r="BP2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2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25" s="74" t="n">
        <f aca="false">IF(OR(Tasks[[#This Row],[_ConstraintCode]]=2,Tasks[[#This Row],[_ConstraintCode]]=3,Tasks[[#This Row],[_ConstraintCode]]=4,Tasks[[#This Row],[_ConstraintCode]]=6),Tasks[[#This Row],[_ConstraintStart]],0)</f>
        <v>0</v>
      </c>
      <c r="BS25" s="74" t="n">
        <f aca="false">IF(OR(Tasks[[#This Row],[_ConstraintCode]]=2,Tasks[[#This Row],[_ConstraintCode]]=3,Tasks[[#This Row],[_ConstraintCode]]=5,Tasks[[#This Row],[_ConstraintCode]]=7),Tasks[[#This Row],[_ConstraintStart]],2958465)</f>
        <v>2958465</v>
      </c>
      <c r="BT2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25" s="74" t="str">
        <f aca="false">IF(NOT(Tasks[[#This Row],[_IsLeaf]]=1),"",IF(N(Tasks[[#This Row],[Duration]])&lt;=0,Tasks[[#This Row],[_LeafCalcStart]],WORKDAY.INTL(Tasks[[#This Row],[_LeafCalcStart]],Tasks[[#This Row],[Duration]]-1,WorkWeek,Holidays)))</f>
        <v/>
      </c>
      <c r="BV2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2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25" s="45" t="str">
        <f aca="false">IF(Tasks[[#This Row],[Predecessors]]="","",TRIM(MID(SUBSTITUTE(SUBSTITUTE(SUBSTITUTE(UPPER(Tasks[[#This Row],[Predecessors]]),";",",")," ",""),",",REPT(" ",99)),1,99)))</f>
        <v/>
      </c>
      <c r="BY25" s="45" t="str">
        <f aca="false">IF(Tasks[[#This Row],[_Pred1Text]]="","",IFERROR(VALUE(LEFT(Tasks[[#This Row],[_Pred1Text]],MIN(FIND("F",Tasks[[#This Row],[_Pred1Text]]&amp;"F"),FIND("S",Tasks[[#This Row],[_Pred1Text]]&amp;"S"),FIND("+",Tasks[[#This Row],[_Pred1Text]]&amp;"+"),FIND("-",Tasks[[#This Row],[_Pred1Text]]&amp;"-"))-1)),""))</f>
        <v/>
      </c>
      <c r="BZ2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2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25" s="45" t="str">
        <f aca="false">IF(Tasks[[#This Row],[_Pred1Text]]="","",TRIM(MID(SUBSTITUTE(SUBSTITUTE(SUBSTITUTE(UPPER(Tasks[[#This Row],[Predecessors]]),";",",")," ",""),",",REPT(" ",99)),100,99)))</f>
        <v/>
      </c>
      <c r="CC25" s="45" t="str">
        <f aca="false">IF(Tasks[[#This Row],[_Pred2Text]]="","",IFERROR(VALUE(LEFT(Tasks[[#This Row],[_Pred2Text]],MIN(FIND("F",Tasks[[#This Row],[_Pred2Text]]&amp;"F"),FIND("S",Tasks[[#This Row],[_Pred2Text]]&amp;"S"),FIND("+",Tasks[[#This Row],[_Pred2Text]]&amp;"+"),FIND("-",Tasks[[#This Row],[_Pred2Text]]&amp;"-"))-1)),""))</f>
        <v/>
      </c>
      <c r="CD2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2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25" s="45" t="str">
        <f aca="false">IF(Tasks[[#This Row],[_Pred2Text]]="","",TRIM(MID(SUBSTITUTE(SUBSTITUTE(SUBSTITUTE(UPPER(Tasks[[#This Row],[Predecessors]]),";",",")," ",""),",",REPT(" ",99)),199,99)))</f>
        <v/>
      </c>
      <c r="CG25" s="45" t="str">
        <f aca="false">IF(Tasks[[#This Row],[_Pred3Text]]="","",IFERROR(VALUE(LEFT(Tasks[[#This Row],[_Pred3Text]],MIN(FIND("F",Tasks[[#This Row],[_Pred3Text]]&amp;"F"),FIND("S",Tasks[[#This Row],[_Pred3Text]]&amp;"S"),FIND("+",Tasks[[#This Row],[_Pred3Text]]&amp;"+"),FIND("-",Tasks[[#This Row],[_Pred3Text]]&amp;"-"))-1)),""))</f>
        <v/>
      </c>
      <c r="CH2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2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25" s="45" t="str">
        <f aca="false">IF(Tasks[[#This Row],[_Pred3Text]]="","",TRIM(MID(SUBSTITUTE(SUBSTITUTE(SUBSTITUTE(UPPER(Tasks[[#This Row],[Predecessors]]),";",",")," ",""),",",REPT(" ",99)),298,99)))</f>
        <v/>
      </c>
      <c r="CK25" s="45" t="str">
        <f aca="false">IF(Tasks[[#This Row],[_Pred4Text]]="","",IFERROR(VALUE(LEFT(Tasks[[#This Row],[_Pred4Text]],MIN(FIND("F",Tasks[[#This Row],[_Pred4Text]]&amp;"F"),FIND("S",Tasks[[#This Row],[_Pred4Text]]&amp;"S"),FIND("+",Tasks[[#This Row],[_Pred4Text]]&amp;"+"),FIND("-",Tasks[[#This Row],[_Pred4Text]]&amp;"-"))-1)),""))</f>
        <v/>
      </c>
      <c r="CL2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2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25" s="45" t="str">
        <f aca="false">IF(OR(Tasks[[#This Row],[Task Name]]="",Tasks[[#This Row],[Resources]]=""),"",TRIM(MID(SUBSTITUTE(Tasks[[#This Row],[Resources]],",",REPT(" ",99)),1,99)))</f>
        <v/>
      </c>
      <c r="CO25" s="45" t="str">
        <f aca="false">IF(Tasks[[#This Row],[_Res1Text]]="","",TRIM(MID(SUBSTITUTE(Tasks[[#This Row],[Resources]],",",REPT(" ",99)),100,99)))</f>
        <v/>
      </c>
      <c r="CP25" s="45" t="str">
        <f aca="false">IF(Tasks[[#This Row],[_Res2Text]]="","",TRIM(MID(SUBSTITUTE(Tasks[[#This Row],[Resources]],",",REPT(" ",99)),199,99)))</f>
        <v/>
      </c>
      <c r="CQ25" s="45" t="str">
        <f aca="false">IF(Tasks[[#This Row],[_Res3Text]]="","",TRIM(MID(SUBSTITUTE(Tasks[[#This Row],[Resources]],",",REPT(" ",99)),298,99)))</f>
        <v/>
      </c>
      <c r="CR2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2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5" s="45" t="n">
        <f aca="false">IF(NOT(Tasks[[#This Row],[_IsLeaf]]=1),0,(Tasks[[#This Row],[_Resource1]]&lt;&gt;"")+(Tasks[[#This Row],[_Res2]]&lt;&gt;"")+(Tasks[[#This Row],[_Res3]]&lt;&gt;"")+(Tasks[[#This Row],[_Res4]]&lt;&gt;""))</f>
        <v>0</v>
      </c>
      <c r="CU2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2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5" s="45" t="n">
        <f aca="false">IF(OR(NOT(Tasks[[#This Row],[_IsLeaf]]=1),Tasks[[#This Row],[_Res2]]=""),0,IF(ISNA(MATCH(Tasks[[#This Row],[_Res2]],res_Name,0)),0,N(Tasks[[#This Row],[Duration]])*HoursPerDay*IF(Tasks[[#This Row],[_Res2Units]]="",DefaultUnits,Tasks[[#This Row],[_Res2Units]])))</f>
        <v>0</v>
      </c>
      <c r="CX25" s="45" t="n">
        <f aca="false">IF(Tasks[[#This Row],[_Res2Work]]=0,0,Tasks[[#This Row],[_Res2Work]]*IFERROR(INDEX(res_Rate,MATCH(Tasks[[#This Row],[_Res2]],res_Name,0)),0))</f>
        <v>0</v>
      </c>
      <c r="CY25" s="45" t="n">
        <f aca="false">IF(AND(AND(Tasks[[#This Row],[_IsLeaf]]=1,Tasks[[#This Row],[_LeafTotalWork]]&gt;0),Tasks[[#This Row],[_Res2Work]]&gt;0),Tasks[[#This Row],[_Res2Work]]/(Tasks[[#This Row],[_FinishWorkday]]-Tasks[[#This Row],[_StartWorkday]]+1),0)</f>
        <v>0</v>
      </c>
      <c r="CZ25" s="45" t="n">
        <f aca="false">Tasks[[#This Row],[_Res2WorkPerWD]]*MAX(0,Tasks[[#This Row],[_StartWorkday]]-1)</f>
        <v>0</v>
      </c>
      <c r="DA25" s="45" t="n">
        <f aca="false">Tasks[[#This Row],[_Res2Work]]*Tasks[[#This Row],[_LeafProgress]]</f>
        <v>0</v>
      </c>
      <c r="DB25" s="45" t="n">
        <f aca="false">IF(Tasks[[#This Row],[_LeafTotalCost]]=0,0,Tasks[[#This Row],[_LeafAC]]*Tasks[[#This Row],[_Res2Cost]]/Tasks[[#This Row],[_LeafTotalCost]])</f>
        <v>0</v>
      </c>
      <c r="DC2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2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25" s="45" t="n">
        <f aca="false">IF(OR(NOT(Tasks[[#This Row],[_IsLeaf]]=1),Tasks[[#This Row],[_Res3]]=""),0,IF(ISNA(MATCH(Tasks[[#This Row],[_Res3]],res_Name,0)),0,N(Tasks[[#This Row],[Duration]])*HoursPerDay*IF(Tasks[[#This Row],[_Res3Units]]="",DefaultUnits,Tasks[[#This Row],[_Res3Units]])))</f>
        <v>0</v>
      </c>
      <c r="DF25" s="45" t="n">
        <f aca="false">IF(Tasks[[#This Row],[_Res3Work]]=0,0,Tasks[[#This Row],[_Res3Work]]*IFERROR(INDEX(res_Rate,MATCH(Tasks[[#This Row],[_Res3]],res_Name,0)),0))</f>
        <v>0</v>
      </c>
      <c r="DG25" s="45" t="n">
        <f aca="false">IF(AND(AND(Tasks[[#This Row],[_IsLeaf]]=1,Tasks[[#This Row],[_LeafTotalWork]]&gt;0),Tasks[[#This Row],[_Res3Work]]&gt;0),Tasks[[#This Row],[_Res3Work]]/(Tasks[[#This Row],[_FinishWorkday]]-Tasks[[#This Row],[_StartWorkday]]+1),0)</f>
        <v>0</v>
      </c>
      <c r="DH25" s="45" t="n">
        <f aca="false">Tasks[[#This Row],[_Res3WorkPerWD]]*MAX(0,Tasks[[#This Row],[_StartWorkday]]-1)</f>
        <v>0</v>
      </c>
      <c r="DI25" s="45" t="n">
        <f aca="false">Tasks[[#This Row],[_Res3Work]]*Tasks[[#This Row],[_LeafProgress]]</f>
        <v>0</v>
      </c>
      <c r="DJ25" s="45" t="n">
        <f aca="false">IF(Tasks[[#This Row],[_LeafTotalCost]]=0,0,Tasks[[#This Row],[_LeafAC]]*Tasks[[#This Row],[_Res3Cost]]/Tasks[[#This Row],[_LeafTotalCost]])</f>
        <v>0</v>
      </c>
      <c r="DK2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2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25" s="45" t="n">
        <f aca="false">IF(OR(NOT(Tasks[[#This Row],[_IsLeaf]]=1),Tasks[[#This Row],[_Res4]]=""),0,IF(ISNA(MATCH(Tasks[[#This Row],[_Res4]],res_Name,0)),0,N(Tasks[[#This Row],[Duration]])*HoursPerDay*IF(Tasks[[#This Row],[_Res4Units]]="",DefaultUnits,Tasks[[#This Row],[_Res4Units]])))</f>
        <v>0</v>
      </c>
      <c r="DN25" s="45" t="n">
        <f aca="false">IF(Tasks[[#This Row],[_Res4Work]]=0,0,Tasks[[#This Row],[_Res4Work]]*IFERROR(INDEX(res_Rate,MATCH(Tasks[[#This Row],[_Res4]],res_Name,0)),0))</f>
        <v>0</v>
      </c>
      <c r="DO25" s="45" t="n">
        <f aca="false">IF(AND(AND(Tasks[[#This Row],[_IsLeaf]]=1,Tasks[[#This Row],[_LeafTotalWork]]&gt;0),Tasks[[#This Row],[_Res4Work]]&gt;0),Tasks[[#This Row],[_Res4Work]]/(Tasks[[#This Row],[_FinishWorkday]]-Tasks[[#This Row],[_StartWorkday]]+1),0)</f>
        <v>0</v>
      </c>
      <c r="DP25" s="45" t="n">
        <f aca="false">Tasks[[#This Row],[_Res4WorkPerWD]]*MAX(0,Tasks[[#This Row],[_StartWorkday]]-1)</f>
        <v>0</v>
      </c>
      <c r="DQ25" s="45" t="n">
        <f aca="false">Tasks[[#This Row],[_Res4Work]]*Tasks[[#This Row],[_LeafProgress]]</f>
        <v>0</v>
      </c>
      <c r="DR25" s="45" t="n">
        <f aca="false">IF(Tasks[[#This Row],[_LeafTotalCost]]=0,0,Tasks[[#This Row],[_LeafAC]]*Tasks[[#This Row],[_Res4Cost]]/Tasks[[#This Row],[_LeafTotalCost]])</f>
        <v>0</v>
      </c>
      <c r="DS25" s="45" t="n">
        <f aca="false">IF(ISNUMBER(Tasks[[#This Row],[% Complete]]),Tasks[[#This Row],[% Complete]],IF(Tasks[[#This Row],[Stage]]="",0,IFERROR(INDEX(stg_Pct,MATCH(Tasks[[#This Row],[Stage]],stg_Name,0)),0)))</f>
        <v>0</v>
      </c>
      <c r="DT25" s="45" t="n">
        <f aca="false">IF(NOT(Tasks[[#This Row],[_IsLeaf]]=1),0,IF(N(Tasks[[#This Row],[Actual Finish]])&gt;0,1,MIN(1,Tasks[[#This Row],[_Pct]])))</f>
        <v>0</v>
      </c>
      <c r="DU25" s="45" t="n">
        <f aca="false">IF(OR(NOT(Tasks[[#This Row],[_IsLeaf]]=1),Tasks[[#This Row],[_Resource1]]=""),0,IF(ISNA(MATCH(Tasks[[#This Row],[_Resource1]],res_Name,0)),0,N(Tasks[[#This Row],[Duration]])*HoursPerDay*IF(Tasks[[#This Row],[_Units1]]="",DefaultUnits,Tasks[[#This Row],[_Units1]])))</f>
        <v>0</v>
      </c>
      <c r="DV25" s="45" t="n">
        <f aca="false">IF(Tasks[[#This Row],[_LeafWork]]=0,0,Tasks[[#This Row],[_LeafWork]]*IFERROR(INDEX(res_Rate,MATCH(Tasks[[#This Row],[_Resource1]],res_Name,0)),0))</f>
        <v>0</v>
      </c>
      <c r="DW25" s="45" t="n">
        <f aca="false">Tasks[[#This Row],[_LeafWork]]+Tasks[[#This Row],[_Res2Work]]+Tasks[[#This Row],[_Res3Work]]+Tasks[[#This Row],[_Res4Work]]</f>
        <v>0</v>
      </c>
      <c r="DX25" s="45" t="n">
        <f aca="false">Tasks[[#This Row],[_LeafCost]]+Tasks[[#This Row],[_Res2Cost]]+Tasks[[#This Row],[_Res3Cost]]+Tasks[[#This Row],[_Res4Cost]]</f>
        <v>0</v>
      </c>
      <c r="DY25" s="45" t="n">
        <f aca="false">IF(Tasks[[#This Row],[_LeafTotalCost]]=0,Tasks[[#This Row],[_LeafAC]],Tasks[[#This Row],[_LeafAC]]*Tasks[[#This Row],[_LeafCost]]/Tasks[[#This Row],[_LeafTotalCost]])</f>
        <v>0</v>
      </c>
      <c r="DZ2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2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2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2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2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2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2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2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25" s="45" t="n">
        <f aca="false">IF(NOT(Tasks[[#This Row],[_IsLeaf]]=1),0,MAX(_xlfn.MAXIFS(Tasks[_Row],Tasks[_Pred1UID],Tasks[[#This Row],[UID]]),_xlfn.MAXIFS(Tasks[_Row],Tasks[_Pred2UID],Tasks[[#This Row],[UID]]),_xlfn.MAXIFS(Tasks[_Row],Tasks[_Pred3UID],Tasks[[#This Row],[UID]]),_xlfn.MAXIFS(Tasks[_Row],Tasks[_Pred4UID],Tasks[[#This Row],[UID]])))</f>
        <v>0</v>
      </c>
      <c r="EI2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2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25" s="74" t="str">
        <f aca="false">IF(NOT(Tasks[[#This Row],[_IsLeaf]]=1),"",IF(N(Tasks[[#This Row],[Duration]])&lt;=0,Tasks[[#This Row],[_LeafLateFinish]],WORKDAY.INTL(Tasks[[#This Row],[_LeafLateFinish]],-(Tasks[[#This Row],[Duration]]-1),WorkWeek,Holidays)))</f>
        <v/>
      </c>
      <c r="EL2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25" s="73" t="b">
        <f aca="false">AND(Tasks[[#This Row],[_IsLeaf]]=1,Tasks[[#This Row],[_LeafProgress]]&lt;1,N(Tasks[[#This Row],[_LeafTotalSlack]])&lt;=CriticalSlackDays)</f>
        <v>0</v>
      </c>
      <c r="EN25" s="45" t="n">
        <f aca="false">IF(AND(Tasks[[#This Row],[_IsLeaf]]=1,Tasks[[#This Row],[_ConstraintCode]]=1,Tasks[[#This Row],[Mode]]&lt;&gt;"Manual",N(Tasks[[#This Row],[Actual Start]])=0),MAX(0,N(Tasks[[#This Row],[Free Slack]])),0)</f>
        <v>0</v>
      </c>
      <c r="EO25" s="74" t="str">
        <f aca="false">IF(NOT(Tasks[[#This Row],[_IsLeaf]]=1),"",IF(Tasks[[#This Row],[_AlapShift]]=0,Tasks[[#This Row],[_LeafCalcStart]],WORKDAY.INTL(Tasks[[#This Row],[_LeafCalcStart]],Tasks[[#This Row],[_AlapShift]],WorkWeek,Holidays)))</f>
        <v/>
      </c>
      <c r="EP25" s="74" t="str">
        <f aca="false">IF(NOT(Tasks[[#This Row],[_IsLeaf]]=1),"",IF(Tasks[[#This Row],[_AlapShift]]=0,Tasks[[#This Row],[_LeafCalcFinish]],WORKDAY.INTL(Tasks[[#This Row],[_LeafCalcFinish]],Tasks[[#This Row],[_AlapShift]],WorkWeek,Holidays)))</f>
        <v/>
      </c>
      <c r="EQ25" s="74" t="str">
        <f aca="false">IF(NOT(Tasks[[#This Row],[_IsLeaf]]=1),"",IF(Tasks[[#This Row],[_AlapShift]]=0,Tasks[[#This Row],[_LeafFcstStart]],WORKDAY.INTL(Tasks[[#This Row],[_LeafFcstStart]],Tasks[[#This Row],[_AlapShift]],WorkWeek,Holidays)))</f>
        <v/>
      </c>
      <c r="ER25" s="74" t="str">
        <f aca="false">IF(NOT(Tasks[[#This Row],[_IsLeaf]]=1),"",IF(Tasks[[#This Row],[_AlapShift]]=0,Tasks[[#This Row],[_LeafFcstFinish]],WORKDAY.INTL(Tasks[[#This Row],[_LeafFcstFinish]],Tasks[[#This Row],[_AlapShift]],WorkWeek,Holidays)))</f>
        <v/>
      </c>
      <c r="ES25" s="74" t="n">
        <f aca="false">IF(Tasks[[#This Row],[Task Name]]="","",IF(Tasks[[#This Row],[_IsSummary]],MIN(INDEX(Tasks[_ShownCalcStart],Tasks[[#This Row],[_Row]]+1):INDEX(Tasks[_ShownCalcStart],Tasks[[#This Row],[_Row]]+Tasks[[#This Row],[_Descendants]])),Tasks[[#This Row],[_ShownCalcStart]]))</f>
        <v>46328</v>
      </c>
      <c r="ET25" s="74" t="n">
        <f aca="false">IF(Tasks[[#This Row],[Task Name]]="","",IF(Tasks[[#This Row],[_IsSummary]],MAX(INDEX(Tasks[_ShownCalcFinish],Tasks[[#This Row],[_Row]]+1):INDEX(Tasks[_ShownCalcFinish],Tasks[[#This Row],[_Row]]+Tasks[[#This Row],[_Descendants]])),Tasks[[#This Row],[_ShownCalcFinish]]))</f>
        <v>46391</v>
      </c>
      <c r="EU2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2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2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2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2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2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2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2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2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2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2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2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25" s="45" t="n">
        <f aca="false">IF(AND(Tasks[[#This Row],[_IsLeaf]]=1,Tasks[[#This Row],[_LeafTotalWork]]&gt;0),NETWORKDAYS.INTL(ProjectStart,Tasks[[#This Row],[_ShownFcstStart]],WorkWeek,Holidays),0)</f>
        <v>0</v>
      </c>
      <c r="FH25" s="45" t="n">
        <f aca="false">IF(AND(Tasks[[#This Row],[_IsLeaf]]=1,Tasks[[#This Row],[_LeafTotalWork]]&gt;0),MAX(Tasks[[#This Row],[_StartWorkday]],NETWORKDAYS.INTL(ProjectStart,Tasks[[#This Row],[_ShownFcstFinish]],WorkWeek,Holidays)),0)</f>
        <v>0</v>
      </c>
      <c r="FI25" s="45" t="n">
        <f aca="false">IF(AND(Tasks[[#This Row],[_IsLeaf]]=1,Tasks[[#This Row],[_LeafTotalWork]]&gt;0),Tasks[[#This Row],[_LeafWork]]/(Tasks[[#This Row],[_FinishWorkday]]-Tasks[[#This Row],[_StartWorkday]]+1),0)</f>
        <v>0</v>
      </c>
      <c r="FJ25" s="45" t="n">
        <f aca="false">Tasks[[#This Row],[_WorkPerWorkday]]*(Tasks[[#This Row],[_StartWorkday]]-1)</f>
        <v>-0</v>
      </c>
      <c r="FK25" s="45" t="n">
        <f aca="false">IF(Tasks[[#This Row],[_IsLeaf]]=1,MAX(N(Tasks[[#This Row],[Duration]]),0.1),0)</f>
        <v>0</v>
      </c>
      <c r="FL25" s="45" t="n">
        <f aca="false">Tasks[[#This Row],[_WeightDur]]*Tasks[[#This Row],[_LeafProgress]]</f>
        <v>0</v>
      </c>
      <c r="FM2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25" s="45" t="str">
        <f aca="false">IF(AND(Tasks[[#This Row],[_IsLeaf]]=1,N(Tasks[[#This Row],[Duration]])=0,Tasks[[#This Row],[_LeafProgress]]&lt;1),Tasks[[#This Row],[_ShownFcstFinish]]+Tasks[[#This Row],[_Row]]/100000,"")</f>
        <v/>
      </c>
      <c r="FO2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25" s="45" t="n">
        <f aca="false">IF(NOT(Tasks[[#This Row],[_IsLeaf]]=1),0,IF(Tasks[[#This Row],[Baseline Cost]]="",Tasks[[#This Row],[_LeafTotalCost]],N(Tasks[[#This Row],[Baseline Cost]])))</f>
        <v>0</v>
      </c>
      <c r="FQ25" s="45" t="n">
        <f aca="false">Tasks[[#This Row],[_LeafBudget]]*Tasks[[#This Row],[_PlannedPct]]</f>
        <v>0</v>
      </c>
      <c r="FR25" s="45" t="n">
        <f aca="false">Tasks[[#This Row],[_LeafBudget]]*Tasks[[#This Row],[_LeafProgress]]</f>
        <v>0</v>
      </c>
      <c r="FS25" s="45" t="n">
        <f aca="false">IF(NOT(Tasks[[#This Row],[_IsLeaf]]=1),0,IF(Tasks[[#This Row],[Actual Cost]]="",Tasks[[#This Row],[_LeafTotalCost]]*Tasks[[#This Row],[_LeafProgress]],N(Tasks[[#This Row],[Actual Cost]])))</f>
        <v>0</v>
      </c>
      <c r="FT25" s="45" t="str">
        <f aca="false">IF(Tasks[[#This Row],[Task Name]]="","",LEFT(Tasks[[#This Row],[WBS]],FIND(".",Tasks[[#This Row],[WBS]]&amp;".")-1))</f>
        <v>4</v>
      </c>
      <c r="FU25" s="45" t="n">
        <f aca="false">IF(AND(Tasks[[#This Row],[Task Name]]&lt;&gt;"",Tasks[[#This Row],[_Level]]=1),Tasks[[#This Row],[_Row]],"")</f>
        <v>20</v>
      </c>
      <c r="FV25" s="45" t="str">
        <f aca="false">IF(AND(Tasks[[#This Row],[_IsLeaf]]=1,N(Tasks[[#This Row],[Duration]])=0),Tasks[[#This Row],[Planned Finish]]+Tasks[[#This Row],[_Row]]/100000,"")</f>
        <v/>
      </c>
      <c r="FW25" s="45" t="str">
        <f aca="false">IF(AND(Tasks[[#This Row],[_IsLeaf]]=1,Tasks[[#This Row],[_LeafProgress]]&lt;1,OR(N(Tasks[[#This Row],[Finish Var]])&gt;0,Tasks[[#This Row],[Status]]="Late Start")),MAX(0,Tasks[[#This Row],[Finish Var]])+1-Tasks[[#This Row],[_Row]]/1000000,"")</f>
        <v/>
      </c>
      <c r="FX25" s="45" t="str">
        <f aca="false">IF(AND(Tasks[[#This Row],[_IsLeaf]]=1,N(Tasks[[#This Row],[Actual Start]])=0,Tasks[[#This Row],[_ShownFcstStart]]&gt;=StatusDate,Tasks[[#This Row],[_ShownFcstStart]]&lt;=LookaheadEnd),Tasks[[#This Row],[_ShownFcstStart]]+Tasks[[#This Row],[_Row]]/100000,"")</f>
        <v/>
      </c>
      <c r="FY25" s="45" t="str">
        <f aca="false">IF(AND(Tasks[[#This Row],[_IsLeaf]]=1,Tasks[[#This Row],[_LeafProgress]]&lt;1,Tasks[[#This Row],[_ShownFcstFinish]]&gt;=StatusDate,Tasks[[#This Row],[_ShownFcstFinish]]&lt;=LookaheadEnd),Tasks[[#This Row],[_ShownFcstFinish]]+Tasks[[#This Row],[_Row]]/100000,"")</f>
        <v/>
      </c>
      <c r="FZ25" s="45" t="str">
        <f aca="false">IF(Tasks[[#This Row],[_LeafCritical]],Tasks[[#This Row],[_ShownFcstStart]]+Tasks[[#This Row],[_Row]]/100000,"")</f>
        <v/>
      </c>
      <c r="GA25" s="45" t="n">
        <f aca="false">Tasks[[#This Row],[_LeafWork]]*Tasks[[#This Row],[_LeafProgress]]</f>
        <v>0</v>
      </c>
      <c r="GB25" s="74" t="str">
        <f aca="false">IF(AND(Tasks[[#This Row],[_IsLeaf]]=1,Tasks[[#This Row],[_LeafProgress]]&gt;=1),IF(N(Tasks[[#This Row],[Actual Finish]])&gt;0,Tasks[[#This Row],[Actual Finish]],Tasks[[#This Row],[_ShownFcstFinish]]),"")</f>
        <v/>
      </c>
    </row>
    <row r="26" customFormat="false" ht="15" hidden="false" customHeight="false" outlineLevel="1" collapsed="false">
      <c r="A26" s="67" t="n">
        <f aca="false">IF(Tasks[[#This Row],[Task Name]]="","",COUNTA(Tasks[[#Headers],[Task Name]]:Tasks[[#This Row],[Task Name]])-1)</f>
        <v>21</v>
      </c>
      <c r="B26" s="21" t="n">
        <v>21</v>
      </c>
      <c r="C2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4.1</v>
      </c>
      <c r="D26" s="21" t="n">
        <v>2</v>
      </c>
      <c r="E26" s="75" t="s">
        <v>547</v>
      </c>
      <c r="F26" s="21" t="n">
        <v>8</v>
      </c>
      <c r="G26" s="22" t="s">
        <v>548</v>
      </c>
      <c r="H26" s="22" t="s">
        <v>549</v>
      </c>
      <c r="I26" s="22"/>
      <c r="J26" s="7"/>
      <c r="K26" s="7"/>
      <c r="L26" s="22"/>
      <c r="M26" s="58" t="n">
        <f aca="false">IF(Tasks[[#This Row],[Task Name]]="","",IF(Tasks[[#This Row],[_IsSummary]],MIN(INDEX(Tasks[_ShownFcstStart],Tasks[[#This Row],[_Row]]+1):INDEX(Tasks[_ShownFcstStart],Tasks[[#This Row],[_Row]]+Tasks[[#This Row],[_Descendants]])),Tasks[[#This Row],[_ShownFcstStart]]))</f>
        <v>46336</v>
      </c>
      <c r="N26" s="58" t="n">
        <f aca="false">IF(Tasks[[#This Row],[Task Name]]="","",IF(Tasks[[#This Row],[_IsSummary]],MAX(INDEX(Tasks[_ShownFcstFinish],Tasks[[#This Row],[_Row]]+1):INDEX(Tasks[_ShownFcstFinish],Tasks[[#This Row],[_Row]]+Tasks[[#This Row],[_Descendants]])),Tasks[[#This Row],[_ShownFcstFinish]]))</f>
        <v>46345</v>
      </c>
      <c r="O26" s="20" t="str">
        <f aca="false">IF(Tasks[[#This Row],[Task Name]]="","",IF(Tasks[[#This Row],[Progress]]&gt;=1,"Complete",IF(OR(N(Tasks[[#This Row],[Actual Start]])&gt;0,Tasks[[#This Row],[Progress]]&gt;0),IF(Tasks[[#This Row],[Finish Var]]&gt;0,"Behind","In Progress"),IF(Tasks[[#This Row],[Planned Start]]&lt;StatusDate,"Late Start","Not Started"))))</f>
        <v>Not Started</v>
      </c>
      <c r="P26" s="20" t="str">
        <f aca="false">IF(Tasks[[#This Row],[Task Name]]="","",IF(IF(Tasks[[#This Row],[_IsSummary]],COUNTIF(INDEX(Tasks[_LeafCritical],Tasks[[#This Row],[_Row]]+1):INDEX(Tasks[_LeafCritical],Tasks[[#This Row],[_Row]]+Tasks[[#This Row],[_Descendants]]),TRUE())&gt;0,Tasks[[#This Row],[_LeafCritical]]),"Yes",""))</f>
        <v/>
      </c>
      <c r="Q2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26" s="67" t="str">
        <f aca="false">IF(Tasks[[#This Row],[Task Name]]="","",IF(Tasks[[#This Row],[_Level]]&lt;=OutlineShowLevel,"Yes","No"))</f>
        <v>Yes</v>
      </c>
      <c r="S26" s="7"/>
      <c r="T26" s="21" t="s">
        <v>195</v>
      </c>
      <c r="U26" s="22"/>
      <c r="V26" s="7"/>
      <c r="W26" s="67" t="n">
        <f aca="false">IF(Tasks[[#This Row],[Task Name]]="","",IF(Tasks[[#This Row],[Finish]]&gt;=Tasks[[#This Row],[Planned Finish]],NETWORKDAYS.INTL(Tasks[[#This Row],[Planned Finish]],Tasks[[#This Row],[Finish]],WorkWeek,Holidays)-1,1-NETWORKDAYS.INTL(Tasks[[#This Row],[Finish]],Tasks[[#This Row],[Planned Finish]],WorkWeek,Holidays)))</f>
        <v>6</v>
      </c>
      <c r="X26" s="58" t="n">
        <f aca="false">IF(Tasks[[#This Row],[Task Name]]="","",IF(N(Tasks[[#This Row],[Baseline Start]])&gt;0,Tasks[[#This Row],[Baseline Start]],Tasks[[#This Row],[_CalcStart]]))</f>
        <v>46328</v>
      </c>
      <c r="Y26" s="58" t="n">
        <f aca="false">IF(Tasks[[#This Row],[Task Name]]="","",IF(N(Tasks[[#This Row],[Baseline Finish]])&gt;0,Tasks[[#This Row],[Baseline Finish]],Tasks[[#This Row],[_CalcFinish]]))</f>
        <v>46337</v>
      </c>
      <c r="Z26" s="67" t="n">
        <f aca="false">IF(Tasks[[#This Row],[Task Name]]="","",IF(Tasks[[#This Row],[Start]]&gt;=Tasks[[#This Row],[Planned Start]],NETWORKDAYS.INTL(Tasks[[#This Row],[Planned Start]],Tasks[[#This Row],[Start]],WorkWeek,Holidays)-1,1-NETWORKDAYS.INTL(Tasks[[#This Row],[Start]],Tasks[[#This Row],[Planned Start]],WorkWeek,Holidays)))</f>
        <v>6</v>
      </c>
      <c r="AA26" s="58" t="n">
        <f aca="false">IF(Tasks[[#This Row],[Task Name]]="","",IF(Tasks[[#This Row],[_IsSummary]],MIN(INDEX(Tasks[_LeafLateStart],Tasks[[#This Row],[_Row]]+1):INDEX(Tasks[_LeafLateStart],Tasks[[#This Row],[_Row]]+Tasks[[#This Row],[_Descendants]])),Tasks[[#This Row],[_LeafLateStart]]))</f>
        <v>46351</v>
      </c>
      <c r="AB26" s="58" t="n">
        <f aca="false">IF(Tasks[[#This Row],[Task Name]]="","",IF(Tasks[[#This Row],[_IsSummary]],MAX(INDEX(Tasks[_LeafLateFinish],Tasks[[#This Row],[_Row]]+1):INDEX(Tasks[_LeafLateFinish],Tasks[[#This Row],[_Row]]+Tasks[[#This Row],[_Descendants]])),Tasks[[#This Row],[_LeafLateFinish]]))</f>
        <v>46360</v>
      </c>
      <c r="AC26" s="67" t="n">
        <f aca="false">IF(Tasks[[#This Row],[Task Name]]="","",IF(Tasks[[#This Row],[_IsSummary]],MIN(INDEX(Tasks[_LeafTotalSlack],Tasks[[#This Row],[_Row]]+1):INDEX(Tasks[_LeafTotalSlack],Tasks[[#This Row],[_Row]]+Tasks[[#This Row],[_Descendants]])),Tasks[[#This Row],[_LeafTotalSlack]]))</f>
        <v>11</v>
      </c>
      <c r="AD26"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2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2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26" s="60"/>
      <c r="AH26"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I2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19</v>
      </c>
      <c r="AJ26" s="69" t="n">
        <f aca="false">IF(Tasks[[#This Row],[Task Name]]="","",IF(Tasks[[#This Row],[_IsSummary]],SUM(INDEX(Tasks[_LeafTotalWork],Tasks[[#This Row],[_Row]]+1):INDEX(Tasks[_LeafTotalWork],Tasks[[#This Row],[_Row]]+Tasks[[#This Row],[_Descendants]])),Tasks[[#This Row],[_LeafTotalWork]]))</f>
        <v>96</v>
      </c>
      <c r="AK2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Taylor Morgan, Sam Rivera[50%]</v>
      </c>
      <c r="AL26" s="70" t="n">
        <f aca="false">IF(Tasks[[#This Row],[Task Name]]="","",IF(Tasks[[#This Row],[_IsSummary]],SUM(INDEX(Tasks[_LeafTotalCost],Tasks[[#This Row],[_Row]]+1):INDEX(Tasks[_LeafTotalCost],Tasks[[#This Row],[_Row]]+Tasks[[#This Row],[_Descendants]])),Tasks[[#This Row],[_LeafTotalCost]]))</f>
        <v>6720</v>
      </c>
      <c r="AM26" s="71"/>
      <c r="AN26" s="20" t="str">
        <f aca="false">IF(OR(Tasks[[#This Row],[Task Name]]="",Tasks[[#This Row],[Baseline Duration]]=""),"",Tasks[[#This Row],[BL Source Duration]]-N(Tasks[[#This Row],[Baseline Duration]]))</f>
        <v/>
      </c>
      <c r="AO26" s="69" t="str">
        <f aca="false">IF(OR(Tasks[[#This Row],[Task Name]]="",Tasks[[#This Row],[Baseline Work]]=""),"",Tasks[[#This Row],[Work]]-N(Tasks[[#This Row],[Baseline Work]]))</f>
        <v/>
      </c>
      <c r="AP26" s="70" t="str">
        <f aca="false">IF(OR(Tasks[[#This Row],[Task Name]]="",Tasks[[#This Row],[Baseline Cost]]=""),"",Tasks[[#This Row],[Cost]]-N(Tasks[[#This Row],[Baseline Cost]]))</f>
        <v/>
      </c>
      <c r="AQ26" s="58" t="n">
        <f aca="false">IF(Tasks[[#This Row],[Task Name]]="","",Tasks[[#This Row],[Start]])</f>
        <v>46336</v>
      </c>
      <c r="AR26" s="58" t="n">
        <f aca="false">IF(Tasks[[#This Row],[Task Name]]="","",Tasks[[#This Row],[Finish]])</f>
        <v>46345</v>
      </c>
      <c r="AS26" s="67" t="n">
        <f aca="false">IF(Tasks[[#This Row],[Task Name]]="","",IF(Tasks[[#This Row],[_IsSummary]],NETWORKDAYS.INTL(Tasks[[#This Row],[Start]],Tasks[[#This Row],[Finish]],WorkWeek,Holidays),N(Tasks[[#This Row],[Duration]])))</f>
        <v>8</v>
      </c>
      <c r="AT26" s="69" t="n">
        <f aca="false">IF(Tasks[[#This Row],[Task Name]]="","",Tasks[[#This Row],[Work]])</f>
        <v>96</v>
      </c>
      <c r="AU26" s="70" t="n">
        <f aca="false">IF(Tasks[[#This Row],[Task Name]]="","",Tasks[[#This Row],[Cost]])</f>
        <v>6720</v>
      </c>
      <c r="AV26" s="7"/>
      <c r="AW26" s="7"/>
      <c r="AX26" s="21"/>
      <c r="AY26" s="72"/>
      <c r="AZ26" s="71"/>
      <c r="BA26" s="70" t="n">
        <f aca="false">IF(Tasks[[#This Row],[Task Name]]="","",IF(Tasks[[#This Row],[_IsSummary]],SUM(INDEX(Tasks[_LeafEV],Tasks[[#This Row],[_Row]]+1):INDEX(Tasks[_LeafEV],Tasks[[#This Row],[_Row]]+Tasks[[#This Row],[_Descendants]])),Tasks[[#This Row],[_LeafEV]]))</f>
        <v>0</v>
      </c>
      <c r="BB26" s="70" t="n">
        <f aca="false">IF(Tasks[[#This Row],[Task Name]]="","",IF(Tasks[[#This Row],[_IsSummary]],SUM(INDEX(Tasks[_LeafBudget],Tasks[[#This Row],[_Row]]+1):INDEX(Tasks[_LeafBudget],Tasks[[#This Row],[_Row]]+Tasks[[#This Row],[_Descendants]])),Tasks[[#This Row],[_LeafBudget]]))</f>
        <v>6720</v>
      </c>
      <c r="BC26" s="70" t="n">
        <f aca="false">IF(Tasks[[#This Row],[Task Name]]="","",IF(Tasks[[#This Row],[_IsSummary]],SUM(INDEX(Tasks[_LeafPV],Tasks[[#This Row],[_Row]]+1):INDEX(Tasks[_LeafPV],Tasks[[#This Row],[_Row]]+Tasks[[#This Row],[_Descendants]])),Tasks[[#This Row],[_LeafPV]]))</f>
        <v>0</v>
      </c>
      <c r="BD26" s="70" t="n">
        <f aca="false">IF(Tasks[[#This Row],[Task Name]]="","",IF(Tasks[[#This Row],[_IsSummary]],SUM(INDEX(Tasks[_LeafAC],Tasks[[#This Row],[_Row]]+1):INDEX(Tasks[_LeafAC],Tasks[[#This Row],[_Row]]+Tasks[[#This Row],[_Descendants]])),Tasks[[#This Row],[_LeafAC]]))</f>
        <v>0</v>
      </c>
      <c r="BE26" s="45" t="n">
        <f aca="false">IF(Tasks[[#This Row],[Task Name]]="","",MAX(1,N(Tasks[[#This Row],[Level]])))</f>
        <v>2</v>
      </c>
      <c r="BF26" s="45" t="n">
        <f aca="false">ROW()-ROW(Tasks[[#Headers],[ID]])</f>
        <v>21</v>
      </c>
      <c r="BG26" s="45" t="n">
        <f aca="false">IF(OR(Tasks[[#This Row],[Task Name]]="",Tasks[[#This Row],[_Level]]&lt;=1),0,IFERROR(LOOKUP(2,1/(Tasks[[#Headers],[_Level]]:Tasks[[#This Row],[_Level]]=Tasks[[#This Row],[_Level]]-1),ROW(Tasks[[#Headers],[_Level]]:Tasks[[#This Row],[_Level]])),0))</f>
        <v>25</v>
      </c>
      <c r="BH26" s="45" t="n">
        <f aca="false">IFERROR(N(INDEX(Tasks[_Level],Tasks[[#This Row],[_Row]]+1)),0)</f>
        <v>2</v>
      </c>
      <c r="BI26" s="73" t="b">
        <f aca="false">AND(Tasks[[#This Row],[Task Name]]&lt;&gt;"",Tasks[[#This Row],[_NextLevel]]&gt;Tasks[[#This Row],[_Level]])</f>
        <v>0</v>
      </c>
      <c r="BJ26" s="45" t="n">
        <f aca="false">IF(Tasks[[#This Row],[_IsSummary]],COUNTIF(Tasks[WBS],Tasks[[#This Row],[WBS]]&amp;".*"),0)</f>
        <v>0</v>
      </c>
      <c r="BK26" s="45" t="n">
        <f aca="false">IF(AND(Tasks[[#This Row],[Task Name]]&lt;&gt;"",NOT(Tasks[[#This Row],[_IsSummary]])),1,0)</f>
        <v>1</v>
      </c>
      <c r="BL26" s="45" t="n">
        <f aca="false">IF(N(Tasks[[#This Row],[_Pred1UID]])=0,0,IFERROR(MATCH(Tasks[[#This Row],[_Pred1UID]],Tasks[UID],0),-1))</f>
        <v>19</v>
      </c>
      <c r="BM26" s="45" t="n">
        <f aca="false">IF(N(Tasks[[#This Row],[_Pred2UID]])=0,0,IFERROR(MATCH(Tasks[[#This Row],[_Pred2UID]],Tasks[UID],0),-1))</f>
        <v>0</v>
      </c>
      <c r="BN26" s="45" t="n">
        <f aca="false">IF(N(Tasks[[#This Row],[_Pred3UID]])=0,0,IFERROR(MATCH(Tasks[[#This Row],[_Pred3UID]],Tasks[UID],0),-1))</f>
        <v>0</v>
      </c>
      <c r="BO26" s="45" t="n">
        <f aca="false">IF(N(Tasks[[#This Row],[_Pred4UID]])=0,0,IFERROR(MATCH(Tasks[[#This Row],[_Pred4UID]],Tasks[UID],0),-1))</f>
        <v>0</v>
      </c>
      <c r="BP26"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2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26" s="74" t="n">
        <f aca="false">IF(OR(Tasks[[#This Row],[_ConstraintCode]]=2,Tasks[[#This Row],[_ConstraintCode]]=3,Tasks[[#This Row],[_ConstraintCode]]=4,Tasks[[#This Row],[_ConstraintCode]]=6),Tasks[[#This Row],[_ConstraintStart]],0)</f>
        <v>0</v>
      </c>
      <c r="BS26" s="74" t="n">
        <f aca="false">IF(OR(Tasks[[#This Row],[_ConstraintCode]]=2,Tasks[[#This Row],[_ConstraintCode]]=3,Tasks[[#This Row],[_ConstraintCode]]=5,Tasks[[#This Row],[_ConstraintCode]]=7),Tasks[[#This Row],[_ConstraintStart]],2958465)</f>
        <v>2958465</v>
      </c>
      <c r="BT26"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46328</v>
      </c>
      <c r="BU26" s="74" t="n">
        <f aca="false">IF(NOT(Tasks[[#This Row],[_IsLeaf]]=1),"",IF(N(Tasks[[#This Row],[Duration]])&lt;=0,Tasks[[#This Row],[_LeafCalcStart]],WORKDAY.INTL(Tasks[[#This Row],[_LeafCalcStart]],Tasks[[#This Row],[Duration]]-1,WorkWeek,Holidays)))</f>
        <v>46337</v>
      </c>
      <c r="BV26"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46336</v>
      </c>
      <c r="BW26"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46345</v>
      </c>
      <c r="BX26" s="45" t="str">
        <f aca="false">IF(Tasks[[#This Row],[Predecessors]]="","",TRIM(MID(SUBSTITUTE(SUBSTITUTE(SUBSTITUTE(UPPER(Tasks[[#This Row],[Predecessors]]),";",",")," ",""),",",REPT(" ",99)),1,99)))</f>
        <v>19</v>
      </c>
      <c r="BY26" s="45" t="n">
        <f aca="false">IF(Tasks[[#This Row],[_Pred1Text]]="","",IFERROR(VALUE(LEFT(Tasks[[#This Row],[_Pred1Text]],MIN(FIND("F",Tasks[[#This Row],[_Pred1Text]]&amp;"F"),FIND("S",Tasks[[#This Row],[_Pred1Text]]&amp;"S"),FIND("+",Tasks[[#This Row],[_Pred1Text]]&amp;"+"),FIND("-",Tasks[[#This Row],[_Pred1Text]]&amp;"-"))-1)),""))</f>
        <v>19</v>
      </c>
      <c r="BZ2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26"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26" s="45" t="str">
        <f aca="false">IF(Tasks[[#This Row],[_Pred1Text]]="","",TRIM(MID(SUBSTITUTE(SUBSTITUTE(SUBSTITUTE(UPPER(Tasks[[#This Row],[Predecessors]]),";",",")," ",""),",",REPT(" ",99)),100,99)))</f>
        <v/>
      </c>
      <c r="CC26" s="45" t="str">
        <f aca="false">IF(Tasks[[#This Row],[_Pred2Text]]="","",IFERROR(VALUE(LEFT(Tasks[[#This Row],[_Pred2Text]],MIN(FIND("F",Tasks[[#This Row],[_Pred2Text]]&amp;"F"),FIND("S",Tasks[[#This Row],[_Pred2Text]]&amp;"S"),FIND("+",Tasks[[#This Row],[_Pred2Text]]&amp;"+"),FIND("-",Tasks[[#This Row],[_Pred2Text]]&amp;"-"))-1)),""))</f>
        <v/>
      </c>
      <c r="CD2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2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26" s="45" t="str">
        <f aca="false">IF(Tasks[[#This Row],[_Pred2Text]]="","",TRIM(MID(SUBSTITUTE(SUBSTITUTE(SUBSTITUTE(UPPER(Tasks[[#This Row],[Predecessors]]),";",",")," ",""),",",REPT(" ",99)),199,99)))</f>
        <v/>
      </c>
      <c r="CG26" s="45" t="str">
        <f aca="false">IF(Tasks[[#This Row],[_Pred3Text]]="","",IFERROR(VALUE(LEFT(Tasks[[#This Row],[_Pred3Text]],MIN(FIND("F",Tasks[[#This Row],[_Pred3Text]]&amp;"F"),FIND("S",Tasks[[#This Row],[_Pred3Text]]&amp;"S"),FIND("+",Tasks[[#This Row],[_Pred3Text]]&amp;"+"),FIND("-",Tasks[[#This Row],[_Pred3Text]]&amp;"-"))-1)),""))</f>
        <v/>
      </c>
      <c r="CH2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2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26" s="45" t="str">
        <f aca="false">IF(Tasks[[#This Row],[_Pred3Text]]="","",TRIM(MID(SUBSTITUTE(SUBSTITUTE(SUBSTITUTE(UPPER(Tasks[[#This Row],[Predecessors]]),";",",")," ",""),",",REPT(" ",99)),298,99)))</f>
        <v/>
      </c>
      <c r="CK26" s="45" t="str">
        <f aca="false">IF(Tasks[[#This Row],[_Pred4Text]]="","",IFERROR(VALUE(LEFT(Tasks[[#This Row],[_Pred4Text]],MIN(FIND("F",Tasks[[#This Row],[_Pred4Text]]&amp;"F"),FIND("S",Tasks[[#This Row],[_Pred4Text]]&amp;"S"),FIND("+",Tasks[[#This Row],[_Pred4Text]]&amp;"+"),FIND("-",Tasks[[#This Row],[_Pred4Text]]&amp;"-"))-1)),""))</f>
        <v/>
      </c>
      <c r="CL2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2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26" s="45" t="str">
        <f aca="false">IF(OR(Tasks[[#This Row],[Task Name]]="",Tasks[[#This Row],[Resources]]=""),"",TRIM(MID(SUBSTITUTE(Tasks[[#This Row],[Resources]],",",REPT(" ",99)),1,99)))</f>
        <v>Taylor Morgan</v>
      </c>
      <c r="CO26" s="45" t="str">
        <f aca="false">IF(Tasks[[#This Row],[_Res1Text]]="","",TRIM(MID(SUBSTITUTE(Tasks[[#This Row],[Resources]],",",REPT(" ",99)),100,99)))</f>
        <v>Sam Rivera[50%]</v>
      </c>
      <c r="CP26" s="45" t="str">
        <f aca="false">IF(Tasks[[#This Row],[_Res2Text]]="","",TRIM(MID(SUBSTITUTE(Tasks[[#This Row],[Resources]],",",REPT(" ",99)),199,99)))</f>
        <v/>
      </c>
      <c r="CQ26" s="45" t="str">
        <f aca="false">IF(Tasks[[#This Row],[_Res3Text]]="","",TRIM(MID(SUBSTITUTE(Tasks[[#This Row],[Resources]],",",REPT(" ",99)),298,99)))</f>
        <v/>
      </c>
      <c r="CR2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Taylor Morgan</v>
      </c>
      <c r="CS2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6" s="45" t="n">
        <f aca="false">IF(NOT(Tasks[[#This Row],[_IsLeaf]]=1),0,(Tasks[[#This Row],[_Resource1]]&lt;&gt;"")+(Tasks[[#This Row],[_Res2]]&lt;&gt;"")+(Tasks[[#This Row],[_Res3]]&lt;&gt;"")+(Tasks[[#This Row],[_Res4]]&lt;&gt;""))</f>
        <v>2</v>
      </c>
      <c r="CU2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Sam Rivera</v>
      </c>
      <c r="CV26" s="45"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CW26" s="45" t="n">
        <f aca="false">IF(OR(NOT(Tasks[[#This Row],[_IsLeaf]]=1),Tasks[[#This Row],[_Res2]]=""),0,IF(ISNA(MATCH(Tasks[[#This Row],[_Res2]],res_Name,0)),0,N(Tasks[[#This Row],[Duration]])*HoursPerDay*IF(Tasks[[#This Row],[_Res2Units]]="",DefaultUnits,Tasks[[#This Row],[_Res2Units]])))</f>
        <v>32</v>
      </c>
      <c r="CX26" s="45" t="n">
        <f aca="false">IF(Tasks[[#This Row],[_Res2Work]]=0,0,Tasks[[#This Row],[_Res2Work]]*IFERROR(INDEX(res_Rate,MATCH(Tasks[[#This Row],[_Res2]],res_Name,0)),0))</f>
        <v>2560</v>
      </c>
      <c r="CY26" s="45" t="n">
        <f aca="false">IF(AND(AND(Tasks[[#This Row],[_IsLeaf]]=1,Tasks[[#This Row],[_LeafTotalWork]]&gt;0),Tasks[[#This Row],[_Res2Work]]&gt;0),Tasks[[#This Row],[_Res2Work]]/(Tasks[[#This Row],[_FinishWorkday]]-Tasks[[#This Row],[_StartWorkday]]+1),0)</f>
        <v>4</v>
      </c>
      <c r="CZ26" s="45" t="n">
        <f aca="false">Tasks[[#This Row],[_Res2WorkPerWD]]*MAX(0,Tasks[[#This Row],[_StartWorkday]]-1)</f>
        <v>184</v>
      </c>
      <c r="DA26" s="45" t="n">
        <f aca="false">Tasks[[#This Row],[_Res2Work]]*Tasks[[#This Row],[_LeafProgress]]</f>
        <v>0</v>
      </c>
      <c r="DB26" s="45" t="n">
        <f aca="false">IF(Tasks[[#This Row],[_LeafTotalCost]]=0,0,Tasks[[#This Row],[_LeafAC]]*Tasks[[#This Row],[_Res2Cost]]/Tasks[[#This Row],[_LeafTotalCost]])</f>
        <v>0</v>
      </c>
      <c r="DC2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2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26" s="45" t="n">
        <f aca="false">IF(OR(NOT(Tasks[[#This Row],[_IsLeaf]]=1),Tasks[[#This Row],[_Res3]]=""),0,IF(ISNA(MATCH(Tasks[[#This Row],[_Res3]],res_Name,0)),0,N(Tasks[[#This Row],[Duration]])*HoursPerDay*IF(Tasks[[#This Row],[_Res3Units]]="",DefaultUnits,Tasks[[#This Row],[_Res3Units]])))</f>
        <v>0</v>
      </c>
      <c r="DF26" s="45" t="n">
        <f aca="false">IF(Tasks[[#This Row],[_Res3Work]]=0,0,Tasks[[#This Row],[_Res3Work]]*IFERROR(INDEX(res_Rate,MATCH(Tasks[[#This Row],[_Res3]],res_Name,0)),0))</f>
        <v>0</v>
      </c>
      <c r="DG26" s="45" t="n">
        <f aca="false">IF(AND(AND(Tasks[[#This Row],[_IsLeaf]]=1,Tasks[[#This Row],[_LeafTotalWork]]&gt;0),Tasks[[#This Row],[_Res3Work]]&gt;0),Tasks[[#This Row],[_Res3Work]]/(Tasks[[#This Row],[_FinishWorkday]]-Tasks[[#This Row],[_StartWorkday]]+1),0)</f>
        <v>0</v>
      </c>
      <c r="DH26" s="45" t="n">
        <f aca="false">Tasks[[#This Row],[_Res3WorkPerWD]]*MAX(0,Tasks[[#This Row],[_StartWorkday]]-1)</f>
        <v>0</v>
      </c>
      <c r="DI26" s="45" t="n">
        <f aca="false">Tasks[[#This Row],[_Res3Work]]*Tasks[[#This Row],[_LeafProgress]]</f>
        <v>0</v>
      </c>
      <c r="DJ26" s="45" t="n">
        <f aca="false">IF(Tasks[[#This Row],[_LeafTotalCost]]=0,0,Tasks[[#This Row],[_LeafAC]]*Tasks[[#This Row],[_Res3Cost]]/Tasks[[#This Row],[_LeafTotalCost]])</f>
        <v>0</v>
      </c>
      <c r="DK2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2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26" s="45" t="n">
        <f aca="false">IF(OR(NOT(Tasks[[#This Row],[_IsLeaf]]=1),Tasks[[#This Row],[_Res4]]=""),0,IF(ISNA(MATCH(Tasks[[#This Row],[_Res4]],res_Name,0)),0,N(Tasks[[#This Row],[Duration]])*HoursPerDay*IF(Tasks[[#This Row],[_Res4Units]]="",DefaultUnits,Tasks[[#This Row],[_Res4Units]])))</f>
        <v>0</v>
      </c>
      <c r="DN26" s="45" t="n">
        <f aca="false">IF(Tasks[[#This Row],[_Res4Work]]=0,0,Tasks[[#This Row],[_Res4Work]]*IFERROR(INDEX(res_Rate,MATCH(Tasks[[#This Row],[_Res4]],res_Name,0)),0))</f>
        <v>0</v>
      </c>
      <c r="DO26" s="45" t="n">
        <f aca="false">IF(AND(AND(Tasks[[#This Row],[_IsLeaf]]=1,Tasks[[#This Row],[_LeafTotalWork]]&gt;0),Tasks[[#This Row],[_Res4Work]]&gt;0),Tasks[[#This Row],[_Res4Work]]/(Tasks[[#This Row],[_FinishWorkday]]-Tasks[[#This Row],[_StartWorkday]]+1),0)</f>
        <v>0</v>
      </c>
      <c r="DP26" s="45" t="n">
        <f aca="false">Tasks[[#This Row],[_Res4WorkPerWD]]*MAX(0,Tasks[[#This Row],[_StartWorkday]]-1)</f>
        <v>0</v>
      </c>
      <c r="DQ26" s="45" t="n">
        <f aca="false">Tasks[[#This Row],[_Res4Work]]*Tasks[[#This Row],[_LeafProgress]]</f>
        <v>0</v>
      </c>
      <c r="DR26" s="45" t="n">
        <f aca="false">IF(Tasks[[#This Row],[_LeafTotalCost]]=0,0,Tasks[[#This Row],[_LeafAC]]*Tasks[[#This Row],[_Res4Cost]]/Tasks[[#This Row],[_LeafTotalCost]])</f>
        <v>0</v>
      </c>
      <c r="DS26" s="45" t="n">
        <f aca="false">IF(ISNUMBER(Tasks[[#This Row],[% Complete]]),Tasks[[#This Row],[% Complete]],IF(Tasks[[#This Row],[Stage]]="",0,IFERROR(INDEX(stg_Pct,MATCH(Tasks[[#This Row],[Stage]],stg_Name,0)),0)))</f>
        <v>0</v>
      </c>
      <c r="DT26" s="45" t="n">
        <f aca="false">IF(NOT(Tasks[[#This Row],[_IsLeaf]]=1),0,IF(N(Tasks[[#This Row],[Actual Finish]])&gt;0,1,MIN(1,Tasks[[#This Row],[_Pct]])))</f>
        <v>0</v>
      </c>
      <c r="DU26" s="45" t="n">
        <f aca="false">IF(OR(NOT(Tasks[[#This Row],[_IsLeaf]]=1),Tasks[[#This Row],[_Resource1]]=""),0,IF(ISNA(MATCH(Tasks[[#This Row],[_Resource1]],res_Name,0)),0,N(Tasks[[#This Row],[Duration]])*HoursPerDay*IF(Tasks[[#This Row],[_Units1]]="",DefaultUnits,Tasks[[#This Row],[_Units1]])))</f>
        <v>64</v>
      </c>
      <c r="DV26" s="45" t="n">
        <f aca="false">IF(Tasks[[#This Row],[_LeafWork]]=0,0,Tasks[[#This Row],[_LeafWork]]*IFERROR(INDEX(res_Rate,MATCH(Tasks[[#This Row],[_Resource1]],res_Name,0)),0))</f>
        <v>4160</v>
      </c>
      <c r="DW26" s="45" t="n">
        <f aca="false">Tasks[[#This Row],[_LeafWork]]+Tasks[[#This Row],[_Res2Work]]+Tasks[[#This Row],[_Res3Work]]+Tasks[[#This Row],[_Res4Work]]</f>
        <v>96</v>
      </c>
      <c r="DX26" s="45" t="n">
        <f aca="false">Tasks[[#This Row],[_LeafCost]]+Tasks[[#This Row],[_Res2Cost]]+Tasks[[#This Row],[_Res3Cost]]+Tasks[[#This Row],[_Res4Cost]]</f>
        <v>6720</v>
      </c>
      <c r="DY26" s="45" t="n">
        <f aca="false">IF(Tasks[[#This Row],[_LeafTotalCost]]=0,Tasks[[#This Row],[_LeafAC]],Tasks[[#This Row],[_LeafAC]]*Tasks[[#This Row],[_LeafCost]]/Tasks[[#This Row],[_LeafTotalCost]])</f>
        <v>0</v>
      </c>
      <c r="DZ26"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2912115</v>
      </c>
      <c r="EA2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2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2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26"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2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2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2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26" s="45" t="n">
        <f aca="false">IF(NOT(Tasks[[#This Row],[_IsLeaf]]=1),0,MAX(_xlfn.MAXIFS(Tasks[_Row],Tasks[_Pred1UID],Tasks[[#This Row],[UID]]),_xlfn.MAXIFS(Tasks[_Row],Tasks[_Pred2UID],Tasks[[#This Row],[UID]]),_xlfn.MAXIFS(Tasks[_Row],Tasks[_Pred3UID],Tasks[[#This Row],[UID]]),_xlfn.MAXIFS(Tasks[_Row],Tasks[_Pred4UID],Tasks[[#This Row],[UID]])))</f>
        <v>24</v>
      </c>
      <c r="EI26"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46360</v>
      </c>
      <c r="EJ26"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46360</v>
      </c>
      <c r="EK26" s="74" t="n">
        <f aca="false">IF(NOT(Tasks[[#This Row],[_IsLeaf]]=1),"",IF(N(Tasks[[#This Row],[Duration]])&lt;=0,Tasks[[#This Row],[_LeafLateFinish]],WORKDAY.INTL(Tasks[[#This Row],[_LeafLateFinish]],-(Tasks[[#This Row],[Duration]]-1),WorkWeek,Holidays)))</f>
        <v>46351</v>
      </c>
      <c r="EL26"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11</v>
      </c>
      <c r="EM26" s="73" t="b">
        <f aca="false">AND(Tasks[[#This Row],[_IsLeaf]]=1,Tasks[[#This Row],[_LeafProgress]]&lt;1,N(Tasks[[#This Row],[_LeafTotalSlack]])&lt;=CriticalSlackDays)</f>
        <v>0</v>
      </c>
      <c r="EN26" s="45" t="n">
        <f aca="false">IF(AND(Tasks[[#This Row],[_IsLeaf]]=1,Tasks[[#This Row],[_ConstraintCode]]=1,Tasks[[#This Row],[Mode]]&lt;&gt;"Manual",N(Tasks[[#This Row],[Actual Start]])=0),MAX(0,N(Tasks[[#This Row],[Free Slack]])),0)</f>
        <v>0</v>
      </c>
      <c r="EO26" s="74" t="n">
        <f aca="false">IF(NOT(Tasks[[#This Row],[_IsLeaf]]=1),"",IF(Tasks[[#This Row],[_AlapShift]]=0,Tasks[[#This Row],[_LeafCalcStart]],WORKDAY.INTL(Tasks[[#This Row],[_LeafCalcStart]],Tasks[[#This Row],[_AlapShift]],WorkWeek,Holidays)))</f>
        <v>46328</v>
      </c>
      <c r="EP26" s="74" t="n">
        <f aca="false">IF(NOT(Tasks[[#This Row],[_IsLeaf]]=1),"",IF(Tasks[[#This Row],[_AlapShift]]=0,Tasks[[#This Row],[_LeafCalcFinish]],WORKDAY.INTL(Tasks[[#This Row],[_LeafCalcFinish]],Tasks[[#This Row],[_AlapShift]],WorkWeek,Holidays)))</f>
        <v>46337</v>
      </c>
      <c r="EQ26" s="74" t="n">
        <f aca="false">IF(NOT(Tasks[[#This Row],[_IsLeaf]]=1),"",IF(Tasks[[#This Row],[_AlapShift]]=0,Tasks[[#This Row],[_LeafFcstStart]],WORKDAY.INTL(Tasks[[#This Row],[_LeafFcstStart]],Tasks[[#This Row],[_AlapShift]],WorkWeek,Holidays)))</f>
        <v>46336</v>
      </c>
      <c r="ER26" s="74" t="n">
        <f aca="false">IF(NOT(Tasks[[#This Row],[_IsLeaf]]=1),"",IF(Tasks[[#This Row],[_AlapShift]]=0,Tasks[[#This Row],[_LeafFcstFinish]],WORKDAY.INTL(Tasks[[#This Row],[_LeafFcstFinish]],Tasks[[#This Row],[_AlapShift]],WorkWeek,Holidays)))</f>
        <v>46345</v>
      </c>
      <c r="ES26" s="74" t="n">
        <f aca="false">IF(Tasks[[#This Row],[Task Name]]="","",IF(Tasks[[#This Row],[_IsSummary]],MIN(INDEX(Tasks[_ShownCalcStart],Tasks[[#This Row],[_Row]]+1):INDEX(Tasks[_ShownCalcStart],Tasks[[#This Row],[_Row]]+Tasks[[#This Row],[_Descendants]])),Tasks[[#This Row],[_ShownCalcStart]]))</f>
        <v>46328</v>
      </c>
      <c r="ET26" s="74" t="n">
        <f aca="false">IF(Tasks[[#This Row],[Task Name]]="","",IF(Tasks[[#This Row],[_IsSummary]],MAX(INDEX(Tasks[_ShownCalcFinish],Tasks[[#This Row],[_Row]]+1):INDEX(Tasks[_ShownCalcFinish],Tasks[[#This Row],[_Row]]+Tasks[[#This Row],[_Descendants]])),Tasks[[#This Row],[_ShownCalcFinish]]))</f>
        <v>46337</v>
      </c>
      <c r="EU2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2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2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2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2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46328</v>
      </c>
      <c r="EZ2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2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2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2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46336</v>
      </c>
      <c r="FD2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2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2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26" s="45" t="n">
        <f aca="false">IF(AND(Tasks[[#This Row],[_IsLeaf]]=1,Tasks[[#This Row],[_LeafTotalWork]]&gt;0),NETWORKDAYS.INTL(ProjectStart,Tasks[[#This Row],[_ShownFcstStart]],WorkWeek,Holidays),0)</f>
        <v>47</v>
      </c>
      <c r="FH26" s="45" t="n">
        <f aca="false">IF(AND(Tasks[[#This Row],[_IsLeaf]]=1,Tasks[[#This Row],[_LeafTotalWork]]&gt;0),MAX(Tasks[[#This Row],[_StartWorkday]],NETWORKDAYS.INTL(ProjectStart,Tasks[[#This Row],[_ShownFcstFinish]],WorkWeek,Holidays)),0)</f>
        <v>54</v>
      </c>
      <c r="FI26" s="45" t="n">
        <f aca="false">IF(AND(Tasks[[#This Row],[_IsLeaf]]=1,Tasks[[#This Row],[_LeafTotalWork]]&gt;0),Tasks[[#This Row],[_LeafWork]]/(Tasks[[#This Row],[_FinishWorkday]]-Tasks[[#This Row],[_StartWorkday]]+1),0)</f>
        <v>8</v>
      </c>
      <c r="FJ26" s="45" t="n">
        <f aca="false">Tasks[[#This Row],[_WorkPerWorkday]]*(Tasks[[#This Row],[_StartWorkday]]-1)</f>
        <v>368</v>
      </c>
      <c r="FK26" s="45" t="n">
        <f aca="false">IF(Tasks[[#This Row],[_IsLeaf]]=1,MAX(N(Tasks[[#This Row],[Duration]]),0.1),0)</f>
        <v>8</v>
      </c>
      <c r="FL26" s="45" t="n">
        <f aca="false">Tasks[[#This Row],[_WeightDur]]*Tasks[[#This Row],[_LeafProgress]]</f>
        <v>0</v>
      </c>
      <c r="FM2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19</v>
      </c>
      <c r="FN26" s="45" t="str">
        <f aca="false">IF(AND(Tasks[[#This Row],[_IsLeaf]]=1,N(Tasks[[#This Row],[Duration]])=0,Tasks[[#This Row],[_LeafProgress]]&lt;1),Tasks[[#This Row],[_ShownFcstFinish]]+Tasks[[#This Row],[_Row]]/100000,"")</f>
        <v/>
      </c>
      <c r="FO2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26" s="45" t="n">
        <f aca="false">IF(NOT(Tasks[[#This Row],[_IsLeaf]]=1),0,IF(Tasks[[#This Row],[Baseline Cost]]="",Tasks[[#This Row],[_LeafTotalCost]],N(Tasks[[#This Row],[Baseline Cost]])))</f>
        <v>6720</v>
      </c>
      <c r="FQ26" s="45" t="n">
        <f aca="false">Tasks[[#This Row],[_LeafBudget]]*Tasks[[#This Row],[_PlannedPct]]</f>
        <v>0</v>
      </c>
      <c r="FR26" s="45" t="n">
        <f aca="false">Tasks[[#This Row],[_LeafBudget]]*Tasks[[#This Row],[_LeafProgress]]</f>
        <v>0</v>
      </c>
      <c r="FS26" s="45" t="n">
        <f aca="false">IF(NOT(Tasks[[#This Row],[_IsLeaf]]=1),0,IF(Tasks[[#This Row],[Actual Cost]]="",Tasks[[#This Row],[_LeafTotalCost]]*Tasks[[#This Row],[_LeafProgress]],N(Tasks[[#This Row],[Actual Cost]])))</f>
        <v>0</v>
      </c>
      <c r="FT26" s="45" t="str">
        <f aca="false">IF(Tasks[[#This Row],[Task Name]]="","",LEFT(Tasks[[#This Row],[WBS]],FIND(".",Tasks[[#This Row],[WBS]]&amp;".")-1))</f>
        <v>4</v>
      </c>
      <c r="FU26" s="45" t="str">
        <f aca="false">IF(AND(Tasks[[#This Row],[Task Name]]&lt;&gt;"",Tasks[[#This Row],[_Level]]=1),Tasks[[#This Row],[_Row]],"")</f>
        <v/>
      </c>
      <c r="FV26" s="45" t="str">
        <f aca="false">IF(AND(Tasks[[#This Row],[_IsLeaf]]=1,N(Tasks[[#This Row],[Duration]])=0),Tasks[[#This Row],[Planned Finish]]+Tasks[[#This Row],[_Row]]/100000,"")</f>
        <v/>
      </c>
      <c r="FW26" s="45" t="n">
        <f aca="false">IF(AND(Tasks[[#This Row],[_IsLeaf]]=1,Tasks[[#This Row],[_LeafProgress]]&lt;1,OR(N(Tasks[[#This Row],[Finish Var]])&gt;0,Tasks[[#This Row],[Status]]="Late Start")),MAX(0,Tasks[[#This Row],[Finish Var]])+1-Tasks[[#This Row],[_Row]]/1000000,"")</f>
        <v>6.999979</v>
      </c>
      <c r="FX26" s="45" t="str">
        <f aca="false">IF(AND(Tasks[[#This Row],[_IsLeaf]]=1,N(Tasks[[#This Row],[Actual Start]])=0,Tasks[[#This Row],[_ShownFcstStart]]&gt;=StatusDate,Tasks[[#This Row],[_ShownFcstStart]]&lt;=LookaheadEnd),Tasks[[#This Row],[_ShownFcstStart]]+Tasks[[#This Row],[_Row]]/100000,"")</f>
        <v/>
      </c>
      <c r="FY26" s="45" t="str">
        <f aca="false">IF(AND(Tasks[[#This Row],[_IsLeaf]]=1,Tasks[[#This Row],[_LeafProgress]]&lt;1,Tasks[[#This Row],[_ShownFcstFinish]]&gt;=StatusDate,Tasks[[#This Row],[_ShownFcstFinish]]&lt;=LookaheadEnd),Tasks[[#This Row],[_ShownFcstFinish]]+Tasks[[#This Row],[_Row]]/100000,"")</f>
        <v/>
      </c>
      <c r="FZ26" s="45" t="str">
        <f aca="false">IF(Tasks[[#This Row],[_LeafCritical]],Tasks[[#This Row],[_ShownFcstStart]]+Tasks[[#This Row],[_Row]]/100000,"")</f>
        <v/>
      </c>
      <c r="GA26" s="45" t="n">
        <f aca="false">Tasks[[#This Row],[_LeafWork]]*Tasks[[#This Row],[_LeafProgress]]</f>
        <v>0</v>
      </c>
      <c r="GB26" s="74" t="str">
        <f aca="false">IF(AND(Tasks[[#This Row],[_IsLeaf]]=1,Tasks[[#This Row],[_LeafProgress]]&gt;=1),IF(N(Tasks[[#This Row],[Actual Finish]])&gt;0,Tasks[[#This Row],[Actual Finish]],Tasks[[#This Row],[_ShownFcstFinish]]),"")</f>
        <v/>
      </c>
    </row>
    <row r="27" customFormat="false" ht="15" hidden="false" customHeight="false" outlineLevel="1" collapsed="false">
      <c r="A27" s="67" t="n">
        <f aca="false">IF(Tasks[[#This Row],[Task Name]]="","",COUNTA(Tasks[[#Headers],[Task Name]]:Tasks[[#This Row],[Task Name]])-1)</f>
        <v>22</v>
      </c>
      <c r="B27" s="21" t="n">
        <v>22</v>
      </c>
      <c r="C2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4.2</v>
      </c>
      <c r="D27" s="21" t="n">
        <v>2</v>
      </c>
      <c r="E27" s="75" t="s">
        <v>550</v>
      </c>
      <c r="F27" s="21" t="n">
        <v>6</v>
      </c>
      <c r="G27" s="22" t="s">
        <v>551</v>
      </c>
      <c r="H27" s="22" t="s">
        <v>552</v>
      </c>
      <c r="I27" s="22"/>
      <c r="J27" s="7"/>
      <c r="K27" s="7"/>
      <c r="L27" s="22" t="s">
        <v>553</v>
      </c>
      <c r="M27" s="58" t="n">
        <f aca="false">IF(Tasks[[#This Row],[Task Name]]="","",IF(Tasks[[#This Row],[_IsSummary]],MIN(INDEX(Tasks[_ShownFcstStart],Tasks[[#This Row],[_Row]]+1):INDEX(Tasks[_ShownFcstStart],Tasks[[#This Row],[_Row]]+Tasks[[#This Row],[_Descendants]])),Tasks[[#This Row],[_ShownFcstStart]]))</f>
        <v>46363</v>
      </c>
      <c r="N27" s="58" t="n">
        <f aca="false">IF(Tasks[[#This Row],[Task Name]]="","",IF(Tasks[[#This Row],[_IsSummary]],MAX(INDEX(Tasks[_ShownFcstFinish],Tasks[[#This Row],[_Row]]+1):INDEX(Tasks[_ShownFcstFinish],Tasks[[#This Row],[_Row]]+Tasks[[#This Row],[_Descendants]])),Tasks[[#This Row],[_ShownFcstFinish]]))</f>
        <v>46370</v>
      </c>
      <c r="O27" s="20" t="str">
        <f aca="false">IF(Tasks[[#This Row],[Task Name]]="","",IF(Tasks[[#This Row],[Progress]]&gt;=1,"Complete",IF(OR(N(Tasks[[#This Row],[Actual Start]])&gt;0,Tasks[[#This Row],[Progress]]&gt;0),IF(Tasks[[#This Row],[Finish Var]]&gt;0,"Behind","In Progress"),IF(Tasks[[#This Row],[Planned Start]]&lt;StatusDate,"Late Start","Not Started"))))</f>
        <v>Not Started</v>
      </c>
      <c r="P27" s="20" t="str">
        <f aca="false">IF(Tasks[[#This Row],[Task Name]]="","",IF(IF(Tasks[[#This Row],[_IsSummary]],COUNTIF(INDEX(Tasks[_LeafCritical],Tasks[[#This Row],[_Row]]+1):INDEX(Tasks[_LeafCritical],Tasks[[#This Row],[_Row]]+Tasks[[#This Row],[_Descendants]]),TRUE())&gt;0,Tasks[[#This Row],[_LeafCritical]]),"Yes",""))</f>
        <v>Yes</v>
      </c>
      <c r="Q2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27" s="67" t="str">
        <f aca="false">IF(Tasks[[#This Row],[Task Name]]="","",IF(Tasks[[#This Row],[_Level]]&lt;=OutlineShowLevel,"Yes","No"))</f>
        <v>Yes</v>
      </c>
      <c r="S27" s="7"/>
      <c r="T27" s="21" t="s">
        <v>195</v>
      </c>
      <c r="U27" s="22" t="s">
        <v>238</v>
      </c>
      <c r="V27" s="7" t="n">
        <v>46363</v>
      </c>
      <c r="W27" s="67" t="n">
        <f aca="false">IF(Tasks[[#This Row],[Task Name]]="","",IF(Tasks[[#This Row],[Finish]]&gt;=Tasks[[#This Row],[Planned Finish]],NETWORKDAYS.INTL(Tasks[[#This Row],[Planned Finish]],Tasks[[#This Row],[Finish]],WorkWeek,Holidays)-1,1-NETWORKDAYS.INTL(Tasks[[#This Row],[Finish]],Tasks[[#This Row],[Planned Finish]],WorkWeek,Holidays)))</f>
        <v>0</v>
      </c>
      <c r="X27" s="58" t="n">
        <f aca="false">IF(Tasks[[#This Row],[Task Name]]="","",IF(N(Tasks[[#This Row],[Baseline Start]])&gt;0,Tasks[[#This Row],[Baseline Start]],Tasks[[#This Row],[_CalcStart]]))</f>
        <v>46363</v>
      </c>
      <c r="Y27" s="58" t="n">
        <f aca="false">IF(Tasks[[#This Row],[Task Name]]="","",IF(N(Tasks[[#This Row],[Baseline Finish]])&gt;0,Tasks[[#This Row],[Baseline Finish]],Tasks[[#This Row],[_CalcFinish]]))</f>
        <v>46370</v>
      </c>
      <c r="Z27" s="67" t="n">
        <f aca="false">IF(Tasks[[#This Row],[Task Name]]="","",IF(Tasks[[#This Row],[Start]]&gt;=Tasks[[#This Row],[Planned Start]],NETWORKDAYS.INTL(Tasks[[#This Row],[Planned Start]],Tasks[[#This Row],[Start]],WorkWeek,Holidays)-1,1-NETWORKDAYS.INTL(Tasks[[#This Row],[Start]],Tasks[[#This Row],[Planned Start]],WorkWeek,Holidays)))</f>
        <v>0</v>
      </c>
      <c r="AA27" s="58" t="n">
        <f aca="false">IF(Tasks[[#This Row],[Task Name]]="","",IF(Tasks[[#This Row],[_IsSummary]],MIN(INDEX(Tasks[_LeafLateStart],Tasks[[#This Row],[_Row]]+1):INDEX(Tasks[_LeafLateStart],Tasks[[#This Row],[_Row]]+Tasks[[#This Row],[_Descendants]])),Tasks[[#This Row],[_LeafLateStart]]))</f>
        <v>46363</v>
      </c>
      <c r="AB27" s="58" t="n">
        <f aca="false">IF(Tasks[[#This Row],[Task Name]]="","",IF(Tasks[[#This Row],[_IsSummary]],MAX(INDEX(Tasks[_LeafLateFinish],Tasks[[#This Row],[_Row]]+1):INDEX(Tasks[_LeafLateFinish],Tasks[[#This Row],[_Row]]+Tasks[[#This Row],[_Descendants]])),Tasks[[#This Row],[_LeafLateFinish]]))</f>
        <v>46370</v>
      </c>
      <c r="AC27" s="67" t="n">
        <f aca="false">IF(Tasks[[#This Row],[Task Name]]="","",IF(Tasks[[#This Row],[_IsSummary]],MIN(INDEX(Tasks[_LeafTotalSlack],Tasks[[#This Row],[_Row]]+1):INDEX(Tasks[_LeafTotalSlack],Tasks[[#This Row],[_Row]]+Tasks[[#This Row],[_Descendants]])),Tasks[[#This Row],[_LeafTotalSlack]]))</f>
        <v>0</v>
      </c>
      <c r="AD27"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2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2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27" s="60"/>
      <c r="AH27"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I2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21</v>
      </c>
      <c r="AJ27" s="69" t="n">
        <f aca="false">IF(Tasks[[#This Row],[Task Name]]="","",IF(Tasks[[#This Row],[_IsSummary]],SUM(INDEX(Tasks[_LeafTotalWork],Tasks[[#This Row],[_Row]]+1):INDEX(Tasks[_LeafTotalWork],Tasks[[#This Row],[_Row]]+Tasks[[#This Row],[_Descendants]])),Tasks[[#This Row],[_LeafTotalWork]]))</f>
        <v>96</v>
      </c>
      <c r="AK2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Morgan Patel, Taylor Morgan</v>
      </c>
      <c r="AL27" s="70" t="n">
        <f aca="false">IF(Tasks[[#This Row],[Task Name]]="","",IF(Tasks[[#This Row],[_IsSummary]],SUM(INDEX(Tasks[_LeafTotalCost],Tasks[[#This Row],[_Row]]+1):INDEX(Tasks[_LeafTotalCost],Tasks[[#This Row],[_Row]]+Tasks[[#This Row],[_Descendants]])),Tasks[[#This Row],[_LeafTotalCost]]))</f>
        <v>6480</v>
      </c>
      <c r="AM27" s="71"/>
      <c r="AN27" s="20" t="str">
        <f aca="false">IF(OR(Tasks[[#This Row],[Task Name]]="",Tasks[[#This Row],[Baseline Duration]]=""),"",Tasks[[#This Row],[BL Source Duration]]-N(Tasks[[#This Row],[Baseline Duration]]))</f>
        <v/>
      </c>
      <c r="AO27" s="69" t="str">
        <f aca="false">IF(OR(Tasks[[#This Row],[Task Name]]="",Tasks[[#This Row],[Baseline Work]]=""),"",Tasks[[#This Row],[Work]]-N(Tasks[[#This Row],[Baseline Work]]))</f>
        <v/>
      </c>
      <c r="AP27" s="70" t="str">
        <f aca="false">IF(OR(Tasks[[#This Row],[Task Name]]="",Tasks[[#This Row],[Baseline Cost]]=""),"",Tasks[[#This Row],[Cost]]-N(Tasks[[#This Row],[Baseline Cost]]))</f>
        <v/>
      </c>
      <c r="AQ27" s="58" t="n">
        <f aca="false">IF(Tasks[[#This Row],[Task Name]]="","",Tasks[[#This Row],[Start]])</f>
        <v>46363</v>
      </c>
      <c r="AR27" s="58" t="n">
        <f aca="false">IF(Tasks[[#This Row],[Task Name]]="","",Tasks[[#This Row],[Finish]])</f>
        <v>46370</v>
      </c>
      <c r="AS27" s="67" t="n">
        <f aca="false">IF(Tasks[[#This Row],[Task Name]]="","",IF(Tasks[[#This Row],[_IsSummary]],NETWORKDAYS.INTL(Tasks[[#This Row],[Start]],Tasks[[#This Row],[Finish]],WorkWeek,Holidays),N(Tasks[[#This Row],[Duration]])))</f>
        <v>6</v>
      </c>
      <c r="AT27" s="69" t="n">
        <f aca="false">IF(Tasks[[#This Row],[Task Name]]="","",Tasks[[#This Row],[Work]])</f>
        <v>96</v>
      </c>
      <c r="AU27" s="70" t="n">
        <f aca="false">IF(Tasks[[#This Row],[Task Name]]="","",Tasks[[#This Row],[Cost]])</f>
        <v>6480</v>
      </c>
      <c r="AV27" s="7"/>
      <c r="AW27" s="7"/>
      <c r="AX27" s="21"/>
      <c r="AY27" s="72"/>
      <c r="AZ27" s="71"/>
      <c r="BA27" s="70" t="n">
        <f aca="false">IF(Tasks[[#This Row],[Task Name]]="","",IF(Tasks[[#This Row],[_IsSummary]],SUM(INDEX(Tasks[_LeafEV],Tasks[[#This Row],[_Row]]+1):INDEX(Tasks[_LeafEV],Tasks[[#This Row],[_Row]]+Tasks[[#This Row],[_Descendants]])),Tasks[[#This Row],[_LeafEV]]))</f>
        <v>0</v>
      </c>
      <c r="BB27" s="70" t="n">
        <f aca="false">IF(Tasks[[#This Row],[Task Name]]="","",IF(Tasks[[#This Row],[_IsSummary]],SUM(INDEX(Tasks[_LeafBudget],Tasks[[#This Row],[_Row]]+1):INDEX(Tasks[_LeafBudget],Tasks[[#This Row],[_Row]]+Tasks[[#This Row],[_Descendants]])),Tasks[[#This Row],[_LeafBudget]]))</f>
        <v>6480</v>
      </c>
      <c r="BC27" s="70" t="n">
        <f aca="false">IF(Tasks[[#This Row],[Task Name]]="","",IF(Tasks[[#This Row],[_IsSummary]],SUM(INDEX(Tasks[_LeafPV],Tasks[[#This Row],[_Row]]+1):INDEX(Tasks[_LeafPV],Tasks[[#This Row],[_Row]]+Tasks[[#This Row],[_Descendants]])),Tasks[[#This Row],[_LeafPV]]))</f>
        <v>0</v>
      </c>
      <c r="BD27" s="70" t="n">
        <f aca="false">IF(Tasks[[#This Row],[Task Name]]="","",IF(Tasks[[#This Row],[_IsSummary]],SUM(INDEX(Tasks[_LeafAC],Tasks[[#This Row],[_Row]]+1):INDEX(Tasks[_LeafAC],Tasks[[#This Row],[_Row]]+Tasks[[#This Row],[_Descendants]])),Tasks[[#This Row],[_LeafAC]]))</f>
        <v>0</v>
      </c>
      <c r="BE27" s="45" t="n">
        <f aca="false">IF(Tasks[[#This Row],[Task Name]]="","",MAX(1,N(Tasks[[#This Row],[Level]])))</f>
        <v>2</v>
      </c>
      <c r="BF27" s="45" t="n">
        <f aca="false">ROW()-ROW(Tasks[[#Headers],[ID]])</f>
        <v>22</v>
      </c>
      <c r="BG27" s="45" t="n">
        <f aca="false">IF(OR(Tasks[[#This Row],[Task Name]]="",Tasks[[#This Row],[_Level]]&lt;=1),0,IFERROR(LOOKUP(2,1/(Tasks[[#Headers],[_Level]]:Tasks[[#This Row],[_Level]]=Tasks[[#This Row],[_Level]]-1),ROW(Tasks[[#Headers],[_Level]]:Tasks[[#This Row],[_Level]])),0))</f>
        <v>25</v>
      </c>
      <c r="BH27" s="45" t="n">
        <f aca="false">IFERROR(N(INDEX(Tasks[_Level],Tasks[[#This Row],[_Row]]+1)),0)</f>
        <v>2</v>
      </c>
      <c r="BI27" s="73" t="b">
        <f aca="false">AND(Tasks[[#This Row],[Task Name]]&lt;&gt;"",Tasks[[#This Row],[_NextLevel]]&gt;Tasks[[#This Row],[_Level]])</f>
        <v>0</v>
      </c>
      <c r="BJ27" s="45" t="n">
        <f aca="false">IF(Tasks[[#This Row],[_IsSummary]],COUNTIF(Tasks[WBS],Tasks[[#This Row],[WBS]]&amp;".*"),0)</f>
        <v>0</v>
      </c>
      <c r="BK27" s="45" t="n">
        <f aca="false">IF(AND(Tasks[[#This Row],[Task Name]]&lt;&gt;"",NOT(Tasks[[#This Row],[_IsSummary]])),1,0)</f>
        <v>1</v>
      </c>
      <c r="BL27" s="45" t="n">
        <f aca="false">IF(N(Tasks[[#This Row],[_Pred1UID]])=0,0,IFERROR(MATCH(Tasks[[#This Row],[_Pred1UID]],Tasks[UID],0),-1))</f>
        <v>21</v>
      </c>
      <c r="BM27" s="45" t="n">
        <f aca="false">IF(N(Tasks[[#This Row],[_Pred2UID]])=0,0,IFERROR(MATCH(Tasks[[#This Row],[_Pred2UID]],Tasks[UID],0),-1))</f>
        <v>0</v>
      </c>
      <c r="BN27" s="45" t="n">
        <f aca="false">IF(N(Tasks[[#This Row],[_Pred3UID]])=0,0,IFERROR(MATCH(Tasks[[#This Row],[_Pred3UID]],Tasks[UID],0),-1))</f>
        <v>0</v>
      </c>
      <c r="BO27" s="45" t="n">
        <f aca="false">IF(N(Tasks[[#This Row],[_Pred4UID]])=0,0,IFERROR(MATCH(Tasks[[#This Row],[_Pred4UID]],Tasks[UID],0),-1))</f>
        <v>0</v>
      </c>
      <c r="BP27"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4</v>
      </c>
      <c r="BQ2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46363</v>
      </c>
      <c r="BR27" s="74" t="n">
        <f aca="false">IF(OR(Tasks[[#This Row],[_ConstraintCode]]=2,Tasks[[#This Row],[_ConstraintCode]]=3,Tasks[[#This Row],[_ConstraintCode]]=4,Tasks[[#This Row],[_ConstraintCode]]=6),Tasks[[#This Row],[_ConstraintStart]],0)</f>
        <v>46363</v>
      </c>
      <c r="BS27" s="74" t="n">
        <f aca="false">IF(OR(Tasks[[#This Row],[_ConstraintCode]]=2,Tasks[[#This Row],[_ConstraintCode]]=3,Tasks[[#This Row],[_ConstraintCode]]=5,Tasks[[#This Row],[_ConstraintCode]]=7),Tasks[[#This Row],[_ConstraintStart]],2958465)</f>
        <v>2958465</v>
      </c>
      <c r="BT27"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46363</v>
      </c>
      <c r="BU27" s="74" t="n">
        <f aca="false">IF(NOT(Tasks[[#This Row],[_IsLeaf]]=1),"",IF(N(Tasks[[#This Row],[Duration]])&lt;=0,Tasks[[#This Row],[_LeafCalcStart]],WORKDAY.INTL(Tasks[[#This Row],[_LeafCalcStart]],Tasks[[#This Row],[Duration]]-1,WorkWeek,Holidays)))</f>
        <v>46370</v>
      </c>
      <c r="BV27"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46363</v>
      </c>
      <c r="BW27"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46370</v>
      </c>
      <c r="BX27" s="45" t="str">
        <f aca="false">IF(Tasks[[#This Row],[Predecessors]]="","",TRIM(MID(SUBSTITUTE(SUBSTITUTE(SUBSTITUTE(UPPER(Tasks[[#This Row],[Predecessors]]),";",",")," ",""),",",REPT(" ",99)),1,99)))</f>
        <v>21</v>
      </c>
      <c r="BY27" s="45" t="n">
        <f aca="false">IF(Tasks[[#This Row],[_Pred1Text]]="","",IFERROR(VALUE(LEFT(Tasks[[#This Row],[_Pred1Text]],MIN(FIND("F",Tasks[[#This Row],[_Pred1Text]]&amp;"F"),FIND("S",Tasks[[#This Row],[_Pred1Text]]&amp;"S"),FIND("+",Tasks[[#This Row],[_Pred1Text]]&amp;"+"),FIND("-",Tasks[[#This Row],[_Pred1Text]]&amp;"-"))-1)),""))</f>
        <v>21</v>
      </c>
      <c r="BZ2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27"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27" s="45" t="str">
        <f aca="false">IF(Tasks[[#This Row],[_Pred1Text]]="","",TRIM(MID(SUBSTITUTE(SUBSTITUTE(SUBSTITUTE(UPPER(Tasks[[#This Row],[Predecessors]]),";",",")," ",""),",",REPT(" ",99)),100,99)))</f>
        <v/>
      </c>
      <c r="CC27" s="45" t="str">
        <f aca="false">IF(Tasks[[#This Row],[_Pred2Text]]="","",IFERROR(VALUE(LEFT(Tasks[[#This Row],[_Pred2Text]],MIN(FIND("F",Tasks[[#This Row],[_Pred2Text]]&amp;"F"),FIND("S",Tasks[[#This Row],[_Pred2Text]]&amp;"S"),FIND("+",Tasks[[#This Row],[_Pred2Text]]&amp;"+"),FIND("-",Tasks[[#This Row],[_Pred2Text]]&amp;"-"))-1)),""))</f>
        <v/>
      </c>
      <c r="CD2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2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27" s="45" t="str">
        <f aca="false">IF(Tasks[[#This Row],[_Pred2Text]]="","",TRIM(MID(SUBSTITUTE(SUBSTITUTE(SUBSTITUTE(UPPER(Tasks[[#This Row],[Predecessors]]),";",",")," ",""),",",REPT(" ",99)),199,99)))</f>
        <v/>
      </c>
      <c r="CG27" s="45" t="str">
        <f aca="false">IF(Tasks[[#This Row],[_Pred3Text]]="","",IFERROR(VALUE(LEFT(Tasks[[#This Row],[_Pred3Text]],MIN(FIND("F",Tasks[[#This Row],[_Pred3Text]]&amp;"F"),FIND("S",Tasks[[#This Row],[_Pred3Text]]&amp;"S"),FIND("+",Tasks[[#This Row],[_Pred3Text]]&amp;"+"),FIND("-",Tasks[[#This Row],[_Pred3Text]]&amp;"-"))-1)),""))</f>
        <v/>
      </c>
      <c r="CH2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2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27" s="45" t="str">
        <f aca="false">IF(Tasks[[#This Row],[_Pred3Text]]="","",TRIM(MID(SUBSTITUTE(SUBSTITUTE(SUBSTITUTE(UPPER(Tasks[[#This Row],[Predecessors]]),";",",")," ",""),",",REPT(" ",99)),298,99)))</f>
        <v/>
      </c>
      <c r="CK27" s="45" t="str">
        <f aca="false">IF(Tasks[[#This Row],[_Pred4Text]]="","",IFERROR(VALUE(LEFT(Tasks[[#This Row],[_Pred4Text]],MIN(FIND("F",Tasks[[#This Row],[_Pred4Text]]&amp;"F"),FIND("S",Tasks[[#This Row],[_Pred4Text]]&amp;"S"),FIND("+",Tasks[[#This Row],[_Pred4Text]]&amp;"+"),FIND("-",Tasks[[#This Row],[_Pred4Text]]&amp;"-"))-1)),""))</f>
        <v/>
      </c>
      <c r="CL2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2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27" s="45" t="str">
        <f aca="false">IF(OR(Tasks[[#This Row],[Task Name]]="",Tasks[[#This Row],[Resources]]=""),"",TRIM(MID(SUBSTITUTE(Tasks[[#This Row],[Resources]],",",REPT(" ",99)),1,99)))</f>
        <v>Morgan Patel</v>
      </c>
      <c r="CO27" s="45" t="str">
        <f aca="false">IF(Tasks[[#This Row],[_Res1Text]]="","",TRIM(MID(SUBSTITUTE(Tasks[[#This Row],[Resources]],",",REPT(" ",99)),100,99)))</f>
        <v>Taylor Morgan</v>
      </c>
      <c r="CP27" s="45" t="str">
        <f aca="false">IF(Tasks[[#This Row],[_Res2Text]]="","",TRIM(MID(SUBSTITUTE(Tasks[[#This Row],[Resources]],",",REPT(" ",99)),199,99)))</f>
        <v/>
      </c>
      <c r="CQ27" s="45" t="str">
        <f aca="false">IF(Tasks[[#This Row],[_Res3Text]]="","",TRIM(MID(SUBSTITUTE(Tasks[[#This Row],[Resources]],",",REPT(" ",99)),298,99)))</f>
        <v/>
      </c>
      <c r="CR2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Morgan Patel</v>
      </c>
      <c r="CS2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7" s="45" t="n">
        <f aca="false">IF(NOT(Tasks[[#This Row],[_IsLeaf]]=1),0,(Tasks[[#This Row],[_Resource1]]&lt;&gt;"")+(Tasks[[#This Row],[_Res2]]&lt;&gt;"")+(Tasks[[#This Row],[_Res3]]&lt;&gt;"")+(Tasks[[#This Row],[_Res4]]&lt;&gt;""))</f>
        <v>2</v>
      </c>
      <c r="CU2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Taylor Morgan</v>
      </c>
      <c r="CV2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7" s="45" t="n">
        <f aca="false">IF(OR(NOT(Tasks[[#This Row],[_IsLeaf]]=1),Tasks[[#This Row],[_Res2]]=""),0,IF(ISNA(MATCH(Tasks[[#This Row],[_Res2]],res_Name,0)),0,N(Tasks[[#This Row],[Duration]])*HoursPerDay*IF(Tasks[[#This Row],[_Res2Units]]="",DefaultUnits,Tasks[[#This Row],[_Res2Units]])))</f>
        <v>48</v>
      </c>
      <c r="CX27" s="45" t="n">
        <f aca="false">IF(Tasks[[#This Row],[_Res2Work]]=0,0,Tasks[[#This Row],[_Res2Work]]*IFERROR(INDEX(res_Rate,MATCH(Tasks[[#This Row],[_Res2]],res_Name,0)),0))</f>
        <v>3120</v>
      </c>
      <c r="CY27" s="45" t="n">
        <f aca="false">IF(AND(AND(Tasks[[#This Row],[_IsLeaf]]=1,Tasks[[#This Row],[_LeafTotalWork]]&gt;0),Tasks[[#This Row],[_Res2Work]]&gt;0),Tasks[[#This Row],[_Res2Work]]/(Tasks[[#This Row],[_FinishWorkday]]-Tasks[[#This Row],[_StartWorkday]]+1),0)</f>
        <v>8</v>
      </c>
      <c r="CZ27" s="45" t="n">
        <f aca="false">Tasks[[#This Row],[_Res2WorkPerWD]]*MAX(0,Tasks[[#This Row],[_StartWorkday]]-1)</f>
        <v>520</v>
      </c>
      <c r="DA27" s="45" t="n">
        <f aca="false">Tasks[[#This Row],[_Res2Work]]*Tasks[[#This Row],[_LeafProgress]]</f>
        <v>0</v>
      </c>
      <c r="DB27" s="45" t="n">
        <f aca="false">IF(Tasks[[#This Row],[_LeafTotalCost]]=0,0,Tasks[[#This Row],[_LeafAC]]*Tasks[[#This Row],[_Res2Cost]]/Tasks[[#This Row],[_LeafTotalCost]])</f>
        <v>0</v>
      </c>
      <c r="DC2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2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27" s="45" t="n">
        <f aca="false">IF(OR(NOT(Tasks[[#This Row],[_IsLeaf]]=1),Tasks[[#This Row],[_Res3]]=""),0,IF(ISNA(MATCH(Tasks[[#This Row],[_Res3]],res_Name,0)),0,N(Tasks[[#This Row],[Duration]])*HoursPerDay*IF(Tasks[[#This Row],[_Res3Units]]="",DefaultUnits,Tasks[[#This Row],[_Res3Units]])))</f>
        <v>0</v>
      </c>
      <c r="DF27" s="45" t="n">
        <f aca="false">IF(Tasks[[#This Row],[_Res3Work]]=0,0,Tasks[[#This Row],[_Res3Work]]*IFERROR(INDEX(res_Rate,MATCH(Tasks[[#This Row],[_Res3]],res_Name,0)),0))</f>
        <v>0</v>
      </c>
      <c r="DG27" s="45" t="n">
        <f aca="false">IF(AND(AND(Tasks[[#This Row],[_IsLeaf]]=1,Tasks[[#This Row],[_LeafTotalWork]]&gt;0),Tasks[[#This Row],[_Res3Work]]&gt;0),Tasks[[#This Row],[_Res3Work]]/(Tasks[[#This Row],[_FinishWorkday]]-Tasks[[#This Row],[_StartWorkday]]+1),0)</f>
        <v>0</v>
      </c>
      <c r="DH27" s="45" t="n">
        <f aca="false">Tasks[[#This Row],[_Res3WorkPerWD]]*MAX(0,Tasks[[#This Row],[_StartWorkday]]-1)</f>
        <v>0</v>
      </c>
      <c r="DI27" s="45" t="n">
        <f aca="false">Tasks[[#This Row],[_Res3Work]]*Tasks[[#This Row],[_LeafProgress]]</f>
        <v>0</v>
      </c>
      <c r="DJ27" s="45" t="n">
        <f aca="false">IF(Tasks[[#This Row],[_LeafTotalCost]]=0,0,Tasks[[#This Row],[_LeafAC]]*Tasks[[#This Row],[_Res3Cost]]/Tasks[[#This Row],[_LeafTotalCost]])</f>
        <v>0</v>
      </c>
      <c r="DK2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2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27" s="45" t="n">
        <f aca="false">IF(OR(NOT(Tasks[[#This Row],[_IsLeaf]]=1),Tasks[[#This Row],[_Res4]]=""),0,IF(ISNA(MATCH(Tasks[[#This Row],[_Res4]],res_Name,0)),0,N(Tasks[[#This Row],[Duration]])*HoursPerDay*IF(Tasks[[#This Row],[_Res4Units]]="",DefaultUnits,Tasks[[#This Row],[_Res4Units]])))</f>
        <v>0</v>
      </c>
      <c r="DN27" s="45" t="n">
        <f aca="false">IF(Tasks[[#This Row],[_Res4Work]]=0,0,Tasks[[#This Row],[_Res4Work]]*IFERROR(INDEX(res_Rate,MATCH(Tasks[[#This Row],[_Res4]],res_Name,0)),0))</f>
        <v>0</v>
      </c>
      <c r="DO27" s="45" t="n">
        <f aca="false">IF(AND(AND(Tasks[[#This Row],[_IsLeaf]]=1,Tasks[[#This Row],[_LeafTotalWork]]&gt;0),Tasks[[#This Row],[_Res4Work]]&gt;0),Tasks[[#This Row],[_Res4Work]]/(Tasks[[#This Row],[_FinishWorkday]]-Tasks[[#This Row],[_StartWorkday]]+1),0)</f>
        <v>0</v>
      </c>
      <c r="DP27" s="45" t="n">
        <f aca="false">Tasks[[#This Row],[_Res4WorkPerWD]]*MAX(0,Tasks[[#This Row],[_StartWorkday]]-1)</f>
        <v>0</v>
      </c>
      <c r="DQ27" s="45" t="n">
        <f aca="false">Tasks[[#This Row],[_Res4Work]]*Tasks[[#This Row],[_LeafProgress]]</f>
        <v>0</v>
      </c>
      <c r="DR27" s="45" t="n">
        <f aca="false">IF(Tasks[[#This Row],[_LeafTotalCost]]=0,0,Tasks[[#This Row],[_LeafAC]]*Tasks[[#This Row],[_Res4Cost]]/Tasks[[#This Row],[_LeafTotalCost]])</f>
        <v>0</v>
      </c>
      <c r="DS27" s="45" t="n">
        <f aca="false">IF(ISNUMBER(Tasks[[#This Row],[% Complete]]),Tasks[[#This Row],[% Complete]],IF(Tasks[[#This Row],[Stage]]="",0,IFERROR(INDEX(stg_Pct,MATCH(Tasks[[#This Row],[Stage]],stg_Name,0)),0)))</f>
        <v>0</v>
      </c>
      <c r="DT27" s="45" t="n">
        <f aca="false">IF(NOT(Tasks[[#This Row],[_IsLeaf]]=1),0,IF(N(Tasks[[#This Row],[Actual Finish]])&gt;0,1,MIN(1,Tasks[[#This Row],[_Pct]])))</f>
        <v>0</v>
      </c>
      <c r="DU27" s="45" t="n">
        <f aca="false">IF(OR(NOT(Tasks[[#This Row],[_IsLeaf]]=1),Tasks[[#This Row],[_Resource1]]=""),0,IF(ISNA(MATCH(Tasks[[#This Row],[_Resource1]],res_Name,0)),0,N(Tasks[[#This Row],[Duration]])*HoursPerDay*IF(Tasks[[#This Row],[_Units1]]="",DefaultUnits,Tasks[[#This Row],[_Units1]])))</f>
        <v>48</v>
      </c>
      <c r="DV27" s="45" t="n">
        <f aca="false">IF(Tasks[[#This Row],[_LeafWork]]=0,0,Tasks[[#This Row],[_LeafWork]]*IFERROR(INDEX(res_Rate,MATCH(Tasks[[#This Row],[_Resource1]],res_Name,0)),0))</f>
        <v>3360</v>
      </c>
      <c r="DW27" s="45" t="n">
        <f aca="false">Tasks[[#This Row],[_LeafWork]]+Tasks[[#This Row],[_Res2Work]]+Tasks[[#This Row],[_Res3Work]]+Tasks[[#This Row],[_Res4Work]]</f>
        <v>96</v>
      </c>
      <c r="DX27" s="45" t="n">
        <f aca="false">Tasks[[#This Row],[_LeafCost]]+Tasks[[#This Row],[_Res2Cost]]+Tasks[[#This Row],[_Res3Cost]]+Tasks[[#This Row],[_Res4Cost]]</f>
        <v>6480</v>
      </c>
      <c r="DY27" s="45" t="n">
        <f aca="false">IF(Tasks[[#This Row],[_LeafTotalCost]]=0,Tasks[[#This Row],[_LeafAC]],Tasks[[#This Row],[_LeafAC]]*Tasks[[#This Row],[_LeafCost]]/Tasks[[#This Row],[_LeafTotalCost]])</f>
        <v>0</v>
      </c>
      <c r="DZ27"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2912105</v>
      </c>
      <c r="EA2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2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2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27"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99989</v>
      </c>
      <c r="EE2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2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2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27" s="45" t="n">
        <f aca="false">IF(NOT(Tasks[[#This Row],[_IsLeaf]]=1),0,MAX(_xlfn.MAXIFS(Tasks[_Row],Tasks[_Pred1UID],Tasks[[#This Row],[UID]]),_xlfn.MAXIFS(Tasks[_Row],Tasks[_Pred2UID],Tasks[[#This Row],[UID]]),_xlfn.MAXIFS(Tasks[_Row],Tasks[_Pred3UID],Tasks[[#This Row],[UID]]),_xlfn.MAXIFS(Tasks[_Row],Tasks[_Pred4UID],Tasks[[#This Row],[UID]])))</f>
        <v>24</v>
      </c>
      <c r="EI27"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46370</v>
      </c>
      <c r="EJ27"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46370</v>
      </c>
      <c r="EK27" s="74" t="n">
        <f aca="false">IF(NOT(Tasks[[#This Row],[_IsLeaf]]=1),"",IF(N(Tasks[[#This Row],[Duration]])&lt;=0,Tasks[[#This Row],[_LeafLateFinish]],WORKDAY.INTL(Tasks[[#This Row],[_LeafLateFinish]],-(Tasks[[#This Row],[Duration]]-1),WorkWeek,Holidays)))</f>
        <v>46363</v>
      </c>
      <c r="EL27"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M27" s="73" t="b">
        <f aca="false">AND(Tasks[[#This Row],[_IsLeaf]]=1,Tasks[[#This Row],[_LeafProgress]]&lt;1,N(Tasks[[#This Row],[_LeafTotalSlack]])&lt;=CriticalSlackDays)</f>
        <v>1</v>
      </c>
      <c r="EN27" s="45" t="n">
        <f aca="false">IF(AND(Tasks[[#This Row],[_IsLeaf]]=1,Tasks[[#This Row],[_ConstraintCode]]=1,Tasks[[#This Row],[Mode]]&lt;&gt;"Manual",N(Tasks[[#This Row],[Actual Start]])=0),MAX(0,N(Tasks[[#This Row],[Free Slack]])),0)</f>
        <v>0</v>
      </c>
      <c r="EO27" s="74" t="n">
        <f aca="false">IF(NOT(Tasks[[#This Row],[_IsLeaf]]=1),"",IF(Tasks[[#This Row],[_AlapShift]]=0,Tasks[[#This Row],[_LeafCalcStart]],WORKDAY.INTL(Tasks[[#This Row],[_LeafCalcStart]],Tasks[[#This Row],[_AlapShift]],WorkWeek,Holidays)))</f>
        <v>46363</v>
      </c>
      <c r="EP27" s="74" t="n">
        <f aca="false">IF(NOT(Tasks[[#This Row],[_IsLeaf]]=1),"",IF(Tasks[[#This Row],[_AlapShift]]=0,Tasks[[#This Row],[_LeafCalcFinish]],WORKDAY.INTL(Tasks[[#This Row],[_LeafCalcFinish]],Tasks[[#This Row],[_AlapShift]],WorkWeek,Holidays)))</f>
        <v>46370</v>
      </c>
      <c r="EQ27" s="74" t="n">
        <f aca="false">IF(NOT(Tasks[[#This Row],[_IsLeaf]]=1),"",IF(Tasks[[#This Row],[_AlapShift]]=0,Tasks[[#This Row],[_LeafFcstStart]],WORKDAY.INTL(Tasks[[#This Row],[_LeafFcstStart]],Tasks[[#This Row],[_AlapShift]],WorkWeek,Holidays)))</f>
        <v>46363</v>
      </c>
      <c r="ER27" s="74" t="n">
        <f aca="false">IF(NOT(Tasks[[#This Row],[_IsLeaf]]=1),"",IF(Tasks[[#This Row],[_AlapShift]]=0,Tasks[[#This Row],[_LeafFcstFinish]],WORKDAY.INTL(Tasks[[#This Row],[_LeafFcstFinish]],Tasks[[#This Row],[_AlapShift]],WorkWeek,Holidays)))</f>
        <v>46370</v>
      </c>
      <c r="ES27" s="74" t="n">
        <f aca="false">IF(Tasks[[#This Row],[Task Name]]="","",IF(Tasks[[#This Row],[_IsSummary]],MIN(INDEX(Tasks[_ShownCalcStart],Tasks[[#This Row],[_Row]]+1):INDEX(Tasks[_ShownCalcStart],Tasks[[#This Row],[_Row]]+Tasks[[#This Row],[_Descendants]])),Tasks[[#This Row],[_ShownCalcStart]]))</f>
        <v>46363</v>
      </c>
      <c r="ET27" s="74" t="n">
        <f aca="false">IF(Tasks[[#This Row],[Task Name]]="","",IF(Tasks[[#This Row],[_IsSummary]],MAX(INDEX(Tasks[_ShownCalcFinish],Tasks[[#This Row],[_Row]]+1):INDEX(Tasks[_ShownCalcFinish],Tasks[[#This Row],[_Row]]+Tasks[[#This Row],[_Descendants]])),Tasks[[#This Row],[_ShownCalcFinish]]))</f>
        <v>46370</v>
      </c>
      <c r="EU2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2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2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2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2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46338</v>
      </c>
      <c r="EZ2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2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2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2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46346</v>
      </c>
      <c r="FD2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2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2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27" s="45" t="n">
        <f aca="false">IF(AND(Tasks[[#This Row],[_IsLeaf]]=1,Tasks[[#This Row],[_LeafTotalWork]]&gt;0),NETWORKDAYS.INTL(ProjectStart,Tasks[[#This Row],[_ShownFcstStart]],WorkWeek,Holidays),0)</f>
        <v>66</v>
      </c>
      <c r="FH27" s="45" t="n">
        <f aca="false">IF(AND(Tasks[[#This Row],[_IsLeaf]]=1,Tasks[[#This Row],[_LeafTotalWork]]&gt;0),MAX(Tasks[[#This Row],[_StartWorkday]],NETWORKDAYS.INTL(ProjectStart,Tasks[[#This Row],[_ShownFcstFinish]],WorkWeek,Holidays)),0)</f>
        <v>71</v>
      </c>
      <c r="FI27" s="45" t="n">
        <f aca="false">IF(AND(Tasks[[#This Row],[_IsLeaf]]=1,Tasks[[#This Row],[_LeafTotalWork]]&gt;0),Tasks[[#This Row],[_LeafWork]]/(Tasks[[#This Row],[_FinishWorkday]]-Tasks[[#This Row],[_StartWorkday]]+1),0)</f>
        <v>8</v>
      </c>
      <c r="FJ27" s="45" t="n">
        <f aca="false">Tasks[[#This Row],[_WorkPerWorkday]]*(Tasks[[#This Row],[_StartWorkday]]-1)</f>
        <v>520</v>
      </c>
      <c r="FK27" s="45" t="n">
        <f aca="false">IF(Tasks[[#This Row],[_IsLeaf]]=1,MAX(N(Tasks[[#This Row],[Duration]]),0.1),0)</f>
        <v>6</v>
      </c>
      <c r="FL27" s="45" t="n">
        <f aca="false">Tasks[[#This Row],[_WeightDur]]*Tasks[[#This Row],[_LeafProgress]]</f>
        <v>0</v>
      </c>
      <c r="FM2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v>
      </c>
      <c r="FN27" s="45" t="str">
        <f aca="false">IF(AND(Tasks[[#This Row],[_IsLeaf]]=1,N(Tasks[[#This Row],[Duration]])=0,Tasks[[#This Row],[_LeafProgress]]&lt;1),Tasks[[#This Row],[_ShownFcstFinish]]+Tasks[[#This Row],[_Row]]/100000,"")</f>
        <v/>
      </c>
      <c r="FO2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27" s="45" t="n">
        <f aca="false">IF(NOT(Tasks[[#This Row],[_IsLeaf]]=1),0,IF(Tasks[[#This Row],[Baseline Cost]]="",Tasks[[#This Row],[_LeafTotalCost]],N(Tasks[[#This Row],[Baseline Cost]])))</f>
        <v>6480</v>
      </c>
      <c r="FQ27" s="45" t="n">
        <f aca="false">Tasks[[#This Row],[_LeafBudget]]*Tasks[[#This Row],[_PlannedPct]]</f>
        <v>0</v>
      </c>
      <c r="FR27" s="45" t="n">
        <f aca="false">Tasks[[#This Row],[_LeafBudget]]*Tasks[[#This Row],[_LeafProgress]]</f>
        <v>0</v>
      </c>
      <c r="FS27" s="45" t="n">
        <f aca="false">IF(NOT(Tasks[[#This Row],[_IsLeaf]]=1),0,IF(Tasks[[#This Row],[Actual Cost]]="",Tasks[[#This Row],[_LeafTotalCost]]*Tasks[[#This Row],[_LeafProgress]],N(Tasks[[#This Row],[Actual Cost]])))</f>
        <v>0</v>
      </c>
      <c r="FT27" s="45" t="str">
        <f aca="false">IF(Tasks[[#This Row],[Task Name]]="","",LEFT(Tasks[[#This Row],[WBS]],FIND(".",Tasks[[#This Row],[WBS]]&amp;".")-1))</f>
        <v>4</v>
      </c>
      <c r="FU27" s="45" t="str">
        <f aca="false">IF(AND(Tasks[[#This Row],[Task Name]]&lt;&gt;"",Tasks[[#This Row],[_Level]]=1),Tasks[[#This Row],[_Row]],"")</f>
        <v/>
      </c>
      <c r="FV27" s="45" t="str">
        <f aca="false">IF(AND(Tasks[[#This Row],[_IsLeaf]]=1,N(Tasks[[#This Row],[Duration]])=0),Tasks[[#This Row],[Planned Finish]]+Tasks[[#This Row],[_Row]]/100000,"")</f>
        <v/>
      </c>
      <c r="FW27" s="45" t="str">
        <f aca="false">IF(AND(Tasks[[#This Row],[_IsLeaf]]=1,Tasks[[#This Row],[_LeafProgress]]&lt;1,OR(N(Tasks[[#This Row],[Finish Var]])&gt;0,Tasks[[#This Row],[Status]]="Late Start")),MAX(0,Tasks[[#This Row],[Finish Var]])+1-Tasks[[#This Row],[_Row]]/1000000,"")</f>
        <v/>
      </c>
      <c r="FX27" s="45" t="str">
        <f aca="false">IF(AND(Tasks[[#This Row],[_IsLeaf]]=1,N(Tasks[[#This Row],[Actual Start]])=0,Tasks[[#This Row],[_ShownFcstStart]]&gt;=StatusDate,Tasks[[#This Row],[_ShownFcstStart]]&lt;=LookaheadEnd),Tasks[[#This Row],[_ShownFcstStart]]+Tasks[[#This Row],[_Row]]/100000,"")</f>
        <v/>
      </c>
      <c r="FY27" s="45" t="str">
        <f aca="false">IF(AND(Tasks[[#This Row],[_IsLeaf]]=1,Tasks[[#This Row],[_LeafProgress]]&lt;1,Tasks[[#This Row],[_ShownFcstFinish]]&gt;=StatusDate,Tasks[[#This Row],[_ShownFcstFinish]]&lt;=LookaheadEnd),Tasks[[#This Row],[_ShownFcstFinish]]+Tasks[[#This Row],[_Row]]/100000,"")</f>
        <v/>
      </c>
      <c r="FZ27" s="77" t="n">
        <f aca="false">IF(Tasks[[#This Row],[_LeafCritical]],Tasks[[#This Row],[_ShownFcstStart]]+Tasks[[#This Row],[_Row]]/100000,"")</f>
        <v>46363.00022</v>
      </c>
      <c r="GA27" s="45" t="n">
        <f aca="false">Tasks[[#This Row],[_LeafWork]]*Tasks[[#This Row],[_LeafProgress]]</f>
        <v>0</v>
      </c>
      <c r="GB27" s="74" t="str">
        <f aca="false">IF(AND(Tasks[[#This Row],[_IsLeaf]]=1,Tasks[[#This Row],[_LeafProgress]]&gt;=1),IF(N(Tasks[[#This Row],[Actual Finish]])&gt;0,Tasks[[#This Row],[Actual Finish]],Tasks[[#This Row],[_ShownFcstFinish]]),"")</f>
        <v/>
      </c>
    </row>
    <row r="28" customFormat="false" ht="15" hidden="false" customHeight="false" outlineLevel="1" collapsed="false">
      <c r="A28" s="67" t="n">
        <f aca="false">IF(Tasks[[#This Row],[Task Name]]="","",COUNTA(Tasks[[#Headers],[Task Name]]:Tasks[[#This Row],[Task Name]])-1)</f>
        <v>23</v>
      </c>
      <c r="B28" s="21" t="n">
        <v>23</v>
      </c>
      <c r="C2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4.3</v>
      </c>
      <c r="D28" s="21" t="n">
        <v>2</v>
      </c>
      <c r="E28" s="75" t="s">
        <v>554</v>
      </c>
      <c r="F28" s="21" t="n">
        <v>5</v>
      </c>
      <c r="G28" s="22" t="s">
        <v>555</v>
      </c>
      <c r="H28" s="22" t="s">
        <v>541</v>
      </c>
      <c r="I28" s="22"/>
      <c r="J28" s="7"/>
      <c r="K28" s="7"/>
      <c r="L28" s="22"/>
      <c r="M28" s="58" t="n">
        <f aca="false">IF(Tasks[[#This Row],[Task Name]]="","",IF(Tasks[[#This Row],[_IsSummary]],MIN(INDEX(Tasks[_ShownFcstStart],Tasks[[#This Row],[_Row]]+1):INDEX(Tasks[_ShownFcstStart],Tasks[[#This Row],[_Row]]+Tasks[[#This Row],[_Descendants]])),Tasks[[#This Row],[_ShownFcstStart]]))</f>
        <v>46338</v>
      </c>
      <c r="N28" s="58" t="n">
        <f aca="false">IF(Tasks[[#This Row],[Task Name]]="","",IF(Tasks[[#This Row],[_IsSummary]],MAX(INDEX(Tasks[_ShownFcstFinish],Tasks[[#This Row],[_Row]]+1):INDEX(Tasks[_ShownFcstFinish],Tasks[[#This Row],[_Row]]+Tasks[[#This Row],[_Descendants]])),Tasks[[#This Row],[_ShownFcstFinish]]))</f>
        <v>46344</v>
      </c>
      <c r="O28" s="20" t="str">
        <f aca="false">IF(Tasks[[#This Row],[Task Name]]="","",IF(Tasks[[#This Row],[Progress]]&gt;=1,"Complete",IF(OR(N(Tasks[[#This Row],[Actual Start]])&gt;0,Tasks[[#This Row],[Progress]]&gt;0),IF(Tasks[[#This Row],[Finish Var]]&gt;0,"Behind","In Progress"),IF(Tasks[[#This Row],[Planned Start]]&lt;StatusDate,"Late Start","Not Started"))))</f>
        <v>Not Started</v>
      </c>
      <c r="P28" s="20" t="str">
        <f aca="false">IF(Tasks[[#This Row],[Task Name]]="","",IF(IF(Tasks[[#This Row],[_IsSummary]],COUNTIF(INDEX(Tasks[_LeafCritical],Tasks[[#This Row],[_Row]]+1):INDEX(Tasks[_LeafCritical],Tasks[[#This Row],[_Row]]+Tasks[[#This Row],[_Descendants]]),TRUE())&gt;0,Tasks[[#This Row],[_LeafCritical]]),"Yes",""))</f>
        <v/>
      </c>
      <c r="Q2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28" s="67" t="str">
        <f aca="false">IF(Tasks[[#This Row],[Task Name]]="","",IF(Tasks[[#This Row],[_Level]]&lt;=OutlineShowLevel,"Yes","No"))</f>
        <v>Yes</v>
      </c>
      <c r="S28" s="7"/>
      <c r="T28" s="21" t="s">
        <v>195</v>
      </c>
      <c r="U28" s="22"/>
      <c r="V28" s="7"/>
      <c r="W28" s="67" t="n">
        <f aca="false">IF(Tasks[[#This Row],[Task Name]]="","",IF(Tasks[[#This Row],[Finish]]&gt;=Tasks[[#This Row],[Planned Finish]],NETWORKDAYS.INTL(Tasks[[#This Row],[Planned Finish]],Tasks[[#This Row],[Finish]],WorkWeek,Holidays)-1,1-NETWORKDAYS.INTL(Tasks[[#This Row],[Finish]],Tasks[[#This Row],[Planned Finish]],WorkWeek,Holidays)))</f>
        <v>6</v>
      </c>
      <c r="X28" s="58" t="n">
        <f aca="false">IF(Tasks[[#This Row],[Task Name]]="","",IF(N(Tasks[[#This Row],[Baseline Start]])&gt;0,Tasks[[#This Row],[Baseline Start]],Tasks[[#This Row],[_CalcStart]]))</f>
        <v>46330</v>
      </c>
      <c r="Y28" s="58" t="n">
        <f aca="false">IF(Tasks[[#This Row],[Task Name]]="","",IF(N(Tasks[[#This Row],[Baseline Finish]])&gt;0,Tasks[[#This Row],[Baseline Finish]],Tasks[[#This Row],[_CalcFinish]]))</f>
        <v>46336</v>
      </c>
      <c r="Z28" s="67" t="n">
        <f aca="false">IF(Tasks[[#This Row],[Task Name]]="","",IF(Tasks[[#This Row],[Start]]&gt;=Tasks[[#This Row],[Planned Start]],NETWORKDAYS.INTL(Tasks[[#This Row],[Planned Start]],Tasks[[#This Row],[Start]],WorkWeek,Holidays)-1,1-NETWORKDAYS.INTL(Tasks[[#This Row],[Start]],Tasks[[#This Row],[Planned Start]],WorkWeek,Holidays)))</f>
        <v>6</v>
      </c>
      <c r="AA28" s="58" t="n">
        <f aca="false">IF(Tasks[[#This Row],[Task Name]]="","",IF(Tasks[[#This Row],[_IsSummary]],MIN(INDEX(Tasks[_LeafLateStart],Tasks[[#This Row],[_Row]]+1):INDEX(Tasks[_LeafLateStart],Tasks[[#This Row],[_Row]]+Tasks[[#This Row],[_Descendants]])),Tasks[[#This Row],[_LeafLateStart]]))</f>
        <v>46364</v>
      </c>
      <c r="AB28" s="58" t="n">
        <f aca="false">IF(Tasks[[#This Row],[Task Name]]="","",IF(Tasks[[#This Row],[_IsSummary]],MAX(INDEX(Tasks[_LeafLateFinish],Tasks[[#This Row],[_Row]]+1):INDEX(Tasks[_LeafLateFinish],Tasks[[#This Row],[_Row]]+Tasks[[#This Row],[_Descendants]])),Tasks[[#This Row],[_LeafLateFinish]]))</f>
        <v>46370</v>
      </c>
      <c r="AC28" s="67" t="n">
        <f aca="false">IF(Tasks[[#This Row],[Task Name]]="","",IF(Tasks[[#This Row],[_IsSummary]],MIN(INDEX(Tasks[_LeafTotalSlack],Tasks[[#This Row],[_Row]]+1):INDEX(Tasks[_LeafTotalSlack],Tasks[[#This Row],[_Row]]+Tasks[[#This Row],[_Descendants]])),Tasks[[#This Row],[_LeafTotalSlack]]))</f>
        <v>18</v>
      </c>
      <c r="AD28"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18</v>
      </c>
      <c r="AE2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2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28" s="60"/>
      <c r="AH28"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I2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21SS+2d</v>
      </c>
      <c r="AJ28" s="69" t="n">
        <f aca="false">IF(Tasks[[#This Row],[Task Name]]="","",IF(Tasks[[#This Row],[_IsSummary]],SUM(INDEX(Tasks[_LeafTotalWork],Tasks[[#This Row],[_Row]]+1):INDEX(Tasks[_LeafTotalWork],Tasks[[#This Row],[_Row]]+Tasks[[#This Row],[_Descendants]])),Tasks[[#This Row],[_LeafTotalWork]]))</f>
        <v>20</v>
      </c>
      <c r="AK2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Casey Kim[50%]</v>
      </c>
      <c r="AL28" s="70" t="n">
        <f aca="false">IF(Tasks[[#This Row],[Task Name]]="","",IF(Tasks[[#This Row],[_IsSummary]],SUM(INDEX(Tasks[_LeafTotalCost],Tasks[[#This Row],[_Row]]+1):INDEX(Tasks[_LeafTotalCost],Tasks[[#This Row],[_Row]]+Tasks[[#This Row],[_Descendants]])),Tasks[[#This Row],[_LeafTotalCost]]))</f>
        <v>1500</v>
      </c>
      <c r="AM28" s="71"/>
      <c r="AN28" s="20" t="str">
        <f aca="false">IF(OR(Tasks[[#This Row],[Task Name]]="",Tasks[[#This Row],[Baseline Duration]]=""),"",Tasks[[#This Row],[BL Source Duration]]-N(Tasks[[#This Row],[Baseline Duration]]))</f>
        <v/>
      </c>
      <c r="AO28" s="69" t="str">
        <f aca="false">IF(OR(Tasks[[#This Row],[Task Name]]="",Tasks[[#This Row],[Baseline Work]]=""),"",Tasks[[#This Row],[Work]]-N(Tasks[[#This Row],[Baseline Work]]))</f>
        <v/>
      </c>
      <c r="AP28" s="70" t="str">
        <f aca="false">IF(OR(Tasks[[#This Row],[Task Name]]="",Tasks[[#This Row],[Baseline Cost]]=""),"",Tasks[[#This Row],[Cost]]-N(Tasks[[#This Row],[Baseline Cost]]))</f>
        <v/>
      </c>
      <c r="AQ28" s="58" t="n">
        <f aca="false">IF(Tasks[[#This Row],[Task Name]]="","",Tasks[[#This Row],[Start]])</f>
        <v>46338</v>
      </c>
      <c r="AR28" s="58" t="n">
        <f aca="false">IF(Tasks[[#This Row],[Task Name]]="","",Tasks[[#This Row],[Finish]])</f>
        <v>46344</v>
      </c>
      <c r="AS28" s="67" t="n">
        <f aca="false">IF(Tasks[[#This Row],[Task Name]]="","",IF(Tasks[[#This Row],[_IsSummary]],NETWORKDAYS.INTL(Tasks[[#This Row],[Start]],Tasks[[#This Row],[Finish]],WorkWeek,Holidays),N(Tasks[[#This Row],[Duration]])))</f>
        <v>5</v>
      </c>
      <c r="AT28" s="69" t="n">
        <f aca="false">IF(Tasks[[#This Row],[Task Name]]="","",Tasks[[#This Row],[Work]])</f>
        <v>20</v>
      </c>
      <c r="AU28" s="70" t="n">
        <f aca="false">IF(Tasks[[#This Row],[Task Name]]="","",Tasks[[#This Row],[Cost]])</f>
        <v>1500</v>
      </c>
      <c r="AV28" s="7"/>
      <c r="AW28" s="7"/>
      <c r="AX28" s="21"/>
      <c r="AY28" s="72"/>
      <c r="AZ28" s="71"/>
      <c r="BA28" s="70" t="n">
        <f aca="false">IF(Tasks[[#This Row],[Task Name]]="","",IF(Tasks[[#This Row],[_IsSummary]],SUM(INDEX(Tasks[_LeafEV],Tasks[[#This Row],[_Row]]+1):INDEX(Tasks[_LeafEV],Tasks[[#This Row],[_Row]]+Tasks[[#This Row],[_Descendants]])),Tasks[[#This Row],[_LeafEV]]))</f>
        <v>0</v>
      </c>
      <c r="BB28" s="70" t="n">
        <f aca="false">IF(Tasks[[#This Row],[Task Name]]="","",IF(Tasks[[#This Row],[_IsSummary]],SUM(INDEX(Tasks[_LeafBudget],Tasks[[#This Row],[_Row]]+1):INDEX(Tasks[_LeafBudget],Tasks[[#This Row],[_Row]]+Tasks[[#This Row],[_Descendants]])),Tasks[[#This Row],[_LeafBudget]]))</f>
        <v>1500</v>
      </c>
      <c r="BC28" s="70" t="n">
        <f aca="false">IF(Tasks[[#This Row],[Task Name]]="","",IF(Tasks[[#This Row],[_IsSummary]],SUM(INDEX(Tasks[_LeafPV],Tasks[[#This Row],[_Row]]+1):INDEX(Tasks[_LeafPV],Tasks[[#This Row],[_Row]]+Tasks[[#This Row],[_Descendants]])),Tasks[[#This Row],[_LeafPV]]))</f>
        <v>0</v>
      </c>
      <c r="BD28" s="70" t="n">
        <f aca="false">IF(Tasks[[#This Row],[Task Name]]="","",IF(Tasks[[#This Row],[_IsSummary]],SUM(INDEX(Tasks[_LeafAC],Tasks[[#This Row],[_Row]]+1):INDEX(Tasks[_LeafAC],Tasks[[#This Row],[_Row]]+Tasks[[#This Row],[_Descendants]])),Tasks[[#This Row],[_LeafAC]]))</f>
        <v>0</v>
      </c>
      <c r="BE28" s="45" t="n">
        <f aca="false">IF(Tasks[[#This Row],[Task Name]]="","",MAX(1,N(Tasks[[#This Row],[Level]])))</f>
        <v>2</v>
      </c>
      <c r="BF28" s="45" t="n">
        <f aca="false">ROW()-ROW(Tasks[[#Headers],[ID]])</f>
        <v>23</v>
      </c>
      <c r="BG28" s="45" t="n">
        <f aca="false">IF(OR(Tasks[[#This Row],[Task Name]]="",Tasks[[#This Row],[_Level]]&lt;=1),0,IFERROR(LOOKUP(2,1/(Tasks[[#Headers],[_Level]]:Tasks[[#This Row],[_Level]]=Tasks[[#This Row],[_Level]]-1),ROW(Tasks[[#Headers],[_Level]]:Tasks[[#This Row],[_Level]])),0))</f>
        <v>25</v>
      </c>
      <c r="BH28" s="45" t="n">
        <f aca="false">IFERROR(N(INDEX(Tasks[_Level],Tasks[[#This Row],[_Row]]+1)),0)</f>
        <v>2</v>
      </c>
      <c r="BI28" s="73" t="b">
        <f aca="false">AND(Tasks[[#This Row],[Task Name]]&lt;&gt;"",Tasks[[#This Row],[_NextLevel]]&gt;Tasks[[#This Row],[_Level]])</f>
        <v>0</v>
      </c>
      <c r="BJ28" s="45" t="n">
        <f aca="false">IF(Tasks[[#This Row],[_IsSummary]],COUNTIF(Tasks[WBS],Tasks[[#This Row],[WBS]]&amp;".*"),0)</f>
        <v>0</v>
      </c>
      <c r="BK28" s="45" t="n">
        <f aca="false">IF(AND(Tasks[[#This Row],[Task Name]]&lt;&gt;"",NOT(Tasks[[#This Row],[_IsSummary]])),1,0)</f>
        <v>1</v>
      </c>
      <c r="BL28" s="45" t="n">
        <f aca="false">IF(N(Tasks[[#This Row],[_Pred1UID]])=0,0,IFERROR(MATCH(Tasks[[#This Row],[_Pred1UID]],Tasks[UID],0),-1))</f>
        <v>21</v>
      </c>
      <c r="BM28" s="45" t="n">
        <f aca="false">IF(N(Tasks[[#This Row],[_Pred2UID]])=0,0,IFERROR(MATCH(Tasks[[#This Row],[_Pred2UID]],Tasks[UID],0),-1))</f>
        <v>0</v>
      </c>
      <c r="BN28" s="45" t="n">
        <f aca="false">IF(N(Tasks[[#This Row],[_Pred3UID]])=0,0,IFERROR(MATCH(Tasks[[#This Row],[_Pred3UID]],Tasks[UID],0),-1))</f>
        <v>0</v>
      </c>
      <c r="BO28" s="45" t="n">
        <f aca="false">IF(N(Tasks[[#This Row],[_Pred4UID]])=0,0,IFERROR(MATCH(Tasks[[#This Row],[_Pred4UID]],Tasks[UID],0),-1))</f>
        <v>0</v>
      </c>
      <c r="BP28"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2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28" s="74" t="n">
        <f aca="false">IF(OR(Tasks[[#This Row],[_ConstraintCode]]=2,Tasks[[#This Row],[_ConstraintCode]]=3,Tasks[[#This Row],[_ConstraintCode]]=4,Tasks[[#This Row],[_ConstraintCode]]=6),Tasks[[#This Row],[_ConstraintStart]],0)</f>
        <v>0</v>
      </c>
      <c r="BS28" s="74" t="n">
        <f aca="false">IF(OR(Tasks[[#This Row],[_ConstraintCode]]=2,Tasks[[#This Row],[_ConstraintCode]]=3,Tasks[[#This Row],[_ConstraintCode]]=5,Tasks[[#This Row],[_ConstraintCode]]=7),Tasks[[#This Row],[_ConstraintStart]],2958465)</f>
        <v>2958465</v>
      </c>
      <c r="BT28"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46330</v>
      </c>
      <c r="BU28" s="74" t="n">
        <f aca="false">IF(NOT(Tasks[[#This Row],[_IsLeaf]]=1),"",IF(N(Tasks[[#This Row],[Duration]])&lt;=0,Tasks[[#This Row],[_LeafCalcStart]],WORKDAY.INTL(Tasks[[#This Row],[_LeafCalcStart]],Tasks[[#This Row],[Duration]]-1,WorkWeek,Holidays)))</f>
        <v>46336</v>
      </c>
      <c r="BV28"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46338</v>
      </c>
      <c r="BW28"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46344</v>
      </c>
      <c r="BX28" s="45" t="str">
        <f aca="false">IF(Tasks[[#This Row],[Predecessors]]="","",TRIM(MID(SUBSTITUTE(SUBSTITUTE(SUBSTITUTE(UPPER(Tasks[[#This Row],[Predecessors]]),";",",")," ",""),",",REPT(" ",99)),1,99)))</f>
        <v>21SS+2D</v>
      </c>
      <c r="BY28" s="45" t="n">
        <f aca="false">IF(Tasks[[#This Row],[_Pred1Text]]="","",IFERROR(VALUE(LEFT(Tasks[[#This Row],[_Pred1Text]],MIN(FIND("F",Tasks[[#This Row],[_Pred1Text]]&amp;"F"),FIND("S",Tasks[[#This Row],[_Pred1Text]]&amp;"S"),FIND("+",Tasks[[#This Row],[_Pred1Text]]&amp;"+"),FIND("-",Tasks[[#This Row],[_Pred1Text]]&amp;"-"))-1)),""))</f>
        <v>21</v>
      </c>
      <c r="BZ2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SS</v>
      </c>
      <c r="CA28"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2</v>
      </c>
      <c r="CB28" s="45" t="str">
        <f aca="false">IF(Tasks[[#This Row],[_Pred1Text]]="","",TRIM(MID(SUBSTITUTE(SUBSTITUTE(SUBSTITUTE(UPPER(Tasks[[#This Row],[Predecessors]]),";",",")," ",""),",",REPT(" ",99)),100,99)))</f>
        <v/>
      </c>
      <c r="CC28" s="45" t="str">
        <f aca="false">IF(Tasks[[#This Row],[_Pred2Text]]="","",IFERROR(VALUE(LEFT(Tasks[[#This Row],[_Pred2Text]],MIN(FIND("F",Tasks[[#This Row],[_Pred2Text]]&amp;"F"),FIND("S",Tasks[[#This Row],[_Pred2Text]]&amp;"S"),FIND("+",Tasks[[#This Row],[_Pred2Text]]&amp;"+"),FIND("-",Tasks[[#This Row],[_Pred2Text]]&amp;"-"))-1)),""))</f>
        <v/>
      </c>
      <c r="CD2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2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28" s="45" t="str">
        <f aca="false">IF(Tasks[[#This Row],[_Pred2Text]]="","",TRIM(MID(SUBSTITUTE(SUBSTITUTE(SUBSTITUTE(UPPER(Tasks[[#This Row],[Predecessors]]),";",",")," ",""),",",REPT(" ",99)),199,99)))</f>
        <v/>
      </c>
      <c r="CG28" s="45" t="str">
        <f aca="false">IF(Tasks[[#This Row],[_Pred3Text]]="","",IFERROR(VALUE(LEFT(Tasks[[#This Row],[_Pred3Text]],MIN(FIND("F",Tasks[[#This Row],[_Pred3Text]]&amp;"F"),FIND("S",Tasks[[#This Row],[_Pred3Text]]&amp;"S"),FIND("+",Tasks[[#This Row],[_Pred3Text]]&amp;"+"),FIND("-",Tasks[[#This Row],[_Pred3Text]]&amp;"-"))-1)),""))</f>
        <v/>
      </c>
      <c r="CH2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2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28" s="45" t="str">
        <f aca="false">IF(Tasks[[#This Row],[_Pred3Text]]="","",TRIM(MID(SUBSTITUTE(SUBSTITUTE(SUBSTITUTE(UPPER(Tasks[[#This Row],[Predecessors]]),";",",")," ",""),",",REPT(" ",99)),298,99)))</f>
        <v/>
      </c>
      <c r="CK28" s="45" t="str">
        <f aca="false">IF(Tasks[[#This Row],[_Pred4Text]]="","",IFERROR(VALUE(LEFT(Tasks[[#This Row],[_Pred4Text]],MIN(FIND("F",Tasks[[#This Row],[_Pred4Text]]&amp;"F"),FIND("S",Tasks[[#This Row],[_Pred4Text]]&amp;"S"),FIND("+",Tasks[[#This Row],[_Pred4Text]]&amp;"+"),FIND("-",Tasks[[#This Row],[_Pred4Text]]&amp;"-"))-1)),""))</f>
        <v/>
      </c>
      <c r="CL2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2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28" s="45" t="str">
        <f aca="false">IF(OR(Tasks[[#This Row],[Task Name]]="",Tasks[[#This Row],[Resources]]=""),"",TRIM(MID(SUBSTITUTE(Tasks[[#This Row],[Resources]],",",REPT(" ",99)),1,99)))</f>
        <v>Casey Kim[50%]</v>
      </c>
      <c r="CO28" s="45" t="str">
        <f aca="false">IF(Tasks[[#This Row],[_Res1Text]]="","",TRIM(MID(SUBSTITUTE(Tasks[[#This Row],[Resources]],",",REPT(" ",99)),100,99)))</f>
        <v/>
      </c>
      <c r="CP28" s="45" t="str">
        <f aca="false">IF(Tasks[[#This Row],[_Res2Text]]="","",TRIM(MID(SUBSTITUTE(Tasks[[#This Row],[Resources]],",",REPT(" ",99)),199,99)))</f>
        <v/>
      </c>
      <c r="CQ28" s="45" t="str">
        <f aca="false">IF(Tasks[[#This Row],[_Res3Text]]="","",TRIM(MID(SUBSTITUTE(Tasks[[#This Row],[Resources]],",",REPT(" ",99)),298,99)))</f>
        <v/>
      </c>
      <c r="CR2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Casey Kim</v>
      </c>
      <c r="CS28" s="45" t="n">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0.5</v>
      </c>
      <c r="CT28" s="45" t="n">
        <f aca="false">IF(NOT(Tasks[[#This Row],[_IsLeaf]]=1),0,(Tasks[[#This Row],[_Resource1]]&lt;&gt;"")+(Tasks[[#This Row],[_Res2]]&lt;&gt;"")+(Tasks[[#This Row],[_Res3]]&lt;&gt;"")+(Tasks[[#This Row],[_Res4]]&lt;&gt;""))</f>
        <v>1</v>
      </c>
      <c r="CU2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2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8" s="45" t="n">
        <f aca="false">IF(OR(NOT(Tasks[[#This Row],[_IsLeaf]]=1),Tasks[[#This Row],[_Res2]]=""),0,IF(ISNA(MATCH(Tasks[[#This Row],[_Res2]],res_Name,0)),0,N(Tasks[[#This Row],[Duration]])*HoursPerDay*IF(Tasks[[#This Row],[_Res2Units]]="",DefaultUnits,Tasks[[#This Row],[_Res2Units]])))</f>
        <v>0</v>
      </c>
      <c r="CX28" s="45" t="n">
        <f aca="false">IF(Tasks[[#This Row],[_Res2Work]]=0,0,Tasks[[#This Row],[_Res2Work]]*IFERROR(INDEX(res_Rate,MATCH(Tasks[[#This Row],[_Res2]],res_Name,0)),0))</f>
        <v>0</v>
      </c>
      <c r="CY28" s="45" t="n">
        <f aca="false">IF(AND(AND(Tasks[[#This Row],[_IsLeaf]]=1,Tasks[[#This Row],[_LeafTotalWork]]&gt;0),Tasks[[#This Row],[_Res2Work]]&gt;0),Tasks[[#This Row],[_Res2Work]]/(Tasks[[#This Row],[_FinishWorkday]]-Tasks[[#This Row],[_StartWorkday]]+1),0)</f>
        <v>0</v>
      </c>
      <c r="CZ28" s="45" t="n">
        <f aca="false">Tasks[[#This Row],[_Res2WorkPerWD]]*MAX(0,Tasks[[#This Row],[_StartWorkday]]-1)</f>
        <v>0</v>
      </c>
      <c r="DA28" s="45" t="n">
        <f aca="false">Tasks[[#This Row],[_Res2Work]]*Tasks[[#This Row],[_LeafProgress]]</f>
        <v>0</v>
      </c>
      <c r="DB28" s="45" t="n">
        <f aca="false">IF(Tasks[[#This Row],[_LeafTotalCost]]=0,0,Tasks[[#This Row],[_LeafAC]]*Tasks[[#This Row],[_Res2Cost]]/Tasks[[#This Row],[_LeafTotalCost]])</f>
        <v>0</v>
      </c>
      <c r="DC2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2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28" s="45" t="n">
        <f aca="false">IF(OR(NOT(Tasks[[#This Row],[_IsLeaf]]=1),Tasks[[#This Row],[_Res3]]=""),0,IF(ISNA(MATCH(Tasks[[#This Row],[_Res3]],res_Name,0)),0,N(Tasks[[#This Row],[Duration]])*HoursPerDay*IF(Tasks[[#This Row],[_Res3Units]]="",DefaultUnits,Tasks[[#This Row],[_Res3Units]])))</f>
        <v>0</v>
      </c>
      <c r="DF28" s="45" t="n">
        <f aca="false">IF(Tasks[[#This Row],[_Res3Work]]=0,0,Tasks[[#This Row],[_Res3Work]]*IFERROR(INDEX(res_Rate,MATCH(Tasks[[#This Row],[_Res3]],res_Name,0)),0))</f>
        <v>0</v>
      </c>
      <c r="DG28" s="45" t="n">
        <f aca="false">IF(AND(AND(Tasks[[#This Row],[_IsLeaf]]=1,Tasks[[#This Row],[_LeafTotalWork]]&gt;0),Tasks[[#This Row],[_Res3Work]]&gt;0),Tasks[[#This Row],[_Res3Work]]/(Tasks[[#This Row],[_FinishWorkday]]-Tasks[[#This Row],[_StartWorkday]]+1),0)</f>
        <v>0</v>
      </c>
      <c r="DH28" s="45" t="n">
        <f aca="false">Tasks[[#This Row],[_Res3WorkPerWD]]*MAX(0,Tasks[[#This Row],[_StartWorkday]]-1)</f>
        <v>0</v>
      </c>
      <c r="DI28" s="45" t="n">
        <f aca="false">Tasks[[#This Row],[_Res3Work]]*Tasks[[#This Row],[_LeafProgress]]</f>
        <v>0</v>
      </c>
      <c r="DJ28" s="45" t="n">
        <f aca="false">IF(Tasks[[#This Row],[_LeafTotalCost]]=0,0,Tasks[[#This Row],[_LeafAC]]*Tasks[[#This Row],[_Res3Cost]]/Tasks[[#This Row],[_LeafTotalCost]])</f>
        <v>0</v>
      </c>
      <c r="DK2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2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28" s="45" t="n">
        <f aca="false">IF(OR(NOT(Tasks[[#This Row],[_IsLeaf]]=1),Tasks[[#This Row],[_Res4]]=""),0,IF(ISNA(MATCH(Tasks[[#This Row],[_Res4]],res_Name,0)),0,N(Tasks[[#This Row],[Duration]])*HoursPerDay*IF(Tasks[[#This Row],[_Res4Units]]="",DefaultUnits,Tasks[[#This Row],[_Res4Units]])))</f>
        <v>0</v>
      </c>
      <c r="DN28" s="45" t="n">
        <f aca="false">IF(Tasks[[#This Row],[_Res4Work]]=0,0,Tasks[[#This Row],[_Res4Work]]*IFERROR(INDEX(res_Rate,MATCH(Tasks[[#This Row],[_Res4]],res_Name,0)),0))</f>
        <v>0</v>
      </c>
      <c r="DO28" s="45" t="n">
        <f aca="false">IF(AND(AND(Tasks[[#This Row],[_IsLeaf]]=1,Tasks[[#This Row],[_LeafTotalWork]]&gt;0),Tasks[[#This Row],[_Res4Work]]&gt;0),Tasks[[#This Row],[_Res4Work]]/(Tasks[[#This Row],[_FinishWorkday]]-Tasks[[#This Row],[_StartWorkday]]+1),0)</f>
        <v>0</v>
      </c>
      <c r="DP28" s="45" t="n">
        <f aca="false">Tasks[[#This Row],[_Res4WorkPerWD]]*MAX(0,Tasks[[#This Row],[_StartWorkday]]-1)</f>
        <v>0</v>
      </c>
      <c r="DQ28" s="45" t="n">
        <f aca="false">Tasks[[#This Row],[_Res4Work]]*Tasks[[#This Row],[_LeafProgress]]</f>
        <v>0</v>
      </c>
      <c r="DR28" s="45" t="n">
        <f aca="false">IF(Tasks[[#This Row],[_LeafTotalCost]]=0,0,Tasks[[#This Row],[_LeafAC]]*Tasks[[#This Row],[_Res4Cost]]/Tasks[[#This Row],[_LeafTotalCost]])</f>
        <v>0</v>
      </c>
      <c r="DS28" s="45" t="n">
        <f aca="false">IF(ISNUMBER(Tasks[[#This Row],[% Complete]]),Tasks[[#This Row],[% Complete]],IF(Tasks[[#This Row],[Stage]]="",0,IFERROR(INDEX(stg_Pct,MATCH(Tasks[[#This Row],[Stage]],stg_Name,0)),0)))</f>
        <v>0</v>
      </c>
      <c r="DT28" s="45" t="n">
        <f aca="false">IF(NOT(Tasks[[#This Row],[_IsLeaf]]=1),0,IF(N(Tasks[[#This Row],[Actual Finish]])&gt;0,1,MIN(1,Tasks[[#This Row],[_Pct]])))</f>
        <v>0</v>
      </c>
      <c r="DU28" s="45" t="n">
        <f aca="false">IF(OR(NOT(Tasks[[#This Row],[_IsLeaf]]=1),Tasks[[#This Row],[_Resource1]]=""),0,IF(ISNA(MATCH(Tasks[[#This Row],[_Resource1]],res_Name,0)),0,N(Tasks[[#This Row],[Duration]])*HoursPerDay*IF(Tasks[[#This Row],[_Units1]]="",DefaultUnits,Tasks[[#This Row],[_Units1]])))</f>
        <v>20</v>
      </c>
      <c r="DV28" s="45" t="n">
        <f aca="false">IF(Tasks[[#This Row],[_LeafWork]]=0,0,Tasks[[#This Row],[_LeafWork]]*IFERROR(INDEX(res_Rate,MATCH(Tasks[[#This Row],[_Resource1]],res_Name,0)),0))</f>
        <v>1500</v>
      </c>
      <c r="DW28" s="45" t="n">
        <f aca="false">Tasks[[#This Row],[_LeafWork]]+Tasks[[#This Row],[_Res2Work]]+Tasks[[#This Row],[_Res3Work]]+Tasks[[#This Row],[_Res4Work]]</f>
        <v>20</v>
      </c>
      <c r="DX28" s="45" t="n">
        <f aca="false">Tasks[[#This Row],[_LeafCost]]+Tasks[[#This Row],[_Res2Cost]]+Tasks[[#This Row],[_Res3Cost]]+Tasks[[#This Row],[_Res4Cost]]</f>
        <v>1500</v>
      </c>
      <c r="DY28" s="45" t="n">
        <f aca="false">IF(Tasks[[#This Row],[_LeafTotalCost]]=0,Tasks[[#This Row],[_LeafAC]],Tasks[[#This Row],[_LeafAC]]*Tasks[[#This Row],[_LeafCost]]/Tasks[[#This Row],[_LeafTotalCost]])</f>
        <v>0</v>
      </c>
      <c r="DZ28"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2912094</v>
      </c>
      <c r="EA2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2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2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28"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2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2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2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28" s="45" t="n">
        <f aca="false">IF(NOT(Tasks[[#This Row],[_IsLeaf]]=1),0,MAX(_xlfn.MAXIFS(Tasks[_Row],Tasks[_Pred1UID],Tasks[[#This Row],[UID]]),_xlfn.MAXIFS(Tasks[_Row],Tasks[_Pred2UID],Tasks[[#This Row],[UID]]),_xlfn.MAXIFS(Tasks[_Row],Tasks[_Pred3UID],Tasks[[#This Row],[UID]]),_xlfn.MAXIFS(Tasks[_Row],Tasks[_Pred4UID],Tasks[[#This Row],[UID]])))</f>
        <v>24</v>
      </c>
      <c r="EI28"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46370</v>
      </c>
      <c r="EJ28"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46370</v>
      </c>
      <c r="EK28" s="74" t="n">
        <f aca="false">IF(NOT(Tasks[[#This Row],[_IsLeaf]]=1),"",IF(N(Tasks[[#This Row],[Duration]])&lt;=0,Tasks[[#This Row],[_LeafLateFinish]],WORKDAY.INTL(Tasks[[#This Row],[_LeafLateFinish]],-(Tasks[[#This Row],[Duration]]-1),WorkWeek,Holidays)))</f>
        <v>46364</v>
      </c>
      <c r="EL28"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18</v>
      </c>
      <c r="EM28" s="73" t="b">
        <f aca="false">AND(Tasks[[#This Row],[_IsLeaf]]=1,Tasks[[#This Row],[_LeafProgress]]&lt;1,N(Tasks[[#This Row],[_LeafTotalSlack]])&lt;=CriticalSlackDays)</f>
        <v>0</v>
      </c>
      <c r="EN28" s="45" t="n">
        <f aca="false">IF(AND(Tasks[[#This Row],[_IsLeaf]]=1,Tasks[[#This Row],[_ConstraintCode]]=1,Tasks[[#This Row],[Mode]]&lt;&gt;"Manual",N(Tasks[[#This Row],[Actual Start]])=0),MAX(0,N(Tasks[[#This Row],[Free Slack]])),0)</f>
        <v>0</v>
      </c>
      <c r="EO28" s="74" t="n">
        <f aca="false">IF(NOT(Tasks[[#This Row],[_IsLeaf]]=1),"",IF(Tasks[[#This Row],[_AlapShift]]=0,Tasks[[#This Row],[_LeafCalcStart]],WORKDAY.INTL(Tasks[[#This Row],[_LeafCalcStart]],Tasks[[#This Row],[_AlapShift]],WorkWeek,Holidays)))</f>
        <v>46330</v>
      </c>
      <c r="EP28" s="74" t="n">
        <f aca="false">IF(NOT(Tasks[[#This Row],[_IsLeaf]]=1),"",IF(Tasks[[#This Row],[_AlapShift]]=0,Tasks[[#This Row],[_LeafCalcFinish]],WORKDAY.INTL(Tasks[[#This Row],[_LeafCalcFinish]],Tasks[[#This Row],[_AlapShift]],WorkWeek,Holidays)))</f>
        <v>46336</v>
      </c>
      <c r="EQ28" s="74" t="n">
        <f aca="false">IF(NOT(Tasks[[#This Row],[_IsLeaf]]=1),"",IF(Tasks[[#This Row],[_AlapShift]]=0,Tasks[[#This Row],[_LeafFcstStart]],WORKDAY.INTL(Tasks[[#This Row],[_LeafFcstStart]],Tasks[[#This Row],[_AlapShift]],WorkWeek,Holidays)))</f>
        <v>46338</v>
      </c>
      <c r="ER28" s="74" t="n">
        <f aca="false">IF(NOT(Tasks[[#This Row],[_IsLeaf]]=1),"",IF(Tasks[[#This Row],[_AlapShift]]=0,Tasks[[#This Row],[_LeafFcstFinish]],WORKDAY.INTL(Tasks[[#This Row],[_LeafFcstFinish]],Tasks[[#This Row],[_AlapShift]],WorkWeek,Holidays)))</f>
        <v>46344</v>
      </c>
      <c r="ES28" s="74" t="n">
        <f aca="false">IF(Tasks[[#This Row],[Task Name]]="","",IF(Tasks[[#This Row],[_IsSummary]],MIN(INDEX(Tasks[_ShownCalcStart],Tasks[[#This Row],[_Row]]+1):INDEX(Tasks[_ShownCalcStart],Tasks[[#This Row],[_Row]]+Tasks[[#This Row],[_Descendants]])),Tasks[[#This Row],[_ShownCalcStart]]))</f>
        <v>46330</v>
      </c>
      <c r="ET28" s="74" t="n">
        <f aca="false">IF(Tasks[[#This Row],[Task Name]]="","",IF(Tasks[[#This Row],[_IsSummary]],MAX(INDEX(Tasks[_ShownCalcFinish],Tasks[[#This Row],[_Row]]+1):INDEX(Tasks[_ShownCalcFinish],Tasks[[#This Row],[_Row]]+Tasks[[#This Row],[_Descendants]])),Tasks[[#This Row],[_ShownCalcFinish]]))</f>
        <v>46336</v>
      </c>
      <c r="EU2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2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2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2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2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46330</v>
      </c>
      <c r="EZ2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2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2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2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46338</v>
      </c>
      <c r="FD2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2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2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28" s="45" t="n">
        <f aca="false">IF(AND(Tasks[[#This Row],[_IsLeaf]]=1,Tasks[[#This Row],[_LeafTotalWork]]&gt;0),NETWORKDAYS.INTL(ProjectStart,Tasks[[#This Row],[_ShownFcstStart]],WorkWeek,Holidays),0)</f>
        <v>49</v>
      </c>
      <c r="FH28" s="45" t="n">
        <f aca="false">IF(AND(Tasks[[#This Row],[_IsLeaf]]=1,Tasks[[#This Row],[_LeafTotalWork]]&gt;0),MAX(Tasks[[#This Row],[_StartWorkday]],NETWORKDAYS.INTL(ProjectStart,Tasks[[#This Row],[_ShownFcstFinish]],WorkWeek,Holidays)),0)</f>
        <v>53</v>
      </c>
      <c r="FI28" s="45" t="n">
        <f aca="false">IF(AND(Tasks[[#This Row],[_IsLeaf]]=1,Tasks[[#This Row],[_LeafTotalWork]]&gt;0),Tasks[[#This Row],[_LeafWork]]/(Tasks[[#This Row],[_FinishWorkday]]-Tasks[[#This Row],[_StartWorkday]]+1),0)</f>
        <v>4</v>
      </c>
      <c r="FJ28" s="45" t="n">
        <f aca="false">Tasks[[#This Row],[_WorkPerWorkday]]*(Tasks[[#This Row],[_StartWorkday]]-1)</f>
        <v>192</v>
      </c>
      <c r="FK28" s="45" t="n">
        <f aca="false">IF(Tasks[[#This Row],[_IsLeaf]]=1,MAX(N(Tasks[[#This Row],[Duration]]),0.1),0)</f>
        <v>5</v>
      </c>
      <c r="FL28" s="45" t="n">
        <f aca="false">Tasks[[#This Row],[_WeightDur]]*Tasks[[#This Row],[_LeafProgress]]</f>
        <v>0</v>
      </c>
      <c r="FM2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21SS+2d</v>
      </c>
      <c r="FN28" s="45" t="str">
        <f aca="false">IF(AND(Tasks[[#This Row],[_IsLeaf]]=1,N(Tasks[[#This Row],[Duration]])=0,Tasks[[#This Row],[_LeafProgress]]&lt;1),Tasks[[#This Row],[_ShownFcstFinish]]+Tasks[[#This Row],[_Row]]/100000,"")</f>
        <v/>
      </c>
      <c r="FO2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28" s="45" t="n">
        <f aca="false">IF(NOT(Tasks[[#This Row],[_IsLeaf]]=1),0,IF(Tasks[[#This Row],[Baseline Cost]]="",Tasks[[#This Row],[_LeafTotalCost]],N(Tasks[[#This Row],[Baseline Cost]])))</f>
        <v>1500</v>
      </c>
      <c r="FQ28" s="45" t="n">
        <f aca="false">Tasks[[#This Row],[_LeafBudget]]*Tasks[[#This Row],[_PlannedPct]]</f>
        <v>0</v>
      </c>
      <c r="FR28" s="45" t="n">
        <f aca="false">Tasks[[#This Row],[_LeafBudget]]*Tasks[[#This Row],[_LeafProgress]]</f>
        <v>0</v>
      </c>
      <c r="FS28" s="45" t="n">
        <f aca="false">IF(NOT(Tasks[[#This Row],[_IsLeaf]]=1),0,IF(Tasks[[#This Row],[Actual Cost]]="",Tasks[[#This Row],[_LeafTotalCost]]*Tasks[[#This Row],[_LeafProgress]],N(Tasks[[#This Row],[Actual Cost]])))</f>
        <v>0</v>
      </c>
      <c r="FT28" s="45" t="str">
        <f aca="false">IF(Tasks[[#This Row],[Task Name]]="","",LEFT(Tasks[[#This Row],[WBS]],FIND(".",Tasks[[#This Row],[WBS]]&amp;".")-1))</f>
        <v>4</v>
      </c>
      <c r="FU28" s="45" t="str">
        <f aca="false">IF(AND(Tasks[[#This Row],[Task Name]]&lt;&gt;"",Tasks[[#This Row],[_Level]]=1),Tasks[[#This Row],[_Row]],"")</f>
        <v/>
      </c>
      <c r="FV28" s="45" t="str">
        <f aca="false">IF(AND(Tasks[[#This Row],[_IsLeaf]]=1,N(Tasks[[#This Row],[Duration]])=0),Tasks[[#This Row],[Planned Finish]]+Tasks[[#This Row],[_Row]]/100000,"")</f>
        <v/>
      </c>
      <c r="FW28" s="45" t="n">
        <f aca="false">IF(AND(Tasks[[#This Row],[_IsLeaf]]=1,Tasks[[#This Row],[_LeafProgress]]&lt;1,OR(N(Tasks[[#This Row],[Finish Var]])&gt;0,Tasks[[#This Row],[Status]]="Late Start")),MAX(0,Tasks[[#This Row],[Finish Var]])+1-Tasks[[#This Row],[_Row]]/1000000,"")</f>
        <v>6.999977</v>
      </c>
      <c r="FX28" s="45" t="str">
        <f aca="false">IF(AND(Tasks[[#This Row],[_IsLeaf]]=1,N(Tasks[[#This Row],[Actual Start]])=0,Tasks[[#This Row],[_ShownFcstStart]]&gt;=StatusDate,Tasks[[#This Row],[_ShownFcstStart]]&lt;=LookaheadEnd),Tasks[[#This Row],[_ShownFcstStart]]+Tasks[[#This Row],[_Row]]/100000,"")</f>
        <v/>
      </c>
      <c r="FY28" s="45" t="str">
        <f aca="false">IF(AND(Tasks[[#This Row],[_IsLeaf]]=1,Tasks[[#This Row],[_LeafProgress]]&lt;1,Tasks[[#This Row],[_ShownFcstFinish]]&gt;=StatusDate,Tasks[[#This Row],[_ShownFcstFinish]]&lt;=LookaheadEnd),Tasks[[#This Row],[_ShownFcstFinish]]+Tasks[[#This Row],[_Row]]/100000,"")</f>
        <v/>
      </c>
      <c r="FZ28" s="45" t="str">
        <f aca="false">IF(Tasks[[#This Row],[_LeafCritical]],Tasks[[#This Row],[_ShownFcstStart]]+Tasks[[#This Row],[_Row]]/100000,"")</f>
        <v/>
      </c>
      <c r="GA28" s="45" t="n">
        <f aca="false">Tasks[[#This Row],[_LeafWork]]*Tasks[[#This Row],[_LeafProgress]]</f>
        <v>0</v>
      </c>
      <c r="GB28" s="74" t="str">
        <f aca="false">IF(AND(Tasks[[#This Row],[_IsLeaf]]=1,Tasks[[#This Row],[_LeafProgress]]&gt;=1),IF(N(Tasks[[#This Row],[Actual Finish]])&gt;0,Tasks[[#This Row],[Actual Finish]],Tasks[[#This Row],[_ShownFcstFinish]]),"")</f>
        <v/>
      </c>
    </row>
    <row r="29" customFormat="false" ht="15" hidden="false" customHeight="false" outlineLevel="1" collapsed="false">
      <c r="A29" s="67" t="n">
        <f aca="false">IF(Tasks[[#This Row],[Task Name]]="","",COUNTA(Tasks[[#Headers],[Task Name]]:Tasks[[#This Row],[Task Name]])-1)</f>
        <v>24</v>
      </c>
      <c r="B29" s="21" t="n">
        <v>24</v>
      </c>
      <c r="C2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4.4</v>
      </c>
      <c r="D29" s="21" t="n">
        <v>2</v>
      </c>
      <c r="E29" s="75" t="s">
        <v>556</v>
      </c>
      <c r="F29" s="21" t="n">
        <v>1</v>
      </c>
      <c r="G29" s="22" t="s">
        <v>557</v>
      </c>
      <c r="H29" s="22" t="s">
        <v>6</v>
      </c>
      <c r="I29" s="22"/>
      <c r="J29" s="7"/>
      <c r="K29" s="7"/>
      <c r="L29" s="22" t="s">
        <v>558</v>
      </c>
      <c r="M29" s="58" t="n">
        <f aca="false">IF(Tasks[[#This Row],[Task Name]]="","",IF(Tasks[[#This Row],[_IsSummary]],MIN(INDEX(Tasks[_ShownFcstStart],Tasks[[#This Row],[_Row]]+1):INDEX(Tasks[_ShownFcstStart],Tasks[[#This Row],[_Row]]+Tasks[[#This Row],[_Descendants]])),Tasks[[#This Row],[_ShownFcstStart]]))</f>
        <v>46371</v>
      </c>
      <c r="N29" s="58" t="n">
        <f aca="false">IF(Tasks[[#This Row],[Task Name]]="","",IF(Tasks[[#This Row],[_IsSummary]],MAX(INDEX(Tasks[_ShownFcstFinish],Tasks[[#This Row],[_Row]]+1):INDEX(Tasks[_ShownFcstFinish],Tasks[[#This Row],[_Row]]+Tasks[[#This Row],[_Descendants]])),Tasks[[#This Row],[_ShownFcstFinish]]))</f>
        <v>46371</v>
      </c>
      <c r="O29" s="20" t="str">
        <f aca="false">IF(Tasks[[#This Row],[Task Name]]="","",IF(Tasks[[#This Row],[Progress]]&gt;=1,"Complete",IF(OR(N(Tasks[[#This Row],[Actual Start]])&gt;0,Tasks[[#This Row],[Progress]]&gt;0),IF(Tasks[[#This Row],[Finish Var]]&gt;0,"Behind","In Progress"),IF(Tasks[[#This Row],[Planned Start]]&lt;StatusDate,"Late Start","Not Started"))))</f>
        <v>Not Started</v>
      </c>
      <c r="P29" s="20" t="str">
        <f aca="false">IF(Tasks[[#This Row],[Task Name]]="","",IF(IF(Tasks[[#This Row],[_IsSummary]],COUNTIF(INDEX(Tasks[_LeafCritical],Tasks[[#This Row],[_Row]]+1):INDEX(Tasks[_LeafCritical],Tasks[[#This Row],[_Row]]+Tasks[[#This Row],[_Descendants]]),TRUE())&gt;0,Tasks[[#This Row],[_LeafCritical]]),"Yes",""))</f>
        <v>Yes</v>
      </c>
      <c r="Q2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29" s="67" t="str">
        <f aca="false">IF(Tasks[[#This Row],[Task Name]]="","",IF(Tasks[[#This Row],[_Level]]&lt;=OutlineShowLevel,"Yes","No"))</f>
        <v>Yes</v>
      </c>
      <c r="S29" s="7"/>
      <c r="T29" s="21" t="s">
        <v>195</v>
      </c>
      <c r="U29" s="22"/>
      <c r="V29" s="7"/>
      <c r="W29" s="67" t="n">
        <f aca="false">IF(Tasks[[#This Row],[Task Name]]="","",IF(Tasks[[#This Row],[Finish]]&gt;=Tasks[[#This Row],[Planned Finish]],NETWORKDAYS.INTL(Tasks[[#This Row],[Planned Finish]],Tasks[[#This Row],[Finish]],WorkWeek,Holidays)-1,1-NETWORKDAYS.INTL(Tasks[[#This Row],[Finish]],Tasks[[#This Row],[Planned Finish]],WorkWeek,Holidays)))</f>
        <v>0</v>
      </c>
      <c r="X29" s="58" t="n">
        <f aca="false">IF(Tasks[[#This Row],[Task Name]]="","",IF(N(Tasks[[#This Row],[Baseline Start]])&gt;0,Tasks[[#This Row],[Baseline Start]],Tasks[[#This Row],[_CalcStart]]))</f>
        <v>46371</v>
      </c>
      <c r="Y29" s="58" t="n">
        <f aca="false">IF(Tasks[[#This Row],[Task Name]]="","",IF(N(Tasks[[#This Row],[Baseline Finish]])&gt;0,Tasks[[#This Row],[Baseline Finish]],Tasks[[#This Row],[_CalcFinish]]))</f>
        <v>46371</v>
      </c>
      <c r="Z29" s="67" t="n">
        <f aca="false">IF(Tasks[[#This Row],[Task Name]]="","",IF(Tasks[[#This Row],[Start]]&gt;=Tasks[[#This Row],[Planned Start]],NETWORKDAYS.INTL(Tasks[[#This Row],[Planned Start]],Tasks[[#This Row],[Start]],WorkWeek,Holidays)-1,1-NETWORKDAYS.INTL(Tasks[[#This Row],[Start]],Tasks[[#This Row],[Planned Start]],WorkWeek,Holidays)))</f>
        <v>0</v>
      </c>
      <c r="AA29" s="58" t="n">
        <f aca="false">IF(Tasks[[#This Row],[Task Name]]="","",IF(Tasks[[#This Row],[_IsSummary]],MIN(INDEX(Tasks[_LeafLateStart],Tasks[[#This Row],[_Row]]+1):INDEX(Tasks[_LeafLateStart],Tasks[[#This Row],[_Row]]+Tasks[[#This Row],[_Descendants]])),Tasks[[#This Row],[_LeafLateStart]]))</f>
        <v>46371</v>
      </c>
      <c r="AB29" s="58" t="n">
        <f aca="false">IF(Tasks[[#This Row],[Task Name]]="","",IF(Tasks[[#This Row],[_IsSummary]],MAX(INDEX(Tasks[_LeafLateFinish],Tasks[[#This Row],[_Row]]+1):INDEX(Tasks[_LeafLateFinish],Tasks[[#This Row],[_Row]]+Tasks[[#This Row],[_Descendants]])),Tasks[[#This Row],[_LeafLateFinish]]))</f>
        <v>46371</v>
      </c>
      <c r="AC29" s="67" t="n">
        <f aca="false">IF(Tasks[[#This Row],[Task Name]]="","",IF(Tasks[[#This Row],[_IsSummary]],MIN(INDEX(Tasks[_LeafTotalSlack],Tasks[[#This Row],[_Row]]+1):INDEX(Tasks[_LeafTotalSlack],Tasks[[#This Row],[_Row]]+Tasks[[#This Row],[_Descendants]])),Tasks[[#This Row],[_LeafTotalSlack]]))</f>
        <v>0</v>
      </c>
      <c r="AD29"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2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2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29" s="60"/>
      <c r="AH29"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I2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22,23,21</v>
      </c>
      <c r="AJ29" s="69" t="n">
        <f aca="false">IF(Tasks[[#This Row],[Task Name]]="","",IF(Tasks[[#This Row],[_IsSummary]],SUM(INDEX(Tasks[_LeafTotalWork],Tasks[[#This Row],[_Row]]+1):INDEX(Tasks[_LeafTotalWork],Tasks[[#This Row],[_Row]]+Tasks[[#This Row],[_Descendants]])),Tasks[[#This Row],[_LeafTotalWork]]))</f>
        <v>8</v>
      </c>
      <c r="AK2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Priya Sharma</v>
      </c>
      <c r="AL29" s="70" t="n">
        <f aca="false">IF(Tasks[[#This Row],[Task Name]]="","",IF(Tasks[[#This Row],[_IsSummary]],SUM(INDEX(Tasks[_LeafTotalCost],Tasks[[#This Row],[_Row]]+1):INDEX(Tasks[_LeafTotalCost],Tasks[[#This Row],[_Row]]+Tasks[[#This Row],[_Descendants]])),Tasks[[#This Row],[_LeafTotalCost]]))</f>
        <v>760</v>
      </c>
      <c r="AM29" s="71"/>
      <c r="AN29" s="20" t="str">
        <f aca="false">IF(OR(Tasks[[#This Row],[Task Name]]="",Tasks[[#This Row],[Baseline Duration]]=""),"",Tasks[[#This Row],[BL Source Duration]]-N(Tasks[[#This Row],[Baseline Duration]]))</f>
        <v/>
      </c>
      <c r="AO29" s="69" t="str">
        <f aca="false">IF(OR(Tasks[[#This Row],[Task Name]]="",Tasks[[#This Row],[Baseline Work]]=""),"",Tasks[[#This Row],[Work]]-N(Tasks[[#This Row],[Baseline Work]]))</f>
        <v/>
      </c>
      <c r="AP29" s="70" t="str">
        <f aca="false">IF(OR(Tasks[[#This Row],[Task Name]]="",Tasks[[#This Row],[Baseline Cost]]=""),"",Tasks[[#This Row],[Cost]]-N(Tasks[[#This Row],[Baseline Cost]]))</f>
        <v/>
      </c>
      <c r="AQ29" s="58" t="n">
        <f aca="false">IF(Tasks[[#This Row],[Task Name]]="","",Tasks[[#This Row],[Start]])</f>
        <v>46371</v>
      </c>
      <c r="AR29" s="58" t="n">
        <f aca="false">IF(Tasks[[#This Row],[Task Name]]="","",Tasks[[#This Row],[Finish]])</f>
        <v>46371</v>
      </c>
      <c r="AS29" s="67" t="n">
        <f aca="false">IF(Tasks[[#This Row],[Task Name]]="","",IF(Tasks[[#This Row],[_IsSummary]],NETWORKDAYS.INTL(Tasks[[#This Row],[Start]],Tasks[[#This Row],[Finish]],WorkWeek,Holidays),N(Tasks[[#This Row],[Duration]])))</f>
        <v>1</v>
      </c>
      <c r="AT29" s="69" t="n">
        <f aca="false">IF(Tasks[[#This Row],[Task Name]]="","",Tasks[[#This Row],[Work]])</f>
        <v>8</v>
      </c>
      <c r="AU29" s="70" t="n">
        <f aca="false">IF(Tasks[[#This Row],[Task Name]]="","",Tasks[[#This Row],[Cost]])</f>
        <v>760</v>
      </c>
      <c r="AV29" s="7"/>
      <c r="AW29" s="7"/>
      <c r="AX29" s="21"/>
      <c r="AY29" s="72"/>
      <c r="AZ29" s="71"/>
      <c r="BA29" s="70" t="n">
        <f aca="false">IF(Tasks[[#This Row],[Task Name]]="","",IF(Tasks[[#This Row],[_IsSummary]],SUM(INDEX(Tasks[_LeafEV],Tasks[[#This Row],[_Row]]+1):INDEX(Tasks[_LeafEV],Tasks[[#This Row],[_Row]]+Tasks[[#This Row],[_Descendants]])),Tasks[[#This Row],[_LeafEV]]))</f>
        <v>0</v>
      </c>
      <c r="BB29" s="70" t="n">
        <f aca="false">IF(Tasks[[#This Row],[Task Name]]="","",IF(Tasks[[#This Row],[_IsSummary]],SUM(INDEX(Tasks[_LeafBudget],Tasks[[#This Row],[_Row]]+1):INDEX(Tasks[_LeafBudget],Tasks[[#This Row],[_Row]]+Tasks[[#This Row],[_Descendants]])),Tasks[[#This Row],[_LeafBudget]]))</f>
        <v>760</v>
      </c>
      <c r="BC29" s="70" t="n">
        <f aca="false">IF(Tasks[[#This Row],[Task Name]]="","",IF(Tasks[[#This Row],[_IsSummary]],SUM(INDEX(Tasks[_LeafPV],Tasks[[#This Row],[_Row]]+1):INDEX(Tasks[_LeafPV],Tasks[[#This Row],[_Row]]+Tasks[[#This Row],[_Descendants]])),Tasks[[#This Row],[_LeafPV]]))</f>
        <v>0</v>
      </c>
      <c r="BD29" s="70" t="n">
        <f aca="false">IF(Tasks[[#This Row],[Task Name]]="","",IF(Tasks[[#This Row],[_IsSummary]],SUM(INDEX(Tasks[_LeafAC],Tasks[[#This Row],[_Row]]+1):INDEX(Tasks[_LeafAC],Tasks[[#This Row],[_Row]]+Tasks[[#This Row],[_Descendants]])),Tasks[[#This Row],[_LeafAC]]))</f>
        <v>0</v>
      </c>
      <c r="BE29" s="45" t="n">
        <f aca="false">IF(Tasks[[#This Row],[Task Name]]="","",MAX(1,N(Tasks[[#This Row],[Level]])))</f>
        <v>2</v>
      </c>
      <c r="BF29" s="45" t="n">
        <f aca="false">ROW()-ROW(Tasks[[#Headers],[ID]])</f>
        <v>24</v>
      </c>
      <c r="BG29" s="45" t="n">
        <f aca="false">IF(OR(Tasks[[#This Row],[Task Name]]="",Tasks[[#This Row],[_Level]]&lt;=1),0,IFERROR(LOOKUP(2,1/(Tasks[[#Headers],[_Level]]:Tasks[[#This Row],[_Level]]=Tasks[[#This Row],[_Level]]-1),ROW(Tasks[[#Headers],[_Level]]:Tasks[[#This Row],[_Level]])),0))</f>
        <v>25</v>
      </c>
      <c r="BH29" s="45" t="n">
        <f aca="false">IFERROR(N(INDEX(Tasks[_Level],Tasks[[#This Row],[_Row]]+1)),0)</f>
        <v>2</v>
      </c>
      <c r="BI29" s="73" t="b">
        <f aca="false">AND(Tasks[[#This Row],[Task Name]]&lt;&gt;"",Tasks[[#This Row],[_NextLevel]]&gt;Tasks[[#This Row],[_Level]])</f>
        <v>0</v>
      </c>
      <c r="BJ29" s="45" t="n">
        <f aca="false">IF(Tasks[[#This Row],[_IsSummary]],COUNTIF(Tasks[WBS],Tasks[[#This Row],[WBS]]&amp;".*"),0)</f>
        <v>0</v>
      </c>
      <c r="BK29" s="45" t="n">
        <f aca="false">IF(AND(Tasks[[#This Row],[Task Name]]&lt;&gt;"",NOT(Tasks[[#This Row],[_IsSummary]])),1,0)</f>
        <v>1</v>
      </c>
      <c r="BL29" s="45" t="n">
        <f aca="false">IF(N(Tasks[[#This Row],[_Pred1UID]])=0,0,IFERROR(MATCH(Tasks[[#This Row],[_Pred1UID]],Tasks[UID],0),-1))</f>
        <v>22</v>
      </c>
      <c r="BM29" s="45" t="n">
        <f aca="false">IF(N(Tasks[[#This Row],[_Pred2UID]])=0,0,IFERROR(MATCH(Tasks[[#This Row],[_Pred2UID]],Tasks[UID],0),-1))</f>
        <v>23</v>
      </c>
      <c r="BN29" s="45" t="n">
        <f aca="false">IF(N(Tasks[[#This Row],[_Pred3UID]])=0,0,IFERROR(MATCH(Tasks[[#This Row],[_Pred3UID]],Tasks[UID],0),-1))</f>
        <v>21</v>
      </c>
      <c r="BO29" s="45" t="n">
        <f aca="false">IF(N(Tasks[[#This Row],[_Pred4UID]])=0,0,IFERROR(MATCH(Tasks[[#This Row],[_Pred4UID]],Tasks[UID],0),-1))</f>
        <v>0</v>
      </c>
      <c r="BP29"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2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29" s="74" t="n">
        <f aca="false">IF(OR(Tasks[[#This Row],[_ConstraintCode]]=2,Tasks[[#This Row],[_ConstraintCode]]=3,Tasks[[#This Row],[_ConstraintCode]]=4,Tasks[[#This Row],[_ConstraintCode]]=6),Tasks[[#This Row],[_ConstraintStart]],0)</f>
        <v>0</v>
      </c>
      <c r="BS29" s="74" t="n">
        <f aca="false">IF(OR(Tasks[[#This Row],[_ConstraintCode]]=2,Tasks[[#This Row],[_ConstraintCode]]=3,Tasks[[#This Row],[_ConstraintCode]]=5,Tasks[[#This Row],[_ConstraintCode]]=7),Tasks[[#This Row],[_ConstraintStart]],2958465)</f>
        <v>2958465</v>
      </c>
      <c r="BT29"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46371</v>
      </c>
      <c r="BU29" s="74" t="n">
        <f aca="false">IF(NOT(Tasks[[#This Row],[_IsLeaf]]=1),"",IF(N(Tasks[[#This Row],[Duration]])&lt;=0,Tasks[[#This Row],[_LeafCalcStart]],WORKDAY.INTL(Tasks[[#This Row],[_LeafCalcStart]],Tasks[[#This Row],[Duration]]-1,WorkWeek,Holidays)))</f>
        <v>46371</v>
      </c>
      <c r="BV29"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46371</v>
      </c>
      <c r="BW29"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46371</v>
      </c>
      <c r="BX29" s="45" t="str">
        <f aca="false">IF(Tasks[[#This Row],[Predecessors]]="","",TRIM(MID(SUBSTITUTE(SUBSTITUTE(SUBSTITUTE(UPPER(Tasks[[#This Row],[Predecessors]]),";",",")," ",""),",",REPT(" ",99)),1,99)))</f>
        <v>22</v>
      </c>
      <c r="BY29" s="45" t="n">
        <f aca="false">IF(Tasks[[#This Row],[_Pred1Text]]="","",IFERROR(VALUE(LEFT(Tasks[[#This Row],[_Pred1Text]],MIN(FIND("F",Tasks[[#This Row],[_Pred1Text]]&amp;"F"),FIND("S",Tasks[[#This Row],[_Pred1Text]]&amp;"S"),FIND("+",Tasks[[#This Row],[_Pred1Text]]&amp;"+"),FIND("-",Tasks[[#This Row],[_Pred1Text]]&amp;"-"))-1)),""))</f>
        <v>22</v>
      </c>
      <c r="BZ2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29"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29" s="45" t="str">
        <f aca="false">IF(Tasks[[#This Row],[_Pred1Text]]="","",TRIM(MID(SUBSTITUTE(SUBSTITUTE(SUBSTITUTE(UPPER(Tasks[[#This Row],[Predecessors]]),";",",")," ",""),",",REPT(" ",99)),100,99)))</f>
        <v>23</v>
      </c>
      <c r="CC29" s="45" t="n">
        <f aca="false">IF(Tasks[[#This Row],[_Pred2Text]]="","",IFERROR(VALUE(LEFT(Tasks[[#This Row],[_Pred2Text]],MIN(FIND("F",Tasks[[#This Row],[_Pred2Text]]&amp;"F"),FIND("S",Tasks[[#This Row],[_Pred2Text]]&amp;"S"),FIND("+",Tasks[[#This Row],[_Pred2Text]]&amp;"+"),FIND("-",Tasks[[#This Row],[_Pred2Text]]&amp;"-"))-1)),""))</f>
        <v>23</v>
      </c>
      <c r="CD2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FS</v>
      </c>
      <c r="CE29" s="45" t="n">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0</v>
      </c>
      <c r="CF29" s="45" t="str">
        <f aca="false">IF(Tasks[[#This Row],[_Pred2Text]]="","",TRIM(MID(SUBSTITUTE(SUBSTITUTE(SUBSTITUTE(UPPER(Tasks[[#This Row],[Predecessors]]),";",",")," ",""),",",REPT(" ",99)),199,99)))</f>
        <v>21</v>
      </c>
      <c r="CG29" s="45" t="n">
        <f aca="false">IF(Tasks[[#This Row],[_Pred3Text]]="","",IFERROR(VALUE(LEFT(Tasks[[#This Row],[_Pred3Text]],MIN(FIND("F",Tasks[[#This Row],[_Pred3Text]]&amp;"F"),FIND("S",Tasks[[#This Row],[_Pred3Text]]&amp;"S"),FIND("+",Tasks[[#This Row],[_Pred3Text]]&amp;"+"),FIND("-",Tasks[[#This Row],[_Pred3Text]]&amp;"-"))-1)),""))</f>
        <v>21</v>
      </c>
      <c r="CH2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FS</v>
      </c>
      <c r="CI29" s="45" t="n">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0</v>
      </c>
      <c r="CJ29" s="45" t="str">
        <f aca="false">IF(Tasks[[#This Row],[_Pred3Text]]="","",TRIM(MID(SUBSTITUTE(SUBSTITUTE(SUBSTITUTE(UPPER(Tasks[[#This Row],[Predecessors]]),";",",")," ",""),",",REPT(" ",99)),298,99)))</f>
        <v/>
      </c>
      <c r="CK29" s="45" t="str">
        <f aca="false">IF(Tasks[[#This Row],[_Pred4Text]]="","",IFERROR(VALUE(LEFT(Tasks[[#This Row],[_Pred4Text]],MIN(FIND("F",Tasks[[#This Row],[_Pred4Text]]&amp;"F"),FIND("S",Tasks[[#This Row],[_Pred4Text]]&amp;"S"),FIND("+",Tasks[[#This Row],[_Pred4Text]]&amp;"+"),FIND("-",Tasks[[#This Row],[_Pred4Text]]&amp;"-"))-1)),""))</f>
        <v/>
      </c>
      <c r="CL2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2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29" s="45" t="str">
        <f aca="false">IF(OR(Tasks[[#This Row],[Task Name]]="",Tasks[[#This Row],[Resources]]=""),"",TRIM(MID(SUBSTITUTE(Tasks[[#This Row],[Resources]],",",REPT(" ",99)),1,99)))</f>
        <v>Priya Sharma</v>
      </c>
      <c r="CO29" s="45" t="str">
        <f aca="false">IF(Tasks[[#This Row],[_Res1Text]]="","",TRIM(MID(SUBSTITUTE(Tasks[[#This Row],[Resources]],",",REPT(" ",99)),100,99)))</f>
        <v/>
      </c>
      <c r="CP29" s="45" t="str">
        <f aca="false">IF(Tasks[[#This Row],[_Res2Text]]="","",TRIM(MID(SUBSTITUTE(Tasks[[#This Row],[Resources]],",",REPT(" ",99)),199,99)))</f>
        <v/>
      </c>
      <c r="CQ29" s="45" t="str">
        <f aca="false">IF(Tasks[[#This Row],[_Res3Text]]="","",TRIM(MID(SUBSTITUTE(Tasks[[#This Row],[Resources]],",",REPT(" ",99)),298,99)))</f>
        <v/>
      </c>
      <c r="CR2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Priya Sharma</v>
      </c>
      <c r="CS2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9" s="45" t="n">
        <f aca="false">IF(NOT(Tasks[[#This Row],[_IsLeaf]]=1),0,(Tasks[[#This Row],[_Resource1]]&lt;&gt;"")+(Tasks[[#This Row],[_Res2]]&lt;&gt;"")+(Tasks[[#This Row],[_Res3]]&lt;&gt;"")+(Tasks[[#This Row],[_Res4]]&lt;&gt;""))</f>
        <v>1</v>
      </c>
      <c r="CU2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2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9" s="45" t="n">
        <f aca="false">IF(OR(NOT(Tasks[[#This Row],[_IsLeaf]]=1),Tasks[[#This Row],[_Res2]]=""),0,IF(ISNA(MATCH(Tasks[[#This Row],[_Res2]],res_Name,0)),0,N(Tasks[[#This Row],[Duration]])*HoursPerDay*IF(Tasks[[#This Row],[_Res2Units]]="",DefaultUnits,Tasks[[#This Row],[_Res2Units]])))</f>
        <v>0</v>
      </c>
      <c r="CX29" s="45" t="n">
        <f aca="false">IF(Tasks[[#This Row],[_Res2Work]]=0,0,Tasks[[#This Row],[_Res2Work]]*IFERROR(INDEX(res_Rate,MATCH(Tasks[[#This Row],[_Res2]],res_Name,0)),0))</f>
        <v>0</v>
      </c>
      <c r="CY29" s="45" t="n">
        <f aca="false">IF(AND(AND(Tasks[[#This Row],[_IsLeaf]]=1,Tasks[[#This Row],[_LeafTotalWork]]&gt;0),Tasks[[#This Row],[_Res2Work]]&gt;0),Tasks[[#This Row],[_Res2Work]]/(Tasks[[#This Row],[_FinishWorkday]]-Tasks[[#This Row],[_StartWorkday]]+1),0)</f>
        <v>0</v>
      </c>
      <c r="CZ29" s="45" t="n">
        <f aca="false">Tasks[[#This Row],[_Res2WorkPerWD]]*MAX(0,Tasks[[#This Row],[_StartWorkday]]-1)</f>
        <v>0</v>
      </c>
      <c r="DA29" s="45" t="n">
        <f aca="false">Tasks[[#This Row],[_Res2Work]]*Tasks[[#This Row],[_LeafProgress]]</f>
        <v>0</v>
      </c>
      <c r="DB29" s="45" t="n">
        <f aca="false">IF(Tasks[[#This Row],[_LeafTotalCost]]=0,0,Tasks[[#This Row],[_LeafAC]]*Tasks[[#This Row],[_Res2Cost]]/Tasks[[#This Row],[_LeafTotalCost]])</f>
        <v>0</v>
      </c>
      <c r="DC2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2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29" s="45" t="n">
        <f aca="false">IF(OR(NOT(Tasks[[#This Row],[_IsLeaf]]=1),Tasks[[#This Row],[_Res3]]=""),0,IF(ISNA(MATCH(Tasks[[#This Row],[_Res3]],res_Name,0)),0,N(Tasks[[#This Row],[Duration]])*HoursPerDay*IF(Tasks[[#This Row],[_Res3Units]]="",DefaultUnits,Tasks[[#This Row],[_Res3Units]])))</f>
        <v>0</v>
      </c>
      <c r="DF29" s="45" t="n">
        <f aca="false">IF(Tasks[[#This Row],[_Res3Work]]=0,0,Tasks[[#This Row],[_Res3Work]]*IFERROR(INDEX(res_Rate,MATCH(Tasks[[#This Row],[_Res3]],res_Name,0)),0))</f>
        <v>0</v>
      </c>
      <c r="DG29" s="45" t="n">
        <f aca="false">IF(AND(AND(Tasks[[#This Row],[_IsLeaf]]=1,Tasks[[#This Row],[_LeafTotalWork]]&gt;0),Tasks[[#This Row],[_Res3Work]]&gt;0),Tasks[[#This Row],[_Res3Work]]/(Tasks[[#This Row],[_FinishWorkday]]-Tasks[[#This Row],[_StartWorkday]]+1),0)</f>
        <v>0</v>
      </c>
      <c r="DH29" s="45" t="n">
        <f aca="false">Tasks[[#This Row],[_Res3WorkPerWD]]*MAX(0,Tasks[[#This Row],[_StartWorkday]]-1)</f>
        <v>0</v>
      </c>
      <c r="DI29" s="45" t="n">
        <f aca="false">Tasks[[#This Row],[_Res3Work]]*Tasks[[#This Row],[_LeafProgress]]</f>
        <v>0</v>
      </c>
      <c r="DJ29" s="45" t="n">
        <f aca="false">IF(Tasks[[#This Row],[_LeafTotalCost]]=0,0,Tasks[[#This Row],[_LeafAC]]*Tasks[[#This Row],[_Res3Cost]]/Tasks[[#This Row],[_LeafTotalCost]])</f>
        <v>0</v>
      </c>
      <c r="DK2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2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29" s="45" t="n">
        <f aca="false">IF(OR(NOT(Tasks[[#This Row],[_IsLeaf]]=1),Tasks[[#This Row],[_Res4]]=""),0,IF(ISNA(MATCH(Tasks[[#This Row],[_Res4]],res_Name,0)),0,N(Tasks[[#This Row],[Duration]])*HoursPerDay*IF(Tasks[[#This Row],[_Res4Units]]="",DefaultUnits,Tasks[[#This Row],[_Res4Units]])))</f>
        <v>0</v>
      </c>
      <c r="DN29" s="45" t="n">
        <f aca="false">IF(Tasks[[#This Row],[_Res4Work]]=0,0,Tasks[[#This Row],[_Res4Work]]*IFERROR(INDEX(res_Rate,MATCH(Tasks[[#This Row],[_Res4]],res_Name,0)),0))</f>
        <v>0</v>
      </c>
      <c r="DO29" s="45" t="n">
        <f aca="false">IF(AND(AND(Tasks[[#This Row],[_IsLeaf]]=1,Tasks[[#This Row],[_LeafTotalWork]]&gt;0),Tasks[[#This Row],[_Res4Work]]&gt;0),Tasks[[#This Row],[_Res4Work]]/(Tasks[[#This Row],[_FinishWorkday]]-Tasks[[#This Row],[_StartWorkday]]+1),0)</f>
        <v>0</v>
      </c>
      <c r="DP29" s="45" t="n">
        <f aca="false">Tasks[[#This Row],[_Res4WorkPerWD]]*MAX(0,Tasks[[#This Row],[_StartWorkday]]-1)</f>
        <v>0</v>
      </c>
      <c r="DQ29" s="45" t="n">
        <f aca="false">Tasks[[#This Row],[_Res4Work]]*Tasks[[#This Row],[_LeafProgress]]</f>
        <v>0</v>
      </c>
      <c r="DR29" s="45" t="n">
        <f aca="false">IF(Tasks[[#This Row],[_LeafTotalCost]]=0,0,Tasks[[#This Row],[_LeafAC]]*Tasks[[#This Row],[_Res4Cost]]/Tasks[[#This Row],[_LeafTotalCost]])</f>
        <v>0</v>
      </c>
      <c r="DS29" s="45" t="n">
        <f aca="false">IF(ISNUMBER(Tasks[[#This Row],[% Complete]]),Tasks[[#This Row],[% Complete]],IF(Tasks[[#This Row],[Stage]]="",0,IFERROR(INDEX(stg_Pct,MATCH(Tasks[[#This Row],[Stage]],stg_Name,0)),0)))</f>
        <v>0</v>
      </c>
      <c r="DT29" s="45" t="n">
        <f aca="false">IF(NOT(Tasks[[#This Row],[_IsLeaf]]=1),0,IF(N(Tasks[[#This Row],[Actual Finish]])&gt;0,1,MIN(1,Tasks[[#This Row],[_Pct]])))</f>
        <v>0</v>
      </c>
      <c r="DU29" s="45" t="n">
        <f aca="false">IF(OR(NOT(Tasks[[#This Row],[_IsLeaf]]=1),Tasks[[#This Row],[_Resource1]]=""),0,IF(ISNA(MATCH(Tasks[[#This Row],[_Resource1]],res_Name,0)),0,N(Tasks[[#This Row],[Duration]])*HoursPerDay*IF(Tasks[[#This Row],[_Units1]]="",DefaultUnits,Tasks[[#This Row],[_Units1]])))</f>
        <v>8</v>
      </c>
      <c r="DV29" s="45" t="n">
        <f aca="false">IF(Tasks[[#This Row],[_LeafWork]]=0,0,Tasks[[#This Row],[_LeafWork]]*IFERROR(INDEX(res_Rate,MATCH(Tasks[[#This Row],[_Resource1]],res_Name,0)),0))</f>
        <v>760</v>
      </c>
      <c r="DW29" s="45" t="n">
        <f aca="false">Tasks[[#This Row],[_LeafWork]]+Tasks[[#This Row],[_Res2Work]]+Tasks[[#This Row],[_Res3Work]]+Tasks[[#This Row],[_Res4Work]]</f>
        <v>8</v>
      </c>
      <c r="DX29" s="45" t="n">
        <f aca="false">Tasks[[#This Row],[_LeafCost]]+Tasks[[#This Row],[_Res2Cost]]+Tasks[[#This Row],[_Res3Cost]]+Tasks[[#This Row],[_Res4Cost]]</f>
        <v>760</v>
      </c>
      <c r="DY29" s="45" t="n">
        <f aca="false">IF(Tasks[[#This Row],[_LeafTotalCost]]=0,Tasks[[#This Row],[_LeafAC]],Tasks[[#This Row],[_LeafAC]]*Tasks[[#This Row],[_LeafCost]]/Tasks[[#This Row],[_LeafTotalCost]])</f>
        <v>0</v>
      </c>
      <c r="DZ29"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2912095</v>
      </c>
      <c r="EA29" s="77" t="n">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2912095</v>
      </c>
      <c r="EB29" s="77" t="n">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2912095</v>
      </c>
      <c r="EC2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29"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29" s="45"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99982</v>
      </c>
      <c r="EF29" s="45" t="n">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99983</v>
      </c>
      <c r="EG2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29" s="45" t="n">
        <f aca="false">IF(NOT(Tasks[[#This Row],[_IsLeaf]]=1),0,MAX(_xlfn.MAXIFS(Tasks[_Row],Tasks[_Pred1UID],Tasks[[#This Row],[UID]]),_xlfn.MAXIFS(Tasks[_Row],Tasks[_Pred2UID],Tasks[[#This Row],[UID]]),_xlfn.MAXIFS(Tasks[_Row],Tasks[_Pred3UID],Tasks[[#This Row],[UID]]),_xlfn.MAXIFS(Tasks[_Row],Tasks[_Pred4UID],Tasks[[#This Row],[UID]])))</f>
        <v>25</v>
      </c>
      <c r="EI29"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46371</v>
      </c>
      <c r="EJ29"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46371</v>
      </c>
      <c r="EK29" s="74" t="n">
        <f aca="false">IF(NOT(Tasks[[#This Row],[_IsLeaf]]=1),"",IF(N(Tasks[[#This Row],[Duration]])&lt;=0,Tasks[[#This Row],[_LeafLateFinish]],WORKDAY.INTL(Tasks[[#This Row],[_LeafLateFinish]],-(Tasks[[#This Row],[Duration]]-1),WorkWeek,Holidays)))</f>
        <v>46371</v>
      </c>
      <c r="EL29"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M29" s="73" t="b">
        <f aca="false">AND(Tasks[[#This Row],[_IsLeaf]]=1,Tasks[[#This Row],[_LeafProgress]]&lt;1,N(Tasks[[#This Row],[_LeafTotalSlack]])&lt;=CriticalSlackDays)</f>
        <v>1</v>
      </c>
      <c r="EN29" s="45" t="n">
        <f aca="false">IF(AND(Tasks[[#This Row],[_IsLeaf]]=1,Tasks[[#This Row],[_ConstraintCode]]=1,Tasks[[#This Row],[Mode]]&lt;&gt;"Manual",N(Tasks[[#This Row],[Actual Start]])=0),MAX(0,N(Tasks[[#This Row],[Free Slack]])),0)</f>
        <v>0</v>
      </c>
      <c r="EO29" s="74" t="n">
        <f aca="false">IF(NOT(Tasks[[#This Row],[_IsLeaf]]=1),"",IF(Tasks[[#This Row],[_AlapShift]]=0,Tasks[[#This Row],[_LeafCalcStart]],WORKDAY.INTL(Tasks[[#This Row],[_LeafCalcStart]],Tasks[[#This Row],[_AlapShift]],WorkWeek,Holidays)))</f>
        <v>46371</v>
      </c>
      <c r="EP29" s="74" t="n">
        <f aca="false">IF(NOT(Tasks[[#This Row],[_IsLeaf]]=1),"",IF(Tasks[[#This Row],[_AlapShift]]=0,Tasks[[#This Row],[_LeafCalcFinish]],WORKDAY.INTL(Tasks[[#This Row],[_LeafCalcFinish]],Tasks[[#This Row],[_AlapShift]],WorkWeek,Holidays)))</f>
        <v>46371</v>
      </c>
      <c r="EQ29" s="74" t="n">
        <f aca="false">IF(NOT(Tasks[[#This Row],[_IsLeaf]]=1),"",IF(Tasks[[#This Row],[_AlapShift]]=0,Tasks[[#This Row],[_LeafFcstStart]],WORKDAY.INTL(Tasks[[#This Row],[_LeafFcstStart]],Tasks[[#This Row],[_AlapShift]],WorkWeek,Holidays)))</f>
        <v>46371</v>
      </c>
      <c r="ER29" s="74" t="n">
        <f aca="false">IF(NOT(Tasks[[#This Row],[_IsLeaf]]=1),"",IF(Tasks[[#This Row],[_AlapShift]]=0,Tasks[[#This Row],[_LeafFcstFinish]],WORKDAY.INTL(Tasks[[#This Row],[_LeafFcstFinish]],Tasks[[#This Row],[_AlapShift]],WorkWeek,Holidays)))</f>
        <v>46371</v>
      </c>
      <c r="ES29" s="74" t="n">
        <f aca="false">IF(Tasks[[#This Row],[Task Name]]="","",IF(Tasks[[#This Row],[_IsSummary]],MIN(INDEX(Tasks[_ShownCalcStart],Tasks[[#This Row],[_Row]]+1):INDEX(Tasks[_ShownCalcStart],Tasks[[#This Row],[_Row]]+Tasks[[#This Row],[_Descendants]])),Tasks[[#This Row],[_ShownCalcStart]]))</f>
        <v>46371</v>
      </c>
      <c r="ET29" s="74" t="n">
        <f aca="false">IF(Tasks[[#This Row],[Task Name]]="","",IF(Tasks[[#This Row],[_IsSummary]],MAX(INDEX(Tasks[_ShownCalcFinish],Tasks[[#This Row],[_Row]]+1):INDEX(Tasks[_ShownCalcFinish],Tasks[[#This Row],[_Row]]+Tasks[[#This Row],[_Descendants]])),Tasks[[#This Row],[_ShownCalcFinish]]))</f>
        <v>46371</v>
      </c>
      <c r="EU2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2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2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2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2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46371</v>
      </c>
      <c r="EZ2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46337</v>
      </c>
      <c r="FA2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46338</v>
      </c>
      <c r="FB2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2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46371</v>
      </c>
      <c r="FD2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46345</v>
      </c>
      <c r="FE2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46346</v>
      </c>
      <c r="FF2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29" s="45" t="n">
        <f aca="false">IF(AND(Tasks[[#This Row],[_IsLeaf]]=1,Tasks[[#This Row],[_LeafTotalWork]]&gt;0),NETWORKDAYS.INTL(ProjectStart,Tasks[[#This Row],[_ShownFcstStart]],WorkWeek,Holidays),0)</f>
        <v>72</v>
      </c>
      <c r="FH29" s="45" t="n">
        <f aca="false">IF(AND(Tasks[[#This Row],[_IsLeaf]]=1,Tasks[[#This Row],[_LeafTotalWork]]&gt;0),MAX(Tasks[[#This Row],[_StartWorkday]],NETWORKDAYS.INTL(ProjectStart,Tasks[[#This Row],[_ShownFcstFinish]],WorkWeek,Holidays)),0)</f>
        <v>72</v>
      </c>
      <c r="FI29" s="45" t="n">
        <f aca="false">IF(AND(Tasks[[#This Row],[_IsLeaf]]=1,Tasks[[#This Row],[_LeafTotalWork]]&gt;0),Tasks[[#This Row],[_LeafWork]]/(Tasks[[#This Row],[_FinishWorkday]]-Tasks[[#This Row],[_StartWorkday]]+1),0)</f>
        <v>8</v>
      </c>
      <c r="FJ29" s="45" t="n">
        <f aca="false">Tasks[[#This Row],[_WorkPerWorkday]]*(Tasks[[#This Row],[_StartWorkday]]-1)</f>
        <v>568</v>
      </c>
      <c r="FK29" s="45" t="n">
        <f aca="false">IF(Tasks[[#This Row],[_IsLeaf]]=1,MAX(N(Tasks[[#This Row],[Duration]]),0.1),0)</f>
        <v>1</v>
      </c>
      <c r="FL29" s="45" t="n">
        <f aca="false">Tasks[[#This Row],[_WeightDur]]*Tasks[[#This Row],[_LeafProgress]]</f>
        <v>0</v>
      </c>
      <c r="FM2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22,23,21</v>
      </c>
      <c r="FN29" s="45" t="str">
        <f aca="false">IF(AND(Tasks[[#This Row],[_IsLeaf]]=1,N(Tasks[[#This Row],[Duration]])=0,Tasks[[#This Row],[_LeafProgress]]&lt;1),Tasks[[#This Row],[_ShownFcstFinish]]+Tasks[[#This Row],[_Row]]/100000,"")</f>
        <v/>
      </c>
      <c r="FO2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29" s="45" t="n">
        <f aca="false">IF(NOT(Tasks[[#This Row],[_IsLeaf]]=1),0,IF(Tasks[[#This Row],[Baseline Cost]]="",Tasks[[#This Row],[_LeafTotalCost]],N(Tasks[[#This Row],[Baseline Cost]])))</f>
        <v>760</v>
      </c>
      <c r="FQ29" s="45" t="n">
        <f aca="false">Tasks[[#This Row],[_LeafBudget]]*Tasks[[#This Row],[_PlannedPct]]</f>
        <v>0</v>
      </c>
      <c r="FR29" s="45" t="n">
        <f aca="false">Tasks[[#This Row],[_LeafBudget]]*Tasks[[#This Row],[_LeafProgress]]</f>
        <v>0</v>
      </c>
      <c r="FS29" s="45" t="n">
        <f aca="false">IF(NOT(Tasks[[#This Row],[_IsLeaf]]=1),0,IF(Tasks[[#This Row],[Actual Cost]]="",Tasks[[#This Row],[_LeafTotalCost]]*Tasks[[#This Row],[_LeafProgress]],N(Tasks[[#This Row],[Actual Cost]])))</f>
        <v>0</v>
      </c>
      <c r="FT29" s="45" t="str">
        <f aca="false">IF(Tasks[[#This Row],[Task Name]]="","",LEFT(Tasks[[#This Row],[WBS]],FIND(".",Tasks[[#This Row],[WBS]]&amp;".")-1))</f>
        <v>4</v>
      </c>
      <c r="FU29" s="45" t="str">
        <f aca="false">IF(AND(Tasks[[#This Row],[Task Name]]&lt;&gt;"",Tasks[[#This Row],[_Level]]=1),Tasks[[#This Row],[_Row]],"")</f>
        <v/>
      </c>
      <c r="FV29" s="45" t="str">
        <f aca="false">IF(AND(Tasks[[#This Row],[_IsLeaf]]=1,N(Tasks[[#This Row],[Duration]])=0),Tasks[[#This Row],[Planned Finish]]+Tasks[[#This Row],[_Row]]/100000,"")</f>
        <v/>
      </c>
      <c r="FW29" s="45" t="str">
        <f aca="false">IF(AND(Tasks[[#This Row],[_IsLeaf]]=1,Tasks[[#This Row],[_LeafProgress]]&lt;1,OR(N(Tasks[[#This Row],[Finish Var]])&gt;0,Tasks[[#This Row],[Status]]="Late Start")),MAX(0,Tasks[[#This Row],[Finish Var]])+1-Tasks[[#This Row],[_Row]]/1000000,"")</f>
        <v/>
      </c>
      <c r="FX29" s="45" t="str">
        <f aca="false">IF(AND(Tasks[[#This Row],[_IsLeaf]]=1,N(Tasks[[#This Row],[Actual Start]])=0,Tasks[[#This Row],[_ShownFcstStart]]&gt;=StatusDate,Tasks[[#This Row],[_ShownFcstStart]]&lt;=LookaheadEnd),Tasks[[#This Row],[_ShownFcstStart]]+Tasks[[#This Row],[_Row]]/100000,"")</f>
        <v/>
      </c>
      <c r="FY29" s="45" t="str">
        <f aca="false">IF(AND(Tasks[[#This Row],[_IsLeaf]]=1,Tasks[[#This Row],[_LeafProgress]]&lt;1,Tasks[[#This Row],[_ShownFcstFinish]]&gt;=StatusDate,Tasks[[#This Row],[_ShownFcstFinish]]&lt;=LookaheadEnd),Tasks[[#This Row],[_ShownFcstFinish]]+Tasks[[#This Row],[_Row]]/100000,"")</f>
        <v/>
      </c>
      <c r="FZ29" s="77" t="n">
        <f aca="false">IF(Tasks[[#This Row],[_LeafCritical]],Tasks[[#This Row],[_ShownFcstStart]]+Tasks[[#This Row],[_Row]]/100000,"")</f>
        <v>46371.00024</v>
      </c>
      <c r="GA29" s="45" t="n">
        <f aca="false">Tasks[[#This Row],[_LeafWork]]*Tasks[[#This Row],[_LeafProgress]]</f>
        <v>0</v>
      </c>
      <c r="GB29" s="74" t="str">
        <f aca="false">IF(AND(Tasks[[#This Row],[_IsLeaf]]=1,Tasks[[#This Row],[_LeafProgress]]&gt;=1),IF(N(Tasks[[#This Row],[Actual Finish]])&gt;0,Tasks[[#This Row],[Actual Finish]],Tasks[[#This Row],[_ShownFcstFinish]]),"")</f>
        <v/>
      </c>
    </row>
    <row r="30" customFormat="false" ht="15" hidden="false" customHeight="false" outlineLevel="1" collapsed="false">
      <c r="A30" s="67" t="n">
        <f aca="false">IF(Tasks[[#This Row],[Task Name]]="","",COUNTA(Tasks[[#Headers],[Task Name]]:Tasks[[#This Row],[Task Name]])-1)</f>
        <v>25</v>
      </c>
      <c r="B30" s="21" t="n">
        <v>25</v>
      </c>
      <c r="C3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4.5</v>
      </c>
      <c r="D30" s="21" t="n">
        <v>2</v>
      </c>
      <c r="E30" s="75" t="s">
        <v>559</v>
      </c>
      <c r="F30" s="21" t="n">
        <v>0</v>
      </c>
      <c r="G30" s="22" t="s">
        <v>560</v>
      </c>
      <c r="H30" s="22"/>
      <c r="I30" s="22"/>
      <c r="J30" s="7"/>
      <c r="K30" s="7"/>
      <c r="L30" s="22" t="s">
        <v>561</v>
      </c>
      <c r="M30" s="58" t="n">
        <f aca="false">IF(Tasks[[#This Row],[Task Name]]="","",IF(Tasks[[#This Row],[_IsSummary]],MIN(INDEX(Tasks[_ShownFcstStart],Tasks[[#This Row],[_Row]]+1):INDEX(Tasks[_ShownFcstStart],Tasks[[#This Row],[_Row]]+Tasks[[#This Row],[_Descendants]])),Tasks[[#This Row],[_ShownFcstStart]]))</f>
        <v>46371</v>
      </c>
      <c r="N30" s="58" t="n">
        <f aca="false">IF(Tasks[[#This Row],[Task Name]]="","",IF(Tasks[[#This Row],[_IsSummary]],MAX(INDEX(Tasks[_ShownFcstFinish],Tasks[[#This Row],[_Row]]+1):INDEX(Tasks[_ShownFcstFinish],Tasks[[#This Row],[_Row]]+Tasks[[#This Row],[_Descendants]])),Tasks[[#This Row],[_ShownFcstFinish]]))</f>
        <v>46371</v>
      </c>
      <c r="O30" s="20" t="str">
        <f aca="false">IF(Tasks[[#This Row],[Task Name]]="","",IF(Tasks[[#This Row],[Progress]]&gt;=1,"Complete",IF(OR(N(Tasks[[#This Row],[Actual Start]])&gt;0,Tasks[[#This Row],[Progress]]&gt;0),IF(Tasks[[#This Row],[Finish Var]]&gt;0,"Behind","In Progress"),IF(Tasks[[#This Row],[Planned Start]]&lt;StatusDate,"Late Start","Not Started"))))</f>
        <v>Not Started</v>
      </c>
      <c r="P30" s="20" t="str">
        <f aca="false">IF(Tasks[[#This Row],[Task Name]]="","",IF(IF(Tasks[[#This Row],[_IsSummary]],COUNTIF(INDEX(Tasks[_LeafCritical],Tasks[[#This Row],[_Row]]+1):INDEX(Tasks[_LeafCritical],Tasks[[#This Row],[_Row]]+Tasks[[#This Row],[_Descendants]]),TRUE())&gt;0,Tasks[[#This Row],[_LeafCritical]]),"Yes",""))</f>
        <v>Yes</v>
      </c>
      <c r="Q3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30" s="67" t="str">
        <f aca="false">IF(Tasks[[#This Row],[Task Name]]="","",IF(Tasks[[#This Row],[_Level]]&lt;=OutlineShowLevel,"Yes","No"))</f>
        <v>Yes</v>
      </c>
      <c r="S30" s="7" t="n">
        <v>46374</v>
      </c>
      <c r="T30" s="21" t="s">
        <v>195</v>
      </c>
      <c r="U30" s="22"/>
      <c r="V30" s="7"/>
      <c r="W30" s="67" t="n">
        <f aca="false">IF(Tasks[[#This Row],[Task Name]]="","",IF(Tasks[[#This Row],[Finish]]&gt;=Tasks[[#This Row],[Planned Finish]],NETWORKDAYS.INTL(Tasks[[#This Row],[Planned Finish]],Tasks[[#This Row],[Finish]],WorkWeek,Holidays)-1,1-NETWORKDAYS.INTL(Tasks[[#This Row],[Finish]],Tasks[[#This Row],[Planned Finish]],WorkWeek,Holidays)))</f>
        <v>0</v>
      </c>
      <c r="X30" s="58" t="n">
        <f aca="false">IF(Tasks[[#This Row],[Task Name]]="","",IF(N(Tasks[[#This Row],[Baseline Start]])&gt;0,Tasks[[#This Row],[Baseline Start]],Tasks[[#This Row],[_CalcStart]]))</f>
        <v>46371</v>
      </c>
      <c r="Y30" s="58" t="n">
        <f aca="false">IF(Tasks[[#This Row],[Task Name]]="","",IF(N(Tasks[[#This Row],[Baseline Finish]])&gt;0,Tasks[[#This Row],[Baseline Finish]],Tasks[[#This Row],[_CalcFinish]]))</f>
        <v>46371</v>
      </c>
      <c r="Z30" s="67" t="n">
        <f aca="false">IF(Tasks[[#This Row],[Task Name]]="","",IF(Tasks[[#This Row],[Start]]&gt;=Tasks[[#This Row],[Planned Start]],NETWORKDAYS.INTL(Tasks[[#This Row],[Planned Start]],Tasks[[#This Row],[Start]],WorkWeek,Holidays)-1,1-NETWORKDAYS.INTL(Tasks[[#This Row],[Start]],Tasks[[#This Row],[Planned Start]],WorkWeek,Holidays)))</f>
        <v>0</v>
      </c>
      <c r="AA30" s="58" t="n">
        <f aca="false">IF(Tasks[[#This Row],[Task Name]]="","",IF(Tasks[[#This Row],[_IsSummary]],MIN(INDEX(Tasks[_LeafLateStart],Tasks[[#This Row],[_Row]]+1):INDEX(Tasks[_LeafLateStart],Tasks[[#This Row],[_Row]]+Tasks[[#This Row],[_Descendants]])),Tasks[[#This Row],[_LeafLateStart]]))</f>
        <v>46371</v>
      </c>
      <c r="AB30" s="58" t="n">
        <f aca="false">IF(Tasks[[#This Row],[Task Name]]="","",IF(Tasks[[#This Row],[_IsSummary]],MAX(INDEX(Tasks[_LeafLateFinish],Tasks[[#This Row],[_Row]]+1):INDEX(Tasks[_LeafLateFinish],Tasks[[#This Row],[_Row]]+Tasks[[#This Row],[_Descendants]])),Tasks[[#This Row],[_LeafLateFinish]]))</f>
        <v>46371</v>
      </c>
      <c r="AC30" s="67" t="n">
        <f aca="false">IF(Tasks[[#This Row],[Task Name]]="","",IF(Tasks[[#This Row],[_IsSummary]],MIN(INDEX(Tasks[_LeafTotalSlack],Tasks[[#This Row],[_Row]]+1):INDEX(Tasks[_LeafTotalSlack],Tasks[[#This Row],[_Row]]+Tasks[[#This Row],[_Descendants]])),Tasks[[#This Row],[_LeafTotalSlack]]))</f>
        <v>0</v>
      </c>
      <c r="AD30"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3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OK</v>
      </c>
      <c r="AF3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30" s="60"/>
      <c r="AH30"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I3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24</v>
      </c>
      <c r="AJ30" s="69" t="n">
        <f aca="false">IF(Tasks[[#This Row],[Task Name]]="","",IF(Tasks[[#This Row],[_IsSummary]],SUM(INDEX(Tasks[_LeafTotalWork],Tasks[[#This Row],[_Row]]+1):INDEX(Tasks[_LeafTotalWork],Tasks[[#This Row],[_Row]]+Tasks[[#This Row],[_Descendants]])),Tasks[[#This Row],[_LeafTotalWork]]))</f>
        <v>0</v>
      </c>
      <c r="AK3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30" s="70" t="n">
        <f aca="false">IF(Tasks[[#This Row],[Task Name]]="","",IF(Tasks[[#This Row],[_IsSummary]],SUM(INDEX(Tasks[_LeafTotalCost],Tasks[[#This Row],[_Row]]+1):INDEX(Tasks[_LeafTotalCost],Tasks[[#This Row],[_Row]]+Tasks[[#This Row],[_Descendants]])),Tasks[[#This Row],[_LeafTotalCost]]))</f>
        <v>0</v>
      </c>
      <c r="AM30" s="71"/>
      <c r="AN30" s="20" t="str">
        <f aca="false">IF(OR(Tasks[[#This Row],[Task Name]]="",Tasks[[#This Row],[Baseline Duration]]=""),"",Tasks[[#This Row],[BL Source Duration]]-N(Tasks[[#This Row],[Baseline Duration]]))</f>
        <v/>
      </c>
      <c r="AO30" s="69" t="str">
        <f aca="false">IF(OR(Tasks[[#This Row],[Task Name]]="",Tasks[[#This Row],[Baseline Work]]=""),"",Tasks[[#This Row],[Work]]-N(Tasks[[#This Row],[Baseline Work]]))</f>
        <v/>
      </c>
      <c r="AP30" s="70" t="str">
        <f aca="false">IF(OR(Tasks[[#This Row],[Task Name]]="",Tasks[[#This Row],[Baseline Cost]]=""),"",Tasks[[#This Row],[Cost]]-N(Tasks[[#This Row],[Baseline Cost]]))</f>
        <v/>
      </c>
      <c r="AQ30" s="58" t="n">
        <f aca="false">IF(Tasks[[#This Row],[Task Name]]="","",Tasks[[#This Row],[Start]])</f>
        <v>46371</v>
      </c>
      <c r="AR30" s="58" t="n">
        <f aca="false">IF(Tasks[[#This Row],[Task Name]]="","",Tasks[[#This Row],[Finish]])</f>
        <v>46371</v>
      </c>
      <c r="AS30" s="67" t="n">
        <f aca="false">IF(Tasks[[#This Row],[Task Name]]="","",IF(Tasks[[#This Row],[_IsSummary]],NETWORKDAYS.INTL(Tasks[[#This Row],[Start]],Tasks[[#This Row],[Finish]],WorkWeek,Holidays),N(Tasks[[#This Row],[Duration]])))</f>
        <v>0</v>
      </c>
      <c r="AT30" s="69" t="n">
        <f aca="false">IF(Tasks[[#This Row],[Task Name]]="","",Tasks[[#This Row],[Work]])</f>
        <v>0</v>
      </c>
      <c r="AU30" s="70" t="n">
        <f aca="false">IF(Tasks[[#This Row],[Task Name]]="","",Tasks[[#This Row],[Cost]])</f>
        <v>0</v>
      </c>
      <c r="AV30" s="7"/>
      <c r="AW30" s="7"/>
      <c r="AX30" s="21"/>
      <c r="AY30" s="72"/>
      <c r="AZ30" s="71"/>
      <c r="BA30" s="70" t="n">
        <f aca="false">IF(Tasks[[#This Row],[Task Name]]="","",IF(Tasks[[#This Row],[_IsSummary]],SUM(INDEX(Tasks[_LeafEV],Tasks[[#This Row],[_Row]]+1):INDEX(Tasks[_LeafEV],Tasks[[#This Row],[_Row]]+Tasks[[#This Row],[_Descendants]])),Tasks[[#This Row],[_LeafEV]]))</f>
        <v>0</v>
      </c>
      <c r="BB30" s="70" t="n">
        <f aca="false">IF(Tasks[[#This Row],[Task Name]]="","",IF(Tasks[[#This Row],[_IsSummary]],SUM(INDEX(Tasks[_LeafBudget],Tasks[[#This Row],[_Row]]+1):INDEX(Tasks[_LeafBudget],Tasks[[#This Row],[_Row]]+Tasks[[#This Row],[_Descendants]])),Tasks[[#This Row],[_LeafBudget]]))</f>
        <v>0</v>
      </c>
      <c r="BC30" s="70" t="n">
        <f aca="false">IF(Tasks[[#This Row],[Task Name]]="","",IF(Tasks[[#This Row],[_IsSummary]],SUM(INDEX(Tasks[_LeafPV],Tasks[[#This Row],[_Row]]+1):INDEX(Tasks[_LeafPV],Tasks[[#This Row],[_Row]]+Tasks[[#This Row],[_Descendants]])),Tasks[[#This Row],[_LeafPV]]))</f>
        <v>0</v>
      </c>
      <c r="BD30" s="70" t="n">
        <f aca="false">IF(Tasks[[#This Row],[Task Name]]="","",IF(Tasks[[#This Row],[_IsSummary]],SUM(INDEX(Tasks[_LeafAC],Tasks[[#This Row],[_Row]]+1):INDEX(Tasks[_LeafAC],Tasks[[#This Row],[_Row]]+Tasks[[#This Row],[_Descendants]])),Tasks[[#This Row],[_LeafAC]]))</f>
        <v>0</v>
      </c>
      <c r="BE30" s="45" t="n">
        <f aca="false">IF(Tasks[[#This Row],[Task Name]]="","",MAX(1,N(Tasks[[#This Row],[Level]])))</f>
        <v>2</v>
      </c>
      <c r="BF30" s="45" t="n">
        <f aca="false">ROW()-ROW(Tasks[[#Headers],[ID]])</f>
        <v>25</v>
      </c>
      <c r="BG30" s="45" t="n">
        <f aca="false">IF(OR(Tasks[[#This Row],[Task Name]]="",Tasks[[#This Row],[_Level]]&lt;=1),0,IFERROR(LOOKUP(2,1/(Tasks[[#Headers],[_Level]]:Tasks[[#This Row],[_Level]]=Tasks[[#This Row],[_Level]]-1),ROW(Tasks[[#Headers],[_Level]]:Tasks[[#This Row],[_Level]])),0))</f>
        <v>25</v>
      </c>
      <c r="BH30" s="45" t="n">
        <f aca="false">IFERROR(N(INDEX(Tasks[_Level],Tasks[[#This Row],[_Row]]+1)),0)</f>
        <v>2</v>
      </c>
      <c r="BI30" s="73" t="b">
        <f aca="false">AND(Tasks[[#This Row],[Task Name]]&lt;&gt;"",Tasks[[#This Row],[_NextLevel]]&gt;Tasks[[#This Row],[_Level]])</f>
        <v>0</v>
      </c>
      <c r="BJ30" s="45" t="n">
        <f aca="false">IF(Tasks[[#This Row],[_IsSummary]],COUNTIF(Tasks[WBS],Tasks[[#This Row],[WBS]]&amp;".*"),0)</f>
        <v>0</v>
      </c>
      <c r="BK30" s="45" t="n">
        <f aca="false">IF(AND(Tasks[[#This Row],[Task Name]]&lt;&gt;"",NOT(Tasks[[#This Row],[_IsSummary]])),1,0)</f>
        <v>1</v>
      </c>
      <c r="BL30" s="45" t="n">
        <f aca="false">IF(N(Tasks[[#This Row],[_Pred1UID]])=0,0,IFERROR(MATCH(Tasks[[#This Row],[_Pred1UID]],Tasks[UID],0),-1))</f>
        <v>24</v>
      </c>
      <c r="BM30" s="45" t="n">
        <f aca="false">IF(N(Tasks[[#This Row],[_Pred2UID]])=0,0,IFERROR(MATCH(Tasks[[#This Row],[_Pred2UID]],Tasks[UID],0),-1))</f>
        <v>0</v>
      </c>
      <c r="BN30" s="45" t="n">
        <f aca="false">IF(N(Tasks[[#This Row],[_Pred3UID]])=0,0,IFERROR(MATCH(Tasks[[#This Row],[_Pred3UID]],Tasks[UID],0),-1))</f>
        <v>0</v>
      </c>
      <c r="BO30" s="45" t="n">
        <f aca="false">IF(N(Tasks[[#This Row],[_Pred4UID]])=0,0,IFERROR(MATCH(Tasks[[#This Row],[_Pred4UID]],Tasks[UID],0),-1))</f>
        <v>0</v>
      </c>
      <c r="BP30"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3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30" s="74" t="n">
        <f aca="false">IF(OR(Tasks[[#This Row],[_ConstraintCode]]=2,Tasks[[#This Row],[_ConstraintCode]]=3,Tasks[[#This Row],[_ConstraintCode]]=4,Tasks[[#This Row],[_ConstraintCode]]=6),Tasks[[#This Row],[_ConstraintStart]],0)</f>
        <v>0</v>
      </c>
      <c r="BS30" s="74" t="n">
        <f aca="false">IF(OR(Tasks[[#This Row],[_ConstraintCode]]=2,Tasks[[#This Row],[_ConstraintCode]]=3,Tasks[[#This Row],[_ConstraintCode]]=5,Tasks[[#This Row],[_ConstraintCode]]=7),Tasks[[#This Row],[_ConstraintStart]],2958465)</f>
        <v>2958465</v>
      </c>
      <c r="BT30"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46371</v>
      </c>
      <c r="BU30" s="74" t="n">
        <f aca="false">IF(NOT(Tasks[[#This Row],[_IsLeaf]]=1),"",IF(N(Tasks[[#This Row],[Duration]])&lt;=0,Tasks[[#This Row],[_LeafCalcStart]],WORKDAY.INTL(Tasks[[#This Row],[_LeafCalcStart]],Tasks[[#This Row],[Duration]]-1,WorkWeek,Holidays)))</f>
        <v>46371</v>
      </c>
      <c r="BV30"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46371</v>
      </c>
      <c r="BW30"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46371</v>
      </c>
      <c r="BX30" s="45" t="str">
        <f aca="false">IF(Tasks[[#This Row],[Predecessors]]="","",TRIM(MID(SUBSTITUTE(SUBSTITUTE(SUBSTITUTE(UPPER(Tasks[[#This Row],[Predecessors]]),";",",")," ",""),",",REPT(" ",99)),1,99)))</f>
        <v>24</v>
      </c>
      <c r="BY30" s="45" t="n">
        <f aca="false">IF(Tasks[[#This Row],[_Pred1Text]]="","",IFERROR(VALUE(LEFT(Tasks[[#This Row],[_Pred1Text]],MIN(FIND("F",Tasks[[#This Row],[_Pred1Text]]&amp;"F"),FIND("S",Tasks[[#This Row],[_Pred1Text]]&amp;"S"),FIND("+",Tasks[[#This Row],[_Pred1Text]]&amp;"+"),FIND("-",Tasks[[#This Row],[_Pred1Text]]&amp;"-"))-1)),""))</f>
        <v>24</v>
      </c>
      <c r="BZ3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30"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30" s="45" t="str">
        <f aca="false">IF(Tasks[[#This Row],[_Pred1Text]]="","",TRIM(MID(SUBSTITUTE(SUBSTITUTE(SUBSTITUTE(UPPER(Tasks[[#This Row],[Predecessors]]),";",",")," ",""),",",REPT(" ",99)),100,99)))</f>
        <v/>
      </c>
      <c r="CC30" s="45" t="str">
        <f aca="false">IF(Tasks[[#This Row],[_Pred2Text]]="","",IFERROR(VALUE(LEFT(Tasks[[#This Row],[_Pred2Text]],MIN(FIND("F",Tasks[[#This Row],[_Pred2Text]]&amp;"F"),FIND("S",Tasks[[#This Row],[_Pred2Text]]&amp;"S"),FIND("+",Tasks[[#This Row],[_Pred2Text]]&amp;"+"),FIND("-",Tasks[[#This Row],[_Pred2Text]]&amp;"-"))-1)),""))</f>
        <v/>
      </c>
      <c r="CD3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3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30" s="45" t="str">
        <f aca="false">IF(Tasks[[#This Row],[_Pred2Text]]="","",TRIM(MID(SUBSTITUTE(SUBSTITUTE(SUBSTITUTE(UPPER(Tasks[[#This Row],[Predecessors]]),";",",")," ",""),",",REPT(" ",99)),199,99)))</f>
        <v/>
      </c>
      <c r="CG30" s="45" t="str">
        <f aca="false">IF(Tasks[[#This Row],[_Pred3Text]]="","",IFERROR(VALUE(LEFT(Tasks[[#This Row],[_Pred3Text]],MIN(FIND("F",Tasks[[#This Row],[_Pred3Text]]&amp;"F"),FIND("S",Tasks[[#This Row],[_Pred3Text]]&amp;"S"),FIND("+",Tasks[[#This Row],[_Pred3Text]]&amp;"+"),FIND("-",Tasks[[#This Row],[_Pred3Text]]&amp;"-"))-1)),""))</f>
        <v/>
      </c>
      <c r="CH3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3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30" s="45" t="str">
        <f aca="false">IF(Tasks[[#This Row],[_Pred3Text]]="","",TRIM(MID(SUBSTITUTE(SUBSTITUTE(SUBSTITUTE(UPPER(Tasks[[#This Row],[Predecessors]]),";",",")," ",""),",",REPT(" ",99)),298,99)))</f>
        <v/>
      </c>
      <c r="CK30" s="45" t="str">
        <f aca="false">IF(Tasks[[#This Row],[_Pred4Text]]="","",IFERROR(VALUE(LEFT(Tasks[[#This Row],[_Pred4Text]],MIN(FIND("F",Tasks[[#This Row],[_Pred4Text]]&amp;"F"),FIND("S",Tasks[[#This Row],[_Pred4Text]]&amp;"S"),FIND("+",Tasks[[#This Row],[_Pred4Text]]&amp;"+"),FIND("-",Tasks[[#This Row],[_Pred4Text]]&amp;"-"))-1)),""))</f>
        <v/>
      </c>
      <c r="CL3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3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30" s="45" t="str">
        <f aca="false">IF(OR(Tasks[[#This Row],[Task Name]]="",Tasks[[#This Row],[Resources]]=""),"",TRIM(MID(SUBSTITUTE(Tasks[[#This Row],[Resources]],",",REPT(" ",99)),1,99)))</f>
        <v/>
      </c>
      <c r="CO30" s="45" t="str">
        <f aca="false">IF(Tasks[[#This Row],[_Res1Text]]="","",TRIM(MID(SUBSTITUTE(Tasks[[#This Row],[Resources]],",",REPT(" ",99)),100,99)))</f>
        <v/>
      </c>
      <c r="CP30" s="45" t="str">
        <f aca="false">IF(Tasks[[#This Row],[_Res2Text]]="","",TRIM(MID(SUBSTITUTE(Tasks[[#This Row],[Resources]],",",REPT(" ",99)),199,99)))</f>
        <v/>
      </c>
      <c r="CQ30" s="45" t="str">
        <f aca="false">IF(Tasks[[#This Row],[_Res3Text]]="","",TRIM(MID(SUBSTITUTE(Tasks[[#This Row],[Resources]],",",REPT(" ",99)),298,99)))</f>
        <v/>
      </c>
      <c r="CR3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3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0" s="45" t="n">
        <f aca="false">IF(NOT(Tasks[[#This Row],[_IsLeaf]]=1),0,(Tasks[[#This Row],[_Resource1]]&lt;&gt;"")+(Tasks[[#This Row],[_Res2]]&lt;&gt;"")+(Tasks[[#This Row],[_Res3]]&lt;&gt;"")+(Tasks[[#This Row],[_Res4]]&lt;&gt;""))</f>
        <v>0</v>
      </c>
      <c r="CU3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3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0" s="45" t="n">
        <f aca="false">IF(OR(NOT(Tasks[[#This Row],[_IsLeaf]]=1),Tasks[[#This Row],[_Res2]]=""),0,IF(ISNA(MATCH(Tasks[[#This Row],[_Res2]],res_Name,0)),0,N(Tasks[[#This Row],[Duration]])*HoursPerDay*IF(Tasks[[#This Row],[_Res2Units]]="",DefaultUnits,Tasks[[#This Row],[_Res2Units]])))</f>
        <v>0</v>
      </c>
      <c r="CX30" s="45" t="n">
        <f aca="false">IF(Tasks[[#This Row],[_Res2Work]]=0,0,Tasks[[#This Row],[_Res2Work]]*IFERROR(INDEX(res_Rate,MATCH(Tasks[[#This Row],[_Res2]],res_Name,0)),0))</f>
        <v>0</v>
      </c>
      <c r="CY30" s="45" t="n">
        <f aca="false">IF(AND(AND(Tasks[[#This Row],[_IsLeaf]]=1,Tasks[[#This Row],[_LeafTotalWork]]&gt;0),Tasks[[#This Row],[_Res2Work]]&gt;0),Tasks[[#This Row],[_Res2Work]]/(Tasks[[#This Row],[_FinishWorkday]]-Tasks[[#This Row],[_StartWorkday]]+1),0)</f>
        <v>0</v>
      </c>
      <c r="CZ30" s="45" t="n">
        <f aca="false">Tasks[[#This Row],[_Res2WorkPerWD]]*MAX(0,Tasks[[#This Row],[_StartWorkday]]-1)</f>
        <v>0</v>
      </c>
      <c r="DA30" s="45" t="n">
        <f aca="false">Tasks[[#This Row],[_Res2Work]]*Tasks[[#This Row],[_LeafProgress]]</f>
        <v>0</v>
      </c>
      <c r="DB30" s="45" t="n">
        <f aca="false">IF(Tasks[[#This Row],[_LeafTotalCost]]=0,0,Tasks[[#This Row],[_LeafAC]]*Tasks[[#This Row],[_Res2Cost]]/Tasks[[#This Row],[_LeafTotalCost]])</f>
        <v>0</v>
      </c>
      <c r="DC3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3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30" s="45" t="n">
        <f aca="false">IF(OR(NOT(Tasks[[#This Row],[_IsLeaf]]=1),Tasks[[#This Row],[_Res3]]=""),0,IF(ISNA(MATCH(Tasks[[#This Row],[_Res3]],res_Name,0)),0,N(Tasks[[#This Row],[Duration]])*HoursPerDay*IF(Tasks[[#This Row],[_Res3Units]]="",DefaultUnits,Tasks[[#This Row],[_Res3Units]])))</f>
        <v>0</v>
      </c>
      <c r="DF30" s="45" t="n">
        <f aca="false">IF(Tasks[[#This Row],[_Res3Work]]=0,0,Tasks[[#This Row],[_Res3Work]]*IFERROR(INDEX(res_Rate,MATCH(Tasks[[#This Row],[_Res3]],res_Name,0)),0))</f>
        <v>0</v>
      </c>
      <c r="DG30" s="45" t="n">
        <f aca="false">IF(AND(AND(Tasks[[#This Row],[_IsLeaf]]=1,Tasks[[#This Row],[_LeafTotalWork]]&gt;0),Tasks[[#This Row],[_Res3Work]]&gt;0),Tasks[[#This Row],[_Res3Work]]/(Tasks[[#This Row],[_FinishWorkday]]-Tasks[[#This Row],[_StartWorkday]]+1),0)</f>
        <v>0</v>
      </c>
      <c r="DH30" s="45" t="n">
        <f aca="false">Tasks[[#This Row],[_Res3WorkPerWD]]*MAX(0,Tasks[[#This Row],[_StartWorkday]]-1)</f>
        <v>0</v>
      </c>
      <c r="DI30" s="45" t="n">
        <f aca="false">Tasks[[#This Row],[_Res3Work]]*Tasks[[#This Row],[_LeafProgress]]</f>
        <v>0</v>
      </c>
      <c r="DJ30" s="45" t="n">
        <f aca="false">IF(Tasks[[#This Row],[_LeafTotalCost]]=0,0,Tasks[[#This Row],[_LeafAC]]*Tasks[[#This Row],[_Res3Cost]]/Tasks[[#This Row],[_LeafTotalCost]])</f>
        <v>0</v>
      </c>
      <c r="DK3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3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30" s="45" t="n">
        <f aca="false">IF(OR(NOT(Tasks[[#This Row],[_IsLeaf]]=1),Tasks[[#This Row],[_Res4]]=""),0,IF(ISNA(MATCH(Tasks[[#This Row],[_Res4]],res_Name,0)),0,N(Tasks[[#This Row],[Duration]])*HoursPerDay*IF(Tasks[[#This Row],[_Res4Units]]="",DefaultUnits,Tasks[[#This Row],[_Res4Units]])))</f>
        <v>0</v>
      </c>
      <c r="DN30" s="45" t="n">
        <f aca="false">IF(Tasks[[#This Row],[_Res4Work]]=0,0,Tasks[[#This Row],[_Res4Work]]*IFERROR(INDEX(res_Rate,MATCH(Tasks[[#This Row],[_Res4]],res_Name,0)),0))</f>
        <v>0</v>
      </c>
      <c r="DO30" s="45" t="n">
        <f aca="false">IF(AND(AND(Tasks[[#This Row],[_IsLeaf]]=1,Tasks[[#This Row],[_LeafTotalWork]]&gt;0),Tasks[[#This Row],[_Res4Work]]&gt;0),Tasks[[#This Row],[_Res4Work]]/(Tasks[[#This Row],[_FinishWorkday]]-Tasks[[#This Row],[_StartWorkday]]+1),0)</f>
        <v>0</v>
      </c>
      <c r="DP30" s="45" t="n">
        <f aca="false">Tasks[[#This Row],[_Res4WorkPerWD]]*MAX(0,Tasks[[#This Row],[_StartWorkday]]-1)</f>
        <v>0</v>
      </c>
      <c r="DQ30" s="45" t="n">
        <f aca="false">Tasks[[#This Row],[_Res4Work]]*Tasks[[#This Row],[_LeafProgress]]</f>
        <v>0</v>
      </c>
      <c r="DR30" s="45" t="n">
        <f aca="false">IF(Tasks[[#This Row],[_LeafTotalCost]]=0,0,Tasks[[#This Row],[_LeafAC]]*Tasks[[#This Row],[_Res4Cost]]/Tasks[[#This Row],[_LeafTotalCost]])</f>
        <v>0</v>
      </c>
      <c r="DS30" s="45" t="n">
        <f aca="false">IF(ISNUMBER(Tasks[[#This Row],[% Complete]]),Tasks[[#This Row],[% Complete]],IF(Tasks[[#This Row],[Stage]]="",0,IFERROR(INDEX(stg_Pct,MATCH(Tasks[[#This Row],[Stage]],stg_Name,0)),0)))</f>
        <v>0</v>
      </c>
      <c r="DT30" s="45" t="n">
        <f aca="false">IF(NOT(Tasks[[#This Row],[_IsLeaf]]=1),0,IF(N(Tasks[[#This Row],[Actual Finish]])&gt;0,1,MIN(1,Tasks[[#This Row],[_Pct]])))</f>
        <v>0</v>
      </c>
      <c r="DU30" s="45" t="n">
        <f aca="false">IF(OR(NOT(Tasks[[#This Row],[_IsLeaf]]=1),Tasks[[#This Row],[_Resource1]]=""),0,IF(ISNA(MATCH(Tasks[[#This Row],[_Resource1]],res_Name,0)),0,N(Tasks[[#This Row],[Duration]])*HoursPerDay*IF(Tasks[[#This Row],[_Units1]]="",DefaultUnits,Tasks[[#This Row],[_Units1]])))</f>
        <v>0</v>
      </c>
      <c r="DV30" s="45" t="n">
        <f aca="false">IF(Tasks[[#This Row],[_LeafWork]]=0,0,Tasks[[#This Row],[_LeafWork]]*IFERROR(INDEX(res_Rate,MATCH(Tasks[[#This Row],[_Resource1]],res_Name,0)),0))</f>
        <v>0</v>
      </c>
      <c r="DW30" s="45" t="n">
        <f aca="false">Tasks[[#This Row],[_LeafWork]]+Tasks[[#This Row],[_Res2Work]]+Tasks[[#This Row],[_Res3Work]]+Tasks[[#This Row],[_Res4Work]]</f>
        <v>0</v>
      </c>
      <c r="DX30" s="45" t="n">
        <f aca="false">Tasks[[#This Row],[_LeafCost]]+Tasks[[#This Row],[_Res2Cost]]+Tasks[[#This Row],[_Res3Cost]]+Tasks[[#This Row],[_Res4Cost]]</f>
        <v>0</v>
      </c>
      <c r="DY30" s="45" t="n">
        <f aca="false">IF(Tasks[[#This Row],[_LeafTotalCost]]=0,Tasks[[#This Row],[_LeafAC]],Tasks[[#This Row],[_LeafAC]]*Tasks[[#This Row],[_LeafCost]]/Tasks[[#This Row],[_LeafTotalCost]])</f>
        <v>0</v>
      </c>
      <c r="DZ30"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2912094</v>
      </c>
      <c r="EA3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3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3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30"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3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3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3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30" s="45" t="n">
        <f aca="false">IF(NOT(Tasks[[#This Row],[_IsLeaf]]=1),0,MAX(_xlfn.MAXIFS(Tasks[_Row],Tasks[_Pred1UID],Tasks[[#This Row],[UID]]),_xlfn.MAXIFS(Tasks[_Row],Tasks[_Pred2UID],Tasks[[#This Row],[UID]]),_xlfn.MAXIFS(Tasks[_Row],Tasks[_Pred3UID],Tasks[[#This Row],[UID]]),_xlfn.MAXIFS(Tasks[_Row],Tasks[_Pred4UID],Tasks[[#This Row],[UID]])))</f>
        <v>26</v>
      </c>
      <c r="EI30"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46371</v>
      </c>
      <c r="EJ30"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46371</v>
      </c>
      <c r="EK30" s="74" t="n">
        <f aca="false">IF(NOT(Tasks[[#This Row],[_IsLeaf]]=1),"",IF(N(Tasks[[#This Row],[Duration]])&lt;=0,Tasks[[#This Row],[_LeafLateFinish]],WORKDAY.INTL(Tasks[[#This Row],[_LeafLateFinish]],-(Tasks[[#This Row],[Duration]]-1),WorkWeek,Holidays)))</f>
        <v>46371</v>
      </c>
      <c r="EL30"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M30" s="73" t="b">
        <f aca="false">AND(Tasks[[#This Row],[_IsLeaf]]=1,Tasks[[#This Row],[_LeafProgress]]&lt;1,N(Tasks[[#This Row],[_LeafTotalSlack]])&lt;=CriticalSlackDays)</f>
        <v>1</v>
      </c>
      <c r="EN30" s="45" t="n">
        <f aca="false">IF(AND(Tasks[[#This Row],[_IsLeaf]]=1,Tasks[[#This Row],[_ConstraintCode]]=1,Tasks[[#This Row],[Mode]]&lt;&gt;"Manual",N(Tasks[[#This Row],[Actual Start]])=0),MAX(0,N(Tasks[[#This Row],[Free Slack]])),0)</f>
        <v>0</v>
      </c>
      <c r="EO30" s="74" t="n">
        <f aca="false">IF(NOT(Tasks[[#This Row],[_IsLeaf]]=1),"",IF(Tasks[[#This Row],[_AlapShift]]=0,Tasks[[#This Row],[_LeafCalcStart]],WORKDAY.INTL(Tasks[[#This Row],[_LeafCalcStart]],Tasks[[#This Row],[_AlapShift]],WorkWeek,Holidays)))</f>
        <v>46371</v>
      </c>
      <c r="EP30" s="74" t="n">
        <f aca="false">IF(NOT(Tasks[[#This Row],[_IsLeaf]]=1),"",IF(Tasks[[#This Row],[_AlapShift]]=0,Tasks[[#This Row],[_LeafCalcFinish]],WORKDAY.INTL(Tasks[[#This Row],[_LeafCalcFinish]],Tasks[[#This Row],[_AlapShift]],WorkWeek,Holidays)))</f>
        <v>46371</v>
      </c>
      <c r="EQ30" s="74" t="n">
        <f aca="false">IF(NOT(Tasks[[#This Row],[_IsLeaf]]=1),"",IF(Tasks[[#This Row],[_AlapShift]]=0,Tasks[[#This Row],[_LeafFcstStart]],WORKDAY.INTL(Tasks[[#This Row],[_LeafFcstStart]],Tasks[[#This Row],[_AlapShift]],WorkWeek,Holidays)))</f>
        <v>46371</v>
      </c>
      <c r="ER30" s="74" t="n">
        <f aca="false">IF(NOT(Tasks[[#This Row],[_IsLeaf]]=1),"",IF(Tasks[[#This Row],[_AlapShift]]=0,Tasks[[#This Row],[_LeafFcstFinish]],WORKDAY.INTL(Tasks[[#This Row],[_LeafFcstFinish]],Tasks[[#This Row],[_AlapShift]],WorkWeek,Holidays)))</f>
        <v>46371</v>
      </c>
      <c r="ES30" s="74" t="n">
        <f aca="false">IF(Tasks[[#This Row],[Task Name]]="","",IF(Tasks[[#This Row],[_IsSummary]],MIN(INDEX(Tasks[_ShownCalcStart],Tasks[[#This Row],[_Row]]+1):INDEX(Tasks[_ShownCalcStart],Tasks[[#This Row],[_Row]]+Tasks[[#This Row],[_Descendants]])),Tasks[[#This Row],[_ShownCalcStart]]))</f>
        <v>46371</v>
      </c>
      <c r="ET30" s="74" t="n">
        <f aca="false">IF(Tasks[[#This Row],[Task Name]]="","",IF(Tasks[[#This Row],[_IsSummary]],MAX(INDEX(Tasks[_ShownCalcFinish],Tasks[[#This Row],[_Row]]+1):INDEX(Tasks[_ShownCalcFinish],Tasks[[#This Row],[_Row]]+Tasks[[#This Row],[_Descendants]])),Tasks[[#This Row],[_ShownCalcFinish]]))</f>
        <v>46371</v>
      </c>
      <c r="EU3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3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3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3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3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46371</v>
      </c>
      <c r="EZ3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3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3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3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46371</v>
      </c>
      <c r="FD3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3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3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30" s="45" t="n">
        <f aca="false">IF(AND(Tasks[[#This Row],[_IsLeaf]]=1,Tasks[[#This Row],[_LeafTotalWork]]&gt;0),NETWORKDAYS.INTL(ProjectStart,Tasks[[#This Row],[_ShownFcstStart]],WorkWeek,Holidays),0)</f>
        <v>0</v>
      </c>
      <c r="FH30" s="45" t="n">
        <f aca="false">IF(AND(Tasks[[#This Row],[_IsLeaf]]=1,Tasks[[#This Row],[_LeafTotalWork]]&gt;0),MAX(Tasks[[#This Row],[_StartWorkday]],NETWORKDAYS.INTL(ProjectStart,Tasks[[#This Row],[_ShownFcstFinish]],WorkWeek,Holidays)),0)</f>
        <v>0</v>
      </c>
      <c r="FI30" s="45" t="n">
        <f aca="false">IF(AND(Tasks[[#This Row],[_IsLeaf]]=1,Tasks[[#This Row],[_LeafTotalWork]]&gt;0),Tasks[[#This Row],[_LeafWork]]/(Tasks[[#This Row],[_FinishWorkday]]-Tasks[[#This Row],[_StartWorkday]]+1),0)</f>
        <v>0</v>
      </c>
      <c r="FJ30" s="45" t="n">
        <f aca="false">Tasks[[#This Row],[_WorkPerWorkday]]*(Tasks[[#This Row],[_StartWorkday]]-1)</f>
        <v>-0</v>
      </c>
      <c r="FK30" s="45" t="n">
        <f aca="false">IF(Tasks[[#This Row],[_IsLeaf]]=1,MAX(N(Tasks[[#This Row],[Duration]]),0.1),0)</f>
        <v>0.1</v>
      </c>
      <c r="FL30" s="45" t="n">
        <f aca="false">Tasks[[#This Row],[_WeightDur]]*Tasks[[#This Row],[_LeafProgress]]</f>
        <v>0</v>
      </c>
      <c r="FM3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24</v>
      </c>
      <c r="FN30" s="77" t="n">
        <f aca="false">IF(AND(Tasks[[#This Row],[_IsLeaf]]=1,N(Tasks[[#This Row],[Duration]])=0,Tasks[[#This Row],[_LeafProgress]]&lt;1),Tasks[[#This Row],[_ShownFcstFinish]]+Tasks[[#This Row],[_Row]]/100000,"")</f>
        <v>46371.00025</v>
      </c>
      <c r="FO3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30" s="45" t="n">
        <f aca="false">IF(NOT(Tasks[[#This Row],[_IsLeaf]]=1),0,IF(Tasks[[#This Row],[Baseline Cost]]="",Tasks[[#This Row],[_LeafTotalCost]],N(Tasks[[#This Row],[Baseline Cost]])))</f>
        <v>0</v>
      </c>
      <c r="FQ30" s="45" t="n">
        <f aca="false">Tasks[[#This Row],[_LeafBudget]]*Tasks[[#This Row],[_PlannedPct]]</f>
        <v>0</v>
      </c>
      <c r="FR30" s="45" t="n">
        <f aca="false">Tasks[[#This Row],[_LeafBudget]]*Tasks[[#This Row],[_LeafProgress]]</f>
        <v>0</v>
      </c>
      <c r="FS30" s="45" t="n">
        <f aca="false">IF(NOT(Tasks[[#This Row],[_IsLeaf]]=1),0,IF(Tasks[[#This Row],[Actual Cost]]="",Tasks[[#This Row],[_LeafTotalCost]]*Tasks[[#This Row],[_LeafProgress]],N(Tasks[[#This Row],[Actual Cost]])))</f>
        <v>0</v>
      </c>
      <c r="FT30" s="45" t="str">
        <f aca="false">IF(Tasks[[#This Row],[Task Name]]="","",LEFT(Tasks[[#This Row],[WBS]],FIND(".",Tasks[[#This Row],[WBS]]&amp;".")-1))</f>
        <v>4</v>
      </c>
      <c r="FU30" s="45" t="str">
        <f aca="false">IF(AND(Tasks[[#This Row],[Task Name]]&lt;&gt;"",Tasks[[#This Row],[_Level]]=1),Tasks[[#This Row],[_Row]],"")</f>
        <v/>
      </c>
      <c r="FV30" s="77" t="n">
        <f aca="false">IF(AND(Tasks[[#This Row],[_IsLeaf]]=1,N(Tasks[[#This Row],[Duration]])=0),Tasks[[#This Row],[Planned Finish]]+Tasks[[#This Row],[_Row]]/100000,"")</f>
        <v>46371.00025</v>
      </c>
      <c r="FW30" s="45" t="str">
        <f aca="false">IF(AND(Tasks[[#This Row],[_IsLeaf]]=1,Tasks[[#This Row],[_LeafProgress]]&lt;1,OR(N(Tasks[[#This Row],[Finish Var]])&gt;0,Tasks[[#This Row],[Status]]="Late Start")),MAX(0,Tasks[[#This Row],[Finish Var]])+1-Tasks[[#This Row],[_Row]]/1000000,"")</f>
        <v/>
      </c>
      <c r="FX30" s="45" t="str">
        <f aca="false">IF(AND(Tasks[[#This Row],[_IsLeaf]]=1,N(Tasks[[#This Row],[Actual Start]])=0,Tasks[[#This Row],[_ShownFcstStart]]&gt;=StatusDate,Tasks[[#This Row],[_ShownFcstStart]]&lt;=LookaheadEnd),Tasks[[#This Row],[_ShownFcstStart]]+Tasks[[#This Row],[_Row]]/100000,"")</f>
        <v/>
      </c>
      <c r="FY30" s="45" t="str">
        <f aca="false">IF(AND(Tasks[[#This Row],[_IsLeaf]]=1,Tasks[[#This Row],[_LeafProgress]]&lt;1,Tasks[[#This Row],[_ShownFcstFinish]]&gt;=StatusDate,Tasks[[#This Row],[_ShownFcstFinish]]&lt;=LookaheadEnd),Tasks[[#This Row],[_ShownFcstFinish]]+Tasks[[#This Row],[_Row]]/100000,"")</f>
        <v/>
      </c>
      <c r="FZ30" s="77" t="n">
        <f aca="false">IF(Tasks[[#This Row],[_LeafCritical]],Tasks[[#This Row],[_ShownFcstStart]]+Tasks[[#This Row],[_Row]]/100000,"")</f>
        <v>46371.00025</v>
      </c>
      <c r="GA30" s="45" t="n">
        <f aca="false">Tasks[[#This Row],[_LeafWork]]*Tasks[[#This Row],[_LeafProgress]]</f>
        <v>0</v>
      </c>
      <c r="GB30" s="74" t="str">
        <f aca="false">IF(AND(Tasks[[#This Row],[_IsLeaf]]=1,Tasks[[#This Row],[_LeafProgress]]&gt;=1),IF(N(Tasks[[#This Row],[Actual Finish]])&gt;0,Tasks[[#This Row],[Actual Finish]],Tasks[[#This Row],[_ShownFcstFinish]]),"")</f>
        <v/>
      </c>
    </row>
    <row r="31" customFormat="false" ht="15" hidden="false" customHeight="false" outlineLevel="1" collapsed="false">
      <c r="A31" s="67" t="n">
        <f aca="false">IF(Tasks[[#This Row],[Task Name]]="","",COUNTA(Tasks[[#Headers],[Task Name]]:Tasks[[#This Row],[Task Name]])-1)</f>
        <v>26</v>
      </c>
      <c r="B31" s="21" t="n">
        <v>26</v>
      </c>
      <c r="C3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4.6</v>
      </c>
      <c r="D31" s="21" t="n">
        <v>2</v>
      </c>
      <c r="E31" s="75" t="s">
        <v>562</v>
      </c>
      <c r="F31" s="21" t="n">
        <v>10</v>
      </c>
      <c r="G31" s="22" t="s">
        <v>563</v>
      </c>
      <c r="H31" s="22" t="s">
        <v>564</v>
      </c>
      <c r="I31" s="22"/>
      <c r="J31" s="7"/>
      <c r="K31" s="7"/>
      <c r="L31" s="22"/>
      <c r="M31" s="58" t="n">
        <f aca="false">IF(Tasks[[#This Row],[Task Name]]="","",IF(Tasks[[#This Row],[_IsSummary]],MIN(INDEX(Tasks[_ShownFcstStart],Tasks[[#This Row],[_Row]]+1):INDEX(Tasks[_ShownFcstStart],Tasks[[#This Row],[_Row]]+Tasks[[#This Row],[_Descendants]])),Tasks[[#This Row],[_ShownFcstStart]]))</f>
        <v>46372</v>
      </c>
      <c r="N31" s="58" t="n">
        <f aca="false">IF(Tasks[[#This Row],[Task Name]]="","",IF(Tasks[[#This Row],[_IsSummary]],MAX(INDEX(Tasks[_ShownFcstFinish],Tasks[[#This Row],[_Row]]+1):INDEX(Tasks[_ShownFcstFinish],Tasks[[#This Row],[_Row]]+Tasks[[#This Row],[_Descendants]])),Tasks[[#This Row],[_ShownFcstFinish]]))</f>
        <v>46391</v>
      </c>
      <c r="O31" s="20" t="str">
        <f aca="false">IF(Tasks[[#This Row],[Task Name]]="","",IF(Tasks[[#This Row],[Progress]]&gt;=1,"Complete",IF(OR(N(Tasks[[#This Row],[Actual Start]])&gt;0,Tasks[[#This Row],[Progress]]&gt;0),IF(Tasks[[#This Row],[Finish Var]]&gt;0,"Behind","In Progress"),IF(Tasks[[#This Row],[Planned Start]]&lt;StatusDate,"Late Start","Not Started"))))</f>
        <v>Not Started</v>
      </c>
      <c r="P31" s="20" t="str">
        <f aca="false">IF(Tasks[[#This Row],[Task Name]]="","",IF(IF(Tasks[[#This Row],[_IsSummary]],COUNTIF(INDEX(Tasks[_LeafCritical],Tasks[[#This Row],[_Row]]+1):INDEX(Tasks[_LeafCritical],Tasks[[#This Row],[_Row]]+Tasks[[#This Row],[_Descendants]]),TRUE())&gt;0,Tasks[[#This Row],[_LeafCritical]]),"Yes",""))</f>
        <v>Yes</v>
      </c>
      <c r="Q3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31" s="67" t="str">
        <f aca="false">IF(Tasks[[#This Row],[Task Name]]="","",IF(Tasks[[#This Row],[_Level]]&lt;=OutlineShowLevel,"Yes","No"))</f>
        <v>Yes</v>
      </c>
      <c r="S31" s="7"/>
      <c r="T31" s="21" t="s">
        <v>195</v>
      </c>
      <c r="U31" s="22"/>
      <c r="V31" s="7"/>
      <c r="W31" s="67" t="n">
        <f aca="false">IF(Tasks[[#This Row],[Task Name]]="","",IF(Tasks[[#This Row],[Finish]]&gt;=Tasks[[#This Row],[Planned Finish]],NETWORKDAYS.INTL(Tasks[[#This Row],[Planned Finish]],Tasks[[#This Row],[Finish]],WorkWeek,Holidays)-1,1-NETWORKDAYS.INTL(Tasks[[#This Row],[Finish]],Tasks[[#This Row],[Planned Finish]],WorkWeek,Holidays)))</f>
        <v>0</v>
      </c>
      <c r="X31" s="58" t="n">
        <f aca="false">IF(Tasks[[#This Row],[Task Name]]="","",IF(N(Tasks[[#This Row],[Baseline Start]])&gt;0,Tasks[[#This Row],[Baseline Start]],Tasks[[#This Row],[_CalcStart]]))</f>
        <v>46372</v>
      </c>
      <c r="Y31" s="58" t="n">
        <f aca="false">IF(Tasks[[#This Row],[Task Name]]="","",IF(N(Tasks[[#This Row],[Baseline Finish]])&gt;0,Tasks[[#This Row],[Baseline Finish]],Tasks[[#This Row],[_CalcFinish]]))</f>
        <v>46391</v>
      </c>
      <c r="Z31" s="67" t="n">
        <f aca="false">IF(Tasks[[#This Row],[Task Name]]="","",IF(Tasks[[#This Row],[Start]]&gt;=Tasks[[#This Row],[Planned Start]],NETWORKDAYS.INTL(Tasks[[#This Row],[Planned Start]],Tasks[[#This Row],[Start]],WorkWeek,Holidays)-1,1-NETWORKDAYS.INTL(Tasks[[#This Row],[Start]],Tasks[[#This Row],[Planned Start]],WorkWeek,Holidays)))</f>
        <v>0</v>
      </c>
      <c r="AA31" s="58" t="n">
        <f aca="false">IF(Tasks[[#This Row],[Task Name]]="","",IF(Tasks[[#This Row],[_IsSummary]],MIN(INDEX(Tasks[_LeafLateStart],Tasks[[#This Row],[_Row]]+1):INDEX(Tasks[_LeafLateStart],Tasks[[#This Row],[_Row]]+Tasks[[#This Row],[_Descendants]])),Tasks[[#This Row],[_LeafLateStart]]))</f>
        <v>46372</v>
      </c>
      <c r="AB31" s="58" t="n">
        <f aca="false">IF(Tasks[[#This Row],[Task Name]]="","",IF(Tasks[[#This Row],[_IsSummary]],MAX(INDEX(Tasks[_LeafLateFinish],Tasks[[#This Row],[_Row]]+1):INDEX(Tasks[_LeafLateFinish],Tasks[[#This Row],[_Row]]+Tasks[[#This Row],[_Descendants]])),Tasks[[#This Row],[_LeafLateFinish]]))</f>
        <v>46391</v>
      </c>
      <c r="AC31" s="67" t="n">
        <f aca="false">IF(Tasks[[#This Row],[Task Name]]="","",IF(Tasks[[#This Row],[_IsSummary]],MIN(INDEX(Tasks[_LeafTotalSlack],Tasks[[#This Row],[_Row]]+1):INDEX(Tasks[_LeafTotalSlack],Tasks[[#This Row],[_Row]]+Tasks[[#This Row],[_Descendants]])),Tasks[[#This Row],[_LeafTotalSlack]]))</f>
        <v>0</v>
      </c>
      <c r="AD31"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3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3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31" s="60"/>
      <c r="AH31"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I3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25</v>
      </c>
      <c r="AJ31" s="69" t="n">
        <f aca="false">IF(Tasks[[#This Row],[Task Name]]="","",IF(Tasks[[#This Row],[_IsSummary]],SUM(INDEX(Tasks[_LeafTotalWork],Tasks[[#This Row],[_Row]]+1):INDEX(Tasks[_LeafTotalWork],Tasks[[#This Row],[_Row]]+Tasks[[#This Row],[_Descendants]])),Tasks[[#This Row],[_LeafTotalWork]]))</f>
        <v>40</v>
      </c>
      <c r="AK3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Jordan Lee[50%]</v>
      </c>
      <c r="AL31" s="70" t="n">
        <f aca="false">IF(Tasks[[#This Row],[Task Name]]="","",IF(Tasks[[#This Row],[_IsSummary]],SUM(INDEX(Tasks[_LeafTotalCost],Tasks[[#This Row],[_Row]]+1):INDEX(Tasks[_LeafTotalCost],Tasks[[#This Row],[_Row]]+Tasks[[#This Row],[_Descendants]])),Tasks[[#This Row],[_LeafTotalCost]]))</f>
        <v>3400</v>
      </c>
      <c r="AM31" s="71"/>
      <c r="AN31" s="20" t="str">
        <f aca="false">IF(OR(Tasks[[#This Row],[Task Name]]="",Tasks[[#This Row],[Baseline Duration]]=""),"",Tasks[[#This Row],[BL Source Duration]]-N(Tasks[[#This Row],[Baseline Duration]]))</f>
        <v/>
      </c>
      <c r="AO31" s="69" t="str">
        <f aca="false">IF(OR(Tasks[[#This Row],[Task Name]]="",Tasks[[#This Row],[Baseline Work]]=""),"",Tasks[[#This Row],[Work]]-N(Tasks[[#This Row],[Baseline Work]]))</f>
        <v/>
      </c>
      <c r="AP31" s="70" t="str">
        <f aca="false">IF(OR(Tasks[[#This Row],[Task Name]]="",Tasks[[#This Row],[Baseline Cost]]=""),"",Tasks[[#This Row],[Cost]]-N(Tasks[[#This Row],[Baseline Cost]]))</f>
        <v/>
      </c>
      <c r="AQ31" s="58" t="n">
        <f aca="false">IF(Tasks[[#This Row],[Task Name]]="","",Tasks[[#This Row],[Start]])</f>
        <v>46372</v>
      </c>
      <c r="AR31" s="58" t="n">
        <f aca="false">IF(Tasks[[#This Row],[Task Name]]="","",Tasks[[#This Row],[Finish]])</f>
        <v>46391</v>
      </c>
      <c r="AS31" s="67" t="n">
        <f aca="false">IF(Tasks[[#This Row],[Task Name]]="","",IF(Tasks[[#This Row],[_IsSummary]],NETWORKDAYS.INTL(Tasks[[#This Row],[Start]],Tasks[[#This Row],[Finish]],WorkWeek,Holidays),N(Tasks[[#This Row],[Duration]])))</f>
        <v>10</v>
      </c>
      <c r="AT31" s="69" t="n">
        <f aca="false">IF(Tasks[[#This Row],[Task Name]]="","",Tasks[[#This Row],[Work]])</f>
        <v>40</v>
      </c>
      <c r="AU31" s="70" t="n">
        <f aca="false">IF(Tasks[[#This Row],[Task Name]]="","",Tasks[[#This Row],[Cost]])</f>
        <v>3400</v>
      </c>
      <c r="AV31" s="7"/>
      <c r="AW31" s="7"/>
      <c r="AX31" s="21"/>
      <c r="AY31" s="72"/>
      <c r="AZ31" s="71"/>
      <c r="BA31" s="70" t="n">
        <f aca="false">IF(Tasks[[#This Row],[Task Name]]="","",IF(Tasks[[#This Row],[_IsSummary]],SUM(INDEX(Tasks[_LeafEV],Tasks[[#This Row],[_Row]]+1):INDEX(Tasks[_LeafEV],Tasks[[#This Row],[_Row]]+Tasks[[#This Row],[_Descendants]])),Tasks[[#This Row],[_LeafEV]]))</f>
        <v>0</v>
      </c>
      <c r="BB31" s="70" t="n">
        <f aca="false">IF(Tasks[[#This Row],[Task Name]]="","",IF(Tasks[[#This Row],[_IsSummary]],SUM(INDEX(Tasks[_LeafBudget],Tasks[[#This Row],[_Row]]+1):INDEX(Tasks[_LeafBudget],Tasks[[#This Row],[_Row]]+Tasks[[#This Row],[_Descendants]])),Tasks[[#This Row],[_LeafBudget]]))</f>
        <v>3400</v>
      </c>
      <c r="BC31" s="70" t="n">
        <f aca="false">IF(Tasks[[#This Row],[Task Name]]="","",IF(Tasks[[#This Row],[_IsSummary]],SUM(INDEX(Tasks[_LeafPV],Tasks[[#This Row],[_Row]]+1):INDEX(Tasks[_LeafPV],Tasks[[#This Row],[_Row]]+Tasks[[#This Row],[_Descendants]])),Tasks[[#This Row],[_LeafPV]]))</f>
        <v>0</v>
      </c>
      <c r="BD31" s="70" t="n">
        <f aca="false">IF(Tasks[[#This Row],[Task Name]]="","",IF(Tasks[[#This Row],[_IsSummary]],SUM(INDEX(Tasks[_LeafAC],Tasks[[#This Row],[_Row]]+1):INDEX(Tasks[_LeafAC],Tasks[[#This Row],[_Row]]+Tasks[[#This Row],[_Descendants]])),Tasks[[#This Row],[_LeafAC]]))</f>
        <v>0</v>
      </c>
      <c r="BE31" s="45" t="n">
        <f aca="false">IF(Tasks[[#This Row],[Task Name]]="","",MAX(1,N(Tasks[[#This Row],[Level]])))</f>
        <v>2</v>
      </c>
      <c r="BF31" s="45" t="n">
        <f aca="false">ROW()-ROW(Tasks[[#Headers],[ID]])</f>
        <v>26</v>
      </c>
      <c r="BG31" s="45" t="n">
        <f aca="false">IF(OR(Tasks[[#This Row],[Task Name]]="",Tasks[[#This Row],[_Level]]&lt;=1),0,IFERROR(LOOKUP(2,1/(Tasks[[#Headers],[_Level]]:Tasks[[#This Row],[_Level]]=Tasks[[#This Row],[_Level]]-1),ROW(Tasks[[#Headers],[_Level]]:Tasks[[#This Row],[_Level]])),0))</f>
        <v>25</v>
      </c>
      <c r="BH31" s="45" t="n">
        <f aca="false">IFERROR(N(INDEX(Tasks[_Level],Tasks[[#This Row],[_Row]]+1)),0)</f>
        <v>1</v>
      </c>
      <c r="BI31" s="73" t="b">
        <f aca="false">AND(Tasks[[#This Row],[Task Name]]&lt;&gt;"",Tasks[[#This Row],[_NextLevel]]&gt;Tasks[[#This Row],[_Level]])</f>
        <v>0</v>
      </c>
      <c r="BJ31" s="45" t="n">
        <f aca="false">IF(Tasks[[#This Row],[_IsSummary]],COUNTIF(Tasks[WBS],Tasks[[#This Row],[WBS]]&amp;".*"),0)</f>
        <v>0</v>
      </c>
      <c r="BK31" s="45" t="n">
        <f aca="false">IF(AND(Tasks[[#This Row],[Task Name]]&lt;&gt;"",NOT(Tasks[[#This Row],[_IsSummary]])),1,0)</f>
        <v>1</v>
      </c>
      <c r="BL31" s="45" t="n">
        <f aca="false">IF(N(Tasks[[#This Row],[_Pred1UID]])=0,0,IFERROR(MATCH(Tasks[[#This Row],[_Pred1UID]],Tasks[UID],0),-1))</f>
        <v>25</v>
      </c>
      <c r="BM31" s="45" t="n">
        <f aca="false">IF(N(Tasks[[#This Row],[_Pred2UID]])=0,0,IFERROR(MATCH(Tasks[[#This Row],[_Pred2UID]],Tasks[UID],0),-1))</f>
        <v>0</v>
      </c>
      <c r="BN31" s="45" t="n">
        <f aca="false">IF(N(Tasks[[#This Row],[_Pred3UID]])=0,0,IFERROR(MATCH(Tasks[[#This Row],[_Pred3UID]],Tasks[UID],0),-1))</f>
        <v>0</v>
      </c>
      <c r="BO31" s="45" t="n">
        <f aca="false">IF(N(Tasks[[#This Row],[_Pred4UID]])=0,0,IFERROR(MATCH(Tasks[[#This Row],[_Pred4UID]],Tasks[UID],0),-1))</f>
        <v>0</v>
      </c>
      <c r="BP31"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3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31" s="74" t="n">
        <f aca="false">IF(OR(Tasks[[#This Row],[_ConstraintCode]]=2,Tasks[[#This Row],[_ConstraintCode]]=3,Tasks[[#This Row],[_ConstraintCode]]=4,Tasks[[#This Row],[_ConstraintCode]]=6),Tasks[[#This Row],[_ConstraintStart]],0)</f>
        <v>0</v>
      </c>
      <c r="BS31" s="74" t="n">
        <f aca="false">IF(OR(Tasks[[#This Row],[_ConstraintCode]]=2,Tasks[[#This Row],[_ConstraintCode]]=3,Tasks[[#This Row],[_ConstraintCode]]=5,Tasks[[#This Row],[_ConstraintCode]]=7),Tasks[[#This Row],[_ConstraintStart]],2958465)</f>
        <v>2958465</v>
      </c>
      <c r="BT31"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46372</v>
      </c>
      <c r="BU31" s="74" t="n">
        <f aca="false">IF(NOT(Tasks[[#This Row],[_IsLeaf]]=1),"",IF(N(Tasks[[#This Row],[Duration]])&lt;=0,Tasks[[#This Row],[_LeafCalcStart]],WORKDAY.INTL(Tasks[[#This Row],[_LeafCalcStart]],Tasks[[#This Row],[Duration]]-1,WorkWeek,Holidays)))</f>
        <v>46391</v>
      </c>
      <c r="BV31"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46372</v>
      </c>
      <c r="BW31"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46391</v>
      </c>
      <c r="BX31" s="45" t="str">
        <f aca="false">IF(Tasks[[#This Row],[Predecessors]]="","",TRIM(MID(SUBSTITUTE(SUBSTITUTE(SUBSTITUTE(UPPER(Tasks[[#This Row],[Predecessors]]),";",",")," ",""),",",REPT(" ",99)),1,99)))</f>
        <v>25</v>
      </c>
      <c r="BY31" s="45" t="n">
        <f aca="false">IF(Tasks[[#This Row],[_Pred1Text]]="","",IFERROR(VALUE(LEFT(Tasks[[#This Row],[_Pred1Text]],MIN(FIND("F",Tasks[[#This Row],[_Pred1Text]]&amp;"F"),FIND("S",Tasks[[#This Row],[_Pred1Text]]&amp;"S"),FIND("+",Tasks[[#This Row],[_Pred1Text]]&amp;"+"),FIND("-",Tasks[[#This Row],[_Pred1Text]]&amp;"-"))-1)),""))</f>
        <v>25</v>
      </c>
      <c r="BZ3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31"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31" s="45" t="str">
        <f aca="false">IF(Tasks[[#This Row],[_Pred1Text]]="","",TRIM(MID(SUBSTITUTE(SUBSTITUTE(SUBSTITUTE(UPPER(Tasks[[#This Row],[Predecessors]]),";",",")," ",""),",",REPT(" ",99)),100,99)))</f>
        <v/>
      </c>
      <c r="CC31" s="45" t="str">
        <f aca="false">IF(Tasks[[#This Row],[_Pred2Text]]="","",IFERROR(VALUE(LEFT(Tasks[[#This Row],[_Pred2Text]],MIN(FIND("F",Tasks[[#This Row],[_Pred2Text]]&amp;"F"),FIND("S",Tasks[[#This Row],[_Pred2Text]]&amp;"S"),FIND("+",Tasks[[#This Row],[_Pred2Text]]&amp;"+"),FIND("-",Tasks[[#This Row],[_Pred2Text]]&amp;"-"))-1)),""))</f>
        <v/>
      </c>
      <c r="CD3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3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31" s="45" t="str">
        <f aca="false">IF(Tasks[[#This Row],[_Pred2Text]]="","",TRIM(MID(SUBSTITUTE(SUBSTITUTE(SUBSTITUTE(UPPER(Tasks[[#This Row],[Predecessors]]),";",",")," ",""),",",REPT(" ",99)),199,99)))</f>
        <v/>
      </c>
      <c r="CG31" s="45" t="str">
        <f aca="false">IF(Tasks[[#This Row],[_Pred3Text]]="","",IFERROR(VALUE(LEFT(Tasks[[#This Row],[_Pred3Text]],MIN(FIND("F",Tasks[[#This Row],[_Pred3Text]]&amp;"F"),FIND("S",Tasks[[#This Row],[_Pred3Text]]&amp;"S"),FIND("+",Tasks[[#This Row],[_Pred3Text]]&amp;"+"),FIND("-",Tasks[[#This Row],[_Pred3Text]]&amp;"-"))-1)),""))</f>
        <v/>
      </c>
      <c r="CH3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3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31" s="45" t="str">
        <f aca="false">IF(Tasks[[#This Row],[_Pred3Text]]="","",TRIM(MID(SUBSTITUTE(SUBSTITUTE(SUBSTITUTE(UPPER(Tasks[[#This Row],[Predecessors]]),";",",")," ",""),",",REPT(" ",99)),298,99)))</f>
        <v/>
      </c>
      <c r="CK31" s="45" t="str">
        <f aca="false">IF(Tasks[[#This Row],[_Pred4Text]]="","",IFERROR(VALUE(LEFT(Tasks[[#This Row],[_Pred4Text]],MIN(FIND("F",Tasks[[#This Row],[_Pred4Text]]&amp;"F"),FIND("S",Tasks[[#This Row],[_Pred4Text]]&amp;"S"),FIND("+",Tasks[[#This Row],[_Pred4Text]]&amp;"+"),FIND("-",Tasks[[#This Row],[_Pred4Text]]&amp;"-"))-1)),""))</f>
        <v/>
      </c>
      <c r="CL3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3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31" s="45" t="str">
        <f aca="false">IF(OR(Tasks[[#This Row],[Task Name]]="",Tasks[[#This Row],[Resources]]=""),"",TRIM(MID(SUBSTITUTE(Tasks[[#This Row],[Resources]],",",REPT(" ",99)),1,99)))</f>
        <v>Jordan Lee[50%]</v>
      </c>
      <c r="CO31" s="45" t="str">
        <f aca="false">IF(Tasks[[#This Row],[_Res1Text]]="","",TRIM(MID(SUBSTITUTE(Tasks[[#This Row],[Resources]],",",REPT(" ",99)),100,99)))</f>
        <v/>
      </c>
      <c r="CP31" s="45" t="str">
        <f aca="false">IF(Tasks[[#This Row],[_Res2Text]]="","",TRIM(MID(SUBSTITUTE(Tasks[[#This Row],[Resources]],",",REPT(" ",99)),199,99)))</f>
        <v/>
      </c>
      <c r="CQ31" s="45" t="str">
        <f aca="false">IF(Tasks[[#This Row],[_Res3Text]]="","",TRIM(MID(SUBSTITUTE(Tasks[[#This Row],[Resources]],",",REPT(" ",99)),298,99)))</f>
        <v/>
      </c>
      <c r="CR3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Jordan Lee</v>
      </c>
      <c r="CS31" s="45" t="n">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0.5</v>
      </c>
      <c r="CT31" s="45" t="n">
        <f aca="false">IF(NOT(Tasks[[#This Row],[_IsLeaf]]=1),0,(Tasks[[#This Row],[_Resource1]]&lt;&gt;"")+(Tasks[[#This Row],[_Res2]]&lt;&gt;"")+(Tasks[[#This Row],[_Res3]]&lt;&gt;"")+(Tasks[[#This Row],[_Res4]]&lt;&gt;""))</f>
        <v>1</v>
      </c>
      <c r="CU3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3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1" s="45" t="n">
        <f aca="false">IF(OR(NOT(Tasks[[#This Row],[_IsLeaf]]=1),Tasks[[#This Row],[_Res2]]=""),0,IF(ISNA(MATCH(Tasks[[#This Row],[_Res2]],res_Name,0)),0,N(Tasks[[#This Row],[Duration]])*HoursPerDay*IF(Tasks[[#This Row],[_Res2Units]]="",DefaultUnits,Tasks[[#This Row],[_Res2Units]])))</f>
        <v>0</v>
      </c>
      <c r="CX31" s="45" t="n">
        <f aca="false">IF(Tasks[[#This Row],[_Res2Work]]=0,0,Tasks[[#This Row],[_Res2Work]]*IFERROR(INDEX(res_Rate,MATCH(Tasks[[#This Row],[_Res2]],res_Name,0)),0))</f>
        <v>0</v>
      </c>
      <c r="CY31" s="45" t="n">
        <f aca="false">IF(AND(AND(Tasks[[#This Row],[_IsLeaf]]=1,Tasks[[#This Row],[_LeafTotalWork]]&gt;0),Tasks[[#This Row],[_Res2Work]]&gt;0),Tasks[[#This Row],[_Res2Work]]/(Tasks[[#This Row],[_FinishWorkday]]-Tasks[[#This Row],[_StartWorkday]]+1),0)</f>
        <v>0</v>
      </c>
      <c r="CZ31" s="45" t="n">
        <f aca="false">Tasks[[#This Row],[_Res2WorkPerWD]]*MAX(0,Tasks[[#This Row],[_StartWorkday]]-1)</f>
        <v>0</v>
      </c>
      <c r="DA31" s="45" t="n">
        <f aca="false">Tasks[[#This Row],[_Res2Work]]*Tasks[[#This Row],[_LeafProgress]]</f>
        <v>0</v>
      </c>
      <c r="DB31" s="45" t="n">
        <f aca="false">IF(Tasks[[#This Row],[_LeafTotalCost]]=0,0,Tasks[[#This Row],[_LeafAC]]*Tasks[[#This Row],[_Res2Cost]]/Tasks[[#This Row],[_LeafTotalCost]])</f>
        <v>0</v>
      </c>
      <c r="DC3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3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31" s="45" t="n">
        <f aca="false">IF(OR(NOT(Tasks[[#This Row],[_IsLeaf]]=1),Tasks[[#This Row],[_Res3]]=""),0,IF(ISNA(MATCH(Tasks[[#This Row],[_Res3]],res_Name,0)),0,N(Tasks[[#This Row],[Duration]])*HoursPerDay*IF(Tasks[[#This Row],[_Res3Units]]="",DefaultUnits,Tasks[[#This Row],[_Res3Units]])))</f>
        <v>0</v>
      </c>
      <c r="DF31" s="45" t="n">
        <f aca="false">IF(Tasks[[#This Row],[_Res3Work]]=0,0,Tasks[[#This Row],[_Res3Work]]*IFERROR(INDEX(res_Rate,MATCH(Tasks[[#This Row],[_Res3]],res_Name,0)),0))</f>
        <v>0</v>
      </c>
      <c r="DG31" s="45" t="n">
        <f aca="false">IF(AND(AND(Tasks[[#This Row],[_IsLeaf]]=1,Tasks[[#This Row],[_LeafTotalWork]]&gt;0),Tasks[[#This Row],[_Res3Work]]&gt;0),Tasks[[#This Row],[_Res3Work]]/(Tasks[[#This Row],[_FinishWorkday]]-Tasks[[#This Row],[_StartWorkday]]+1),0)</f>
        <v>0</v>
      </c>
      <c r="DH31" s="45" t="n">
        <f aca="false">Tasks[[#This Row],[_Res3WorkPerWD]]*MAX(0,Tasks[[#This Row],[_StartWorkday]]-1)</f>
        <v>0</v>
      </c>
      <c r="DI31" s="45" t="n">
        <f aca="false">Tasks[[#This Row],[_Res3Work]]*Tasks[[#This Row],[_LeafProgress]]</f>
        <v>0</v>
      </c>
      <c r="DJ31" s="45" t="n">
        <f aca="false">IF(Tasks[[#This Row],[_LeafTotalCost]]=0,0,Tasks[[#This Row],[_LeafAC]]*Tasks[[#This Row],[_Res3Cost]]/Tasks[[#This Row],[_LeafTotalCost]])</f>
        <v>0</v>
      </c>
      <c r="DK3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3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31" s="45" t="n">
        <f aca="false">IF(OR(NOT(Tasks[[#This Row],[_IsLeaf]]=1),Tasks[[#This Row],[_Res4]]=""),0,IF(ISNA(MATCH(Tasks[[#This Row],[_Res4]],res_Name,0)),0,N(Tasks[[#This Row],[Duration]])*HoursPerDay*IF(Tasks[[#This Row],[_Res4Units]]="",DefaultUnits,Tasks[[#This Row],[_Res4Units]])))</f>
        <v>0</v>
      </c>
      <c r="DN31" s="45" t="n">
        <f aca="false">IF(Tasks[[#This Row],[_Res4Work]]=0,0,Tasks[[#This Row],[_Res4Work]]*IFERROR(INDEX(res_Rate,MATCH(Tasks[[#This Row],[_Res4]],res_Name,0)),0))</f>
        <v>0</v>
      </c>
      <c r="DO31" s="45" t="n">
        <f aca="false">IF(AND(AND(Tasks[[#This Row],[_IsLeaf]]=1,Tasks[[#This Row],[_LeafTotalWork]]&gt;0),Tasks[[#This Row],[_Res4Work]]&gt;0),Tasks[[#This Row],[_Res4Work]]/(Tasks[[#This Row],[_FinishWorkday]]-Tasks[[#This Row],[_StartWorkday]]+1),0)</f>
        <v>0</v>
      </c>
      <c r="DP31" s="45" t="n">
        <f aca="false">Tasks[[#This Row],[_Res4WorkPerWD]]*MAX(0,Tasks[[#This Row],[_StartWorkday]]-1)</f>
        <v>0</v>
      </c>
      <c r="DQ31" s="45" t="n">
        <f aca="false">Tasks[[#This Row],[_Res4Work]]*Tasks[[#This Row],[_LeafProgress]]</f>
        <v>0</v>
      </c>
      <c r="DR31" s="45" t="n">
        <f aca="false">IF(Tasks[[#This Row],[_LeafTotalCost]]=0,0,Tasks[[#This Row],[_LeafAC]]*Tasks[[#This Row],[_Res4Cost]]/Tasks[[#This Row],[_LeafTotalCost]])</f>
        <v>0</v>
      </c>
      <c r="DS31" s="45" t="n">
        <f aca="false">IF(ISNUMBER(Tasks[[#This Row],[% Complete]]),Tasks[[#This Row],[% Complete]],IF(Tasks[[#This Row],[Stage]]="",0,IFERROR(INDEX(stg_Pct,MATCH(Tasks[[#This Row],[Stage]],stg_Name,0)),0)))</f>
        <v>0</v>
      </c>
      <c r="DT31" s="45" t="n">
        <f aca="false">IF(NOT(Tasks[[#This Row],[_IsLeaf]]=1),0,IF(N(Tasks[[#This Row],[Actual Finish]])&gt;0,1,MIN(1,Tasks[[#This Row],[_Pct]])))</f>
        <v>0</v>
      </c>
      <c r="DU31" s="45" t="n">
        <f aca="false">IF(OR(NOT(Tasks[[#This Row],[_IsLeaf]]=1),Tasks[[#This Row],[_Resource1]]=""),0,IF(ISNA(MATCH(Tasks[[#This Row],[_Resource1]],res_Name,0)),0,N(Tasks[[#This Row],[Duration]])*HoursPerDay*IF(Tasks[[#This Row],[_Units1]]="",DefaultUnits,Tasks[[#This Row],[_Units1]])))</f>
        <v>40</v>
      </c>
      <c r="DV31" s="45" t="n">
        <f aca="false">IF(Tasks[[#This Row],[_LeafWork]]=0,0,Tasks[[#This Row],[_LeafWork]]*IFERROR(INDEX(res_Rate,MATCH(Tasks[[#This Row],[_Resource1]],res_Name,0)),0))</f>
        <v>3400</v>
      </c>
      <c r="DW31" s="45" t="n">
        <f aca="false">Tasks[[#This Row],[_LeafWork]]+Tasks[[#This Row],[_Res2Work]]+Tasks[[#This Row],[_Res3Work]]+Tasks[[#This Row],[_Res4Work]]</f>
        <v>40</v>
      </c>
      <c r="DX31" s="45" t="n">
        <f aca="false">Tasks[[#This Row],[_LeafCost]]+Tasks[[#This Row],[_Res2Cost]]+Tasks[[#This Row],[_Res3Cost]]+Tasks[[#This Row],[_Res4Cost]]</f>
        <v>3400</v>
      </c>
      <c r="DY31" s="45" t="n">
        <f aca="false">IF(Tasks[[#This Row],[_LeafTotalCost]]=0,Tasks[[#This Row],[_LeafAC]],Tasks[[#This Row],[_LeafAC]]*Tasks[[#This Row],[_LeafCost]]/Tasks[[#This Row],[_LeafTotalCost]])</f>
        <v>0</v>
      </c>
      <c r="DZ31"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2912094</v>
      </c>
      <c r="EA3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3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3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31"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3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3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3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31" s="45" t="n">
        <f aca="false">IF(NOT(Tasks[[#This Row],[_IsLeaf]]=1),0,MAX(_xlfn.MAXIFS(Tasks[_Row],Tasks[_Pred1UID],Tasks[[#This Row],[UID]]),_xlfn.MAXIFS(Tasks[_Row],Tasks[_Pred2UID],Tasks[[#This Row],[UID]]),_xlfn.MAXIFS(Tasks[_Row],Tasks[_Pred3UID],Tasks[[#This Row],[UID]]),_xlfn.MAXIFS(Tasks[_Row],Tasks[_Pred4UID],Tasks[[#This Row],[UID]])))</f>
        <v>29</v>
      </c>
      <c r="EI31"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46391</v>
      </c>
      <c r="EJ31"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46391</v>
      </c>
      <c r="EK31" s="74" t="n">
        <f aca="false">IF(NOT(Tasks[[#This Row],[_IsLeaf]]=1),"",IF(N(Tasks[[#This Row],[Duration]])&lt;=0,Tasks[[#This Row],[_LeafLateFinish]],WORKDAY.INTL(Tasks[[#This Row],[_LeafLateFinish]],-(Tasks[[#This Row],[Duration]]-1),WorkWeek,Holidays)))</f>
        <v>46372</v>
      </c>
      <c r="EL31"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M31" s="73" t="b">
        <f aca="false">AND(Tasks[[#This Row],[_IsLeaf]]=1,Tasks[[#This Row],[_LeafProgress]]&lt;1,N(Tasks[[#This Row],[_LeafTotalSlack]])&lt;=CriticalSlackDays)</f>
        <v>1</v>
      </c>
      <c r="EN31" s="45" t="n">
        <f aca="false">IF(AND(Tasks[[#This Row],[_IsLeaf]]=1,Tasks[[#This Row],[_ConstraintCode]]=1,Tasks[[#This Row],[Mode]]&lt;&gt;"Manual",N(Tasks[[#This Row],[Actual Start]])=0),MAX(0,N(Tasks[[#This Row],[Free Slack]])),0)</f>
        <v>0</v>
      </c>
      <c r="EO31" s="74" t="n">
        <f aca="false">IF(NOT(Tasks[[#This Row],[_IsLeaf]]=1),"",IF(Tasks[[#This Row],[_AlapShift]]=0,Tasks[[#This Row],[_LeafCalcStart]],WORKDAY.INTL(Tasks[[#This Row],[_LeafCalcStart]],Tasks[[#This Row],[_AlapShift]],WorkWeek,Holidays)))</f>
        <v>46372</v>
      </c>
      <c r="EP31" s="74" t="n">
        <f aca="false">IF(NOT(Tasks[[#This Row],[_IsLeaf]]=1),"",IF(Tasks[[#This Row],[_AlapShift]]=0,Tasks[[#This Row],[_LeafCalcFinish]],WORKDAY.INTL(Tasks[[#This Row],[_LeafCalcFinish]],Tasks[[#This Row],[_AlapShift]],WorkWeek,Holidays)))</f>
        <v>46391</v>
      </c>
      <c r="EQ31" s="74" t="n">
        <f aca="false">IF(NOT(Tasks[[#This Row],[_IsLeaf]]=1),"",IF(Tasks[[#This Row],[_AlapShift]]=0,Tasks[[#This Row],[_LeafFcstStart]],WORKDAY.INTL(Tasks[[#This Row],[_LeafFcstStart]],Tasks[[#This Row],[_AlapShift]],WorkWeek,Holidays)))</f>
        <v>46372</v>
      </c>
      <c r="ER31" s="74" t="n">
        <f aca="false">IF(NOT(Tasks[[#This Row],[_IsLeaf]]=1),"",IF(Tasks[[#This Row],[_AlapShift]]=0,Tasks[[#This Row],[_LeafFcstFinish]],WORKDAY.INTL(Tasks[[#This Row],[_LeafFcstFinish]],Tasks[[#This Row],[_AlapShift]],WorkWeek,Holidays)))</f>
        <v>46391</v>
      </c>
      <c r="ES31" s="74" t="n">
        <f aca="false">IF(Tasks[[#This Row],[Task Name]]="","",IF(Tasks[[#This Row],[_IsSummary]],MIN(INDEX(Tasks[_ShownCalcStart],Tasks[[#This Row],[_Row]]+1):INDEX(Tasks[_ShownCalcStart],Tasks[[#This Row],[_Row]]+Tasks[[#This Row],[_Descendants]])),Tasks[[#This Row],[_ShownCalcStart]]))</f>
        <v>46372</v>
      </c>
      <c r="ET31" s="74" t="n">
        <f aca="false">IF(Tasks[[#This Row],[Task Name]]="","",IF(Tasks[[#This Row],[_IsSummary]],MAX(INDEX(Tasks[_ShownCalcFinish],Tasks[[#This Row],[_Row]]+1):INDEX(Tasks[_ShownCalcFinish],Tasks[[#This Row],[_Row]]+Tasks[[#This Row],[_Descendants]])),Tasks[[#This Row],[_ShownCalcFinish]]))</f>
        <v>46391</v>
      </c>
      <c r="EU3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3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3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3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3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46372</v>
      </c>
      <c r="EZ3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3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3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3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46372</v>
      </c>
      <c r="FD3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3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3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31" s="45" t="n">
        <f aca="false">IF(AND(Tasks[[#This Row],[_IsLeaf]]=1,Tasks[[#This Row],[_LeafTotalWork]]&gt;0),NETWORKDAYS.INTL(ProjectStart,Tasks[[#This Row],[_ShownFcstStart]],WorkWeek,Holidays),0)</f>
        <v>73</v>
      </c>
      <c r="FH31" s="45" t="n">
        <f aca="false">IF(AND(Tasks[[#This Row],[_IsLeaf]]=1,Tasks[[#This Row],[_LeafTotalWork]]&gt;0),MAX(Tasks[[#This Row],[_StartWorkday]],NETWORKDAYS.INTL(ProjectStart,Tasks[[#This Row],[_ShownFcstFinish]],WorkWeek,Holidays)),0)</f>
        <v>82</v>
      </c>
      <c r="FI31" s="45" t="n">
        <f aca="false">IF(AND(Tasks[[#This Row],[_IsLeaf]]=1,Tasks[[#This Row],[_LeafTotalWork]]&gt;0),Tasks[[#This Row],[_LeafWork]]/(Tasks[[#This Row],[_FinishWorkday]]-Tasks[[#This Row],[_StartWorkday]]+1),0)</f>
        <v>4</v>
      </c>
      <c r="FJ31" s="45" t="n">
        <f aca="false">Tasks[[#This Row],[_WorkPerWorkday]]*(Tasks[[#This Row],[_StartWorkday]]-1)</f>
        <v>288</v>
      </c>
      <c r="FK31" s="45" t="n">
        <f aca="false">IF(Tasks[[#This Row],[_IsLeaf]]=1,MAX(N(Tasks[[#This Row],[Duration]]),0.1),0)</f>
        <v>10</v>
      </c>
      <c r="FL31" s="45" t="n">
        <f aca="false">Tasks[[#This Row],[_WeightDur]]*Tasks[[#This Row],[_LeafProgress]]</f>
        <v>0</v>
      </c>
      <c r="FM3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25</v>
      </c>
      <c r="FN31" s="45" t="str">
        <f aca="false">IF(AND(Tasks[[#This Row],[_IsLeaf]]=1,N(Tasks[[#This Row],[Duration]])=0,Tasks[[#This Row],[_LeafProgress]]&lt;1),Tasks[[#This Row],[_ShownFcstFinish]]+Tasks[[#This Row],[_Row]]/100000,"")</f>
        <v/>
      </c>
      <c r="FO3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31" s="45" t="n">
        <f aca="false">IF(NOT(Tasks[[#This Row],[_IsLeaf]]=1),0,IF(Tasks[[#This Row],[Baseline Cost]]="",Tasks[[#This Row],[_LeafTotalCost]],N(Tasks[[#This Row],[Baseline Cost]])))</f>
        <v>3400</v>
      </c>
      <c r="FQ31" s="45" t="n">
        <f aca="false">Tasks[[#This Row],[_LeafBudget]]*Tasks[[#This Row],[_PlannedPct]]</f>
        <v>0</v>
      </c>
      <c r="FR31" s="45" t="n">
        <f aca="false">Tasks[[#This Row],[_LeafBudget]]*Tasks[[#This Row],[_LeafProgress]]</f>
        <v>0</v>
      </c>
      <c r="FS31" s="45" t="n">
        <f aca="false">IF(NOT(Tasks[[#This Row],[_IsLeaf]]=1),0,IF(Tasks[[#This Row],[Actual Cost]]="",Tasks[[#This Row],[_LeafTotalCost]]*Tasks[[#This Row],[_LeafProgress]],N(Tasks[[#This Row],[Actual Cost]])))</f>
        <v>0</v>
      </c>
      <c r="FT31" s="45" t="str">
        <f aca="false">IF(Tasks[[#This Row],[Task Name]]="","",LEFT(Tasks[[#This Row],[WBS]],FIND(".",Tasks[[#This Row],[WBS]]&amp;".")-1))</f>
        <v>4</v>
      </c>
      <c r="FU31" s="45" t="str">
        <f aca="false">IF(AND(Tasks[[#This Row],[Task Name]]&lt;&gt;"",Tasks[[#This Row],[_Level]]=1),Tasks[[#This Row],[_Row]],"")</f>
        <v/>
      </c>
      <c r="FV31" s="45" t="str">
        <f aca="false">IF(AND(Tasks[[#This Row],[_IsLeaf]]=1,N(Tasks[[#This Row],[Duration]])=0),Tasks[[#This Row],[Planned Finish]]+Tasks[[#This Row],[_Row]]/100000,"")</f>
        <v/>
      </c>
      <c r="FW31" s="45" t="str">
        <f aca="false">IF(AND(Tasks[[#This Row],[_IsLeaf]]=1,Tasks[[#This Row],[_LeafProgress]]&lt;1,OR(N(Tasks[[#This Row],[Finish Var]])&gt;0,Tasks[[#This Row],[Status]]="Late Start")),MAX(0,Tasks[[#This Row],[Finish Var]])+1-Tasks[[#This Row],[_Row]]/1000000,"")</f>
        <v/>
      </c>
      <c r="FX31" s="45" t="str">
        <f aca="false">IF(AND(Tasks[[#This Row],[_IsLeaf]]=1,N(Tasks[[#This Row],[Actual Start]])=0,Tasks[[#This Row],[_ShownFcstStart]]&gt;=StatusDate,Tasks[[#This Row],[_ShownFcstStart]]&lt;=LookaheadEnd),Tasks[[#This Row],[_ShownFcstStart]]+Tasks[[#This Row],[_Row]]/100000,"")</f>
        <v/>
      </c>
      <c r="FY31" s="45" t="str">
        <f aca="false">IF(AND(Tasks[[#This Row],[_IsLeaf]]=1,Tasks[[#This Row],[_LeafProgress]]&lt;1,Tasks[[#This Row],[_ShownFcstFinish]]&gt;=StatusDate,Tasks[[#This Row],[_ShownFcstFinish]]&lt;=LookaheadEnd),Tasks[[#This Row],[_ShownFcstFinish]]+Tasks[[#This Row],[_Row]]/100000,"")</f>
        <v/>
      </c>
      <c r="FZ31" s="77" t="n">
        <f aca="false">IF(Tasks[[#This Row],[_LeafCritical]],Tasks[[#This Row],[_ShownFcstStart]]+Tasks[[#This Row],[_Row]]/100000,"")</f>
        <v>46372.00026</v>
      </c>
      <c r="GA31" s="45" t="n">
        <f aca="false">Tasks[[#This Row],[_LeafWork]]*Tasks[[#This Row],[_LeafProgress]]</f>
        <v>0</v>
      </c>
      <c r="GB31" s="74" t="str">
        <f aca="false">IF(AND(Tasks[[#This Row],[_IsLeaf]]=1,Tasks[[#This Row],[_LeafProgress]]&gt;=1),IF(N(Tasks[[#This Row],[Actual Finish]])&gt;0,Tasks[[#This Row],[Actual Finish]],Tasks[[#This Row],[_ShownFcstFinish]]),"")</f>
        <v/>
      </c>
    </row>
    <row r="32" customFormat="false" ht="15" hidden="false" customHeight="false" outlineLevel="0" collapsed="false">
      <c r="A32" s="67" t="n">
        <f aca="false">IF(Tasks[[#This Row],[Task Name]]="","",COUNTA(Tasks[[#Headers],[Task Name]]:Tasks[[#This Row],[Task Name]])-1)</f>
        <v>27</v>
      </c>
      <c r="B32" s="21" t="n">
        <v>27</v>
      </c>
      <c r="C3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v>
      </c>
      <c r="D32" s="21" t="n">
        <v>1</v>
      </c>
      <c r="E32" s="22" t="s">
        <v>565</v>
      </c>
      <c r="F32" s="21"/>
      <c r="G32" s="22"/>
      <c r="H32" s="22"/>
      <c r="I32" s="22"/>
      <c r="J32" s="7"/>
      <c r="K32" s="7"/>
      <c r="L32" s="22"/>
      <c r="M32" s="58" t="n">
        <f aca="false">IF(Tasks[[#This Row],[Task Name]]="","",IF(Tasks[[#This Row],[_IsSummary]],MIN(INDEX(Tasks[_ShownFcstStart],Tasks[[#This Row],[_Row]]+1):INDEX(Tasks[_ShownFcstStart],Tasks[[#This Row],[_Row]]+Tasks[[#This Row],[_Descendants]])),Tasks[[#This Row],[_ShownFcstStart]]))</f>
        <v>46342</v>
      </c>
      <c r="N32" s="58" t="n">
        <f aca="false">IF(Tasks[[#This Row],[Task Name]]="","",IF(Tasks[[#This Row],[_IsSummary]],MAX(INDEX(Tasks[_ShownFcstFinish],Tasks[[#This Row],[_Row]]+1):INDEX(Tasks[_ShownFcstFinish],Tasks[[#This Row],[_Row]]+Tasks[[#This Row],[_Descendants]])),Tasks[[#This Row],[_ShownFcstFinish]]))</f>
        <v>46393</v>
      </c>
      <c r="O32" s="20" t="str">
        <f aca="false">IF(Tasks[[#This Row],[Task Name]]="","",IF(Tasks[[#This Row],[Progress]]&gt;=1,"Complete",IF(OR(N(Tasks[[#This Row],[Actual Start]])&gt;0,Tasks[[#This Row],[Progress]]&gt;0),IF(Tasks[[#This Row],[Finish Var]]&gt;0,"Behind","In Progress"),IF(Tasks[[#This Row],[Planned Start]]&lt;StatusDate,"Late Start","Not Started"))))</f>
        <v>Not Started</v>
      </c>
      <c r="P32" s="20" t="str">
        <f aca="false">IF(Tasks[[#This Row],[Task Name]]="","",IF(IF(Tasks[[#This Row],[_IsSummary]],COUNTIF(INDEX(Tasks[_LeafCritical],Tasks[[#This Row],[_Row]]+1):INDEX(Tasks[_LeafCritical],Tasks[[#This Row],[_Row]]+Tasks[[#This Row],[_Descendants]]),TRUE())&gt;0,Tasks[[#This Row],[_LeafCritical]]),"Yes",""))</f>
        <v>Yes</v>
      </c>
      <c r="Q3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32" s="67" t="str">
        <f aca="false">IF(Tasks[[#This Row],[Task Name]]="","",IF(Tasks[[#This Row],[_Level]]&lt;=OutlineShowLevel,"Yes","No"))</f>
        <v>Yes</v>
      </c>
      <c r="S32" s="7"/>
      <c r="T32" s="21" t="s">
        <v>195</v>
      </c>
      <c r="U32" s="22"/>
      <c r="V32" s="7"/>
      <c r="W32" s="67" t="n">
        <f aca="false">IF(Tasks[[#This Row],[Task Name]]="","",IF(Tasks[[#This Row],[Finish]]&gt;=Tasks[[#This Row],[Planned Finish]],NETWORKDAYS.INTL(Tasks[[#This Row],[Planned Finish]],Tasks[[#This Row],[Finish]],WorkWeek,Holidays)-1,1-NETWORKDAYS.INTL(Tasks[[#This Row],[Finish]],Tasks[[#This Row],[Planned Finish]],WorkWeek,Holidays)))</f>
        <v>0</v>
      </c>
      <c r="X32" s="58" t="n">
        <f aca="false">IF(Tasks[[#This Row],[Task Name]]="","",IF(N(Tasks[[#This Row],[Baseline Start]])&gt;0,Tasks[[#This Row],[Baseline Start]],Tasks[[#This Row],[_CalcStart]]))</f>
        <v>46342</v>
      </c>
      <c r="Y32" s="58" t="n">
        <f aca="false">IF(Tasks[[#This Row],[Task Name]]="","",IF(N(Tasks[[#This Row],[Baseline Finish]])&gt;0,Tasks[[#This Row],[Baseline Finish]],Tasks[[#This Row],[_CalcFinish]]))</f>
        <v>46393</v>
      </c>
      <c r="Z32" s="67" t="n">
        <f aca="false">IF(Tasks[[#This Row],[Task Name]]="","",IF(Tasks[[#This Row],[Start]]&gt;=Tasks[[#This Row],[Planned Start]],NETWORKDAYS.INTL(Tasks[[#This Row],[Planned Start]],Tasks[[#This Row],[Start]],WorkWeek,Holidays)-1,1-NETWORKDAYS.INTL(Tasks[[#This Row],[Start]],Tasks[[#This Row],[Planned Start]],WorkWeek,Holidays)))</f>
        <v>0</v>
      </c>
      <c r="AA32" s="58" t="n">
        <f aca="false">IF(Tasks[[#This Row],[Task Name]]="","",IF(Tasks[[#This Row],[_IsSummary]],MIN(INDEX(Tasks[_LeafLateStart],Tasks[[#This Row],[_Row]]+1):INDEX(Tasks[_LeafLateStart],Tasks[[#This Row],[_Row]]+Tasks[[#This Row],[_Descendants]])),Tasks[[#This Row],[_LeafLateStart]]))</f>
        <v>46392</v>
      </c>
      <c r="AB32" s="58" t="n">
        <f aca="false">IF(Tasks[[#This Row],[Task Name]]="","",IF(Tasks[[#This Row],[_IsSummary]],MAX(INDEX(Tasks[_LeafLateFinish],Tasks[[#This Row],[_Row]]+1):INDEX(Tasks[_LeafLateFinish],Tasks[[#This Row],[_Row]]+Tasks[[#This Row],[_Descendants]])),Tasks[[#This Row],[_LeafLateFinish]]))</f>
        <v>46393</v>
      </c>
      <c r="AC32" s="67" t="n">
        <f aca="false">IF(Tasks[[#This Row],[Task Name]]="","",IF(Tasks[[#This Row],[_IsSummary]],MIN(INDEX(Tasks[_LeafTotalSlack],Tasks[[#This Row],[_Row]]+1):INDEX(Tasks[_LeafTotalSlack],Tasks[[#This Row],[_Row]]+Tasks[[#This Row],[_Descendants]])),Tasks[[#This Row],[_LeafTotalSlack]]))</f>
        <v>0</v>
      </c>
      <c r="AD3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3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3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32" s="60"/>
      <c r="AH32"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I3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32" s="69" t="n">
        <f aca="false">IF(Tasks[[#This Row],[Task Name]]="","",IF(Tasks[[#This Row],[_IsSummary]],SUM(INDEX(Tasks[_LeafTotalWork],Tasks[[#This Row],[_Row]]+1):INDEX(Tasks[_LeafTotalWork],Tasks[[#This Row],[_Row]]+Tasks[[#This Row],[_Descendants]])),Tasks[[#This Row],[_LeafTotalWork]]))</f>
        <v>24</v>
      </c>
      <c r="AK3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32" s="70" t="n">
        <f aca="false">IF(Tasks[[#This Row],[Task Name]]="","",IF(Tasks[[#This Row],[_IsSummary]],SUM(INDEX(Tasks[_LeafTotalCost],Tasks[[#This Row],[_Row]]+1):INDEX(Tasks[_LeafTotalCost],Tasks[[#This Row],[_Row]]+Tasks[[#This Row],[_Descendants]])),Tasks[[#This Row],[_LeafTotalCost]]))</f>
        <v>2280</v>
      </c>
      <c r="AM32" s="71"/>
      <c r="AN32" s="20" t="str">
        <f aca="false">IF(OR(Tasks[[#This Row],[Task Name]]="",Tasks[[#This Row],[Baseline Duration]]=""),"",Tasks[[#This Row],[BL Source Duration]]-N(Tasks[[#This Row],[Baseline Duration]]))</f>
        <v/>
      </c>
      <c r="AO32" s="69" t="str">
        <f aca="false">IF(OR(Tasks[[#This Row],[Task Name]]="",Tasks[[#This Row],[Baseline Work]]=""),"",Tasks[[#This Row],[Work]]-N(Tasks[[#This Row],[Baseline Work]]))</f>
        <v/>
      </c>
      <c r="AP32" s="70" t="str">
        <f aca="false">IF(OR(Tasks[[#This Row],[Task Name]]="",Tasks[[#This Row],[Baseline Cost]]=""),"",Tasks[[#This Row],[Cost]]-N(Tasks[[#This Row],[Baseline Cost]]))</f>
        <v/>
      </c>
      <c r="AQ32" s="58" t="n">
        <f aca="false">IF(Tasks[[#This Row],[Task Name]]="","",Tasks[[#This Row],[Start]])</f>
        <v>46342</v>
      </c>
      <c r="AR32" s="58" t="n">
        <f aca="false">IF(Tasks[[#This Row],[Task Name]]="","",Tasks[[#This Row],[Finish]])</f>
        <v>46393</v>
      </c>
      <c r="AS32" s="67" t="n">
        <f aca="false">IF(Tasks[[#This Row],[Task Name]]="","",IF(Tasks[[#This Row],[_IsSummary]],NETWORKDAYS.INTL(Tasks[[#This Row],[Start]],Tasks[[#This Row],[Finish]],WorkWeek,Holidays),N(Tasks[[#This Row],[Duration]])))</f>
        <v>34</v>
      </c>
      <c r="AT32" s="69" t="n">
        <f aca="false">IF(Tasks[[#This Row],[Task Name]]="","",Tasks[[#This Row],[Work]])</f>
        <v>24</v>
      </c>
      <c r="AU32" s="70" t="n">
        <f aca="false">IF(Tasks[[#This Row],[Task Name]]="","",Tasks[[#This Row],[Cost]])</f>
        <v>2280</v>
      </c>
      <c r="AV32" s="7"/>
      <c r="AW32" s="7"/>
      <c r="AX32" s="21"/>
      <c r="AY32" s="72"/>
      <c r="AZ32" s="71"/>
      <c r="BA32" s="70" t="n">
        <f aca="false">IF(Tasks[[#This Row],[Task Name]]="","",IF(Tasks[[#This Row],[_IsSummary]],SUM(INDEX(Tasks[_LeafEV],Tasks[[#This Row],[_Row]]+1):INDEX(Tasks[_LeafEV],Tasks[[#This Row],[_Row]]+Tasks[[#This Row],[_Descendants]])),Tasks[[#This Row],[_LeafEV]]))</f>
        <v>0</v>
      </c>
      <c r="BB32" s="70" t="n">
        <f aca="false">IF(Tasks[[#This Row],[Task Name]]="","",IF(Tasks[[#This Row],[_IsSummary]],SUM(INDEX(Tasks[_LeafBudget],Tasks[[#This Row],[_Row]]+1):INDEX(Tasks[_LeafBudget],Tasks[[#This Row],[_Row]]+Tasks[[#This Row],[_Descendants]])),Tasks[[#This Row],[_LeafBudget]]))</f>
        <v>2280</v>
      </c>
      <c r="BC32" s="70" t="n">
        <f aca="false">IF(Tasks[[#This Row],[Task Name]]="","",IF(Tasks[[#This Row],[_IsSummary]],SUM(INDEX(Tasks[_LeafPV],Tasks[[#This Row],[_Row]]+1):INDEX(Tasks[_LeafPV],Tasks[[#This Row],[_Row]]+Tasks[[#This Row],[_Descendants]])),Tasks[[#This Row],[_LeafPV]]))</f>
        <v>0</v>
      </c>
      <c r="BD32" s="70" t="n">
        <f aca="false">IF(Tasks[[#This Row],[Task Name]]="","",IF(Tasks[[#This Row],[_IsSummary]],SUM(INDEX(Tasks[_LeafAC],Tasks[[#This Row],[_Row]]+1):INDEX(Tasks[_LeafAC],Tasks[[#This Row],[_Row]]+Tasks[[#This Row],[_Descendants]])),Tasks[[#This Row],[_LeafAC]]))</f>
        <v>0</v>
      </c>
      <c r="BE32" s="45" t="n">
        <f aca="false">IF(Tasks[[#This Row],[Task Name]]="","",MAX(1,N(Tasks[[#This Row],[Level]])))</f>
        <v>1</v>
      </c>
      <c r="BF32" s="45" t="n">
        <f aca="false">ROW()-ROW(Tasks[[#Headers],[ID]])</f>
        <v>27</v>
      </c>
      <c r="BG32" s="45" t="n">
        <f aca="false">IF(OR(Tasks[[#This Row],[Task Name]]="",Tasks[[#This Row],[_Level]]&lt;=1),0,IFERROR(LOOKUP(2,1/(Tasks[[#Headers],[_Level]]:Tasks[[#This Row],[_Level]]=Tasks[[#This Row],[_Level]]-1),ROW(Tasks[[#Headers],[_Level]]:Tasks[[#This Row],[_Level]])),0))</f>
        <v>0</v>
      </c>
      <c r="BH32" s="45" t="n">
        <f aca="false">IFERROR(N(INDEX(Tasks[_Level],Tasks[[#This Row],[_Row]]+1)),0)</f>
        <v>2</v>
      </c>
      <c r="BI32" s="73" t="b">
        <f aca="false">AND(Tasks[[#This Row],[Task Name]]&lt;&gt;"",Tasks[[#This Row],[_NextLevel]]&gt;Tasks[[#This Row],[_Level]])</f>
        <v>1</v>
      </c>
      <c r="BJ32" s="45" t="n">
        <f aca="false">IF(Tasks[[#This Row],[_IsSummary]],COUNTIF(Tasks[WBS],Tasks[[#This Row],[WBS]]&amp;".*"),0)</f>
        <v>3</v>
      </c>
      <c r="BK32" s="45" t="n">
        <f aca="false">IF(AND(Tasks[[#This Row],[Task Name]]&lt;&gt;"",NOT(Tasks[[#This Row],[_IsSummary]])),1,0)</f>
        <v>0</v>
      </c>
      <c r="BL32" s="45" t="n">
        <f aca="false">IF(N(Tasks[[#This Row],[_Pred1UID]])=0,0,IFERROR(MATCH(Tasks[[#This Row],[_Pred1UID]],Tasks[UID],0),-1))</f>
        <v>0</v>
      </c>
      <c r="BM32" s="45" t="n">
        <f aca="false">IF(N(Tasks[[#This Row],[_Pred2UID]])=0,0,IFERROR(MATCH(Tasks[[#This Row],[_Pred2UID]],Tasks[UID],0),-1))</f>
        <v>0</v>
      </c>
      <c r="BN32" s="45" t="n">
        <f aca="false">IF(N(Tasks[[#This Row],[_Pred3UID]])=0,0,IFERROR(MATCH(Tasks[[#This Row],[_Pred3UID]],Tasks[UID],0),-1))</f>
        <v>0</v>
      </c>
      <c r="BO32" s="45" t="n">
        <f aca="false">IF(N(Tasks[[#This Row],[_Pred4UID]])=0,0,IFERROR(MATCH(Tasks[[#This Row],[_Pred4UID]],Tasks[UID],0),-1))</f>
        <v>0</v>
      </c>
      <c r="BP3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3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32" s="74" t="n">
        <f aca="false">IF(OR(Tasks[[#This Row],[_ConstraintCode]]=2,Tasks[[#This Row],[_ConstraintCode]]=3,Tasks[[#This Row],[_ConstraintCode]]=4,Tasks[[#This Row],[_ConstraintCode]]=6),Tasks[[#This Row],[_ConstraintStart]],0)</f>
        <v>0</v>
      </c>
      <c r="BS32" s="74" t="n">
        <f aca="false">IF(OR(Tasks[[#This Row],[_ConstraintCode]]=2,Tasks[[#This Row],[_ConstraintCode]]=3,Tasks[[#This Row],[_ConstraintCode]]=5,Tasks[[#This Row],[_ConstraintCode]]=7),Tasks[[#This Row],[_ConstraintStart]],2958465)</f>
        <v>2958465</v>
      </c>
      <c r="BT3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32" s="74" t="str">
        <f aca="false">IF(NOT(Tasks[[#This Row],[_IsLeaf]]=1),"",IF(N(Tasks[[#This Row],[Duration]])&lt;=0,Tasks[[#This Row],[_LeafCalcStart]],WORKDAY.INTL(Tasks[[#This Row],[_LeafCalcStart]],Tasks[[#This Row],[Duration]]-1,WorkWeek,Holidays)))</f>
        <v/>
      </c>
      <c r="BV3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3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32" s="45" t="str">
        <f aca="false">IF(Tasks[[#This Row],[Predecessors]]="","",TRIM(MID(SUBSTITUTE(SUBSTITUTE(SUBSTITUTE(UPPER(Tasks[[#This Row],[Predecessors]]),";",",")," ",""),",",REPT(" ",99)),1,99)))</f>
        <v/>
      </c>
      <c r="BY32" s="45" t="str">
        <f aca="false">IF(Tasks[[#This Row],[_Pred1Text]]="","",IFERROR(VALUE(LEFT(Tasks[[#This Row],[_Pred1Text]],MIN(FIND("F",Tasks[[#This Row],[_Pred1Text]]&amp;"F"),FIND("S",Tasks[[#This Row],[_Pred1Text]]&amp;"S"),FIND("+",Tasks[[#This Row],[_Pred1Text]]&amp;"+"),FIND("-",Tasks[[#This Row],[_Pred1Text]]&amp;"-"))-1)),""))</f>
        <v/>
      </c>
      <c r="BZ3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3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32" s="45" t="str">
        <f aca="false">IF(Tasks[[#This Row],[_Pred1Text]]="","",TRIM(MID(SUBSTITUTE(SUBSTITUTE(SUBSTITUTE(UPPER(Tasks[[#This Row],[Predecessors]]),";",",")," ",""),",",REPT(" ",99)),100,99)))</f>
        <v/>
      </c>
      <c r="CC32" s="45" t="str">
        <f aca="false">IF(Tasks[[#This Row],[_Pred2Text]]="","",IFERROR(VALUE(LEFT(Tasks[[#This Row],[_Pred2Text]],MIN(FIND("F",Tasks[[#This Row],[_Pred2Text]]&amp;"F"),FIND("S",Tasks[[#This Row],[_Pred2Text]]&amp;"S"),FIND("+",Tasks[[#This Row],[_Pred2Text]]&amp;"+"),FIND("-",Tasks[[#This Row],[_Pred2Text]]&amp;"-"))-1)),""))</f>
        <v/>
      </c>
      <c r="CD3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3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32" s="45" t="str">
        <f aca="false">IF(Tasks[[#This Row],[_Pred2Text]]="","",TRIM(MID(SUBSTITUTE(SUBSTITUTE(SUBSTITUTE(UPPER(Tasks[[#This Row],[Predecessors]]),";",",")," ",""),",",REPT(" ",99)),199,99)))</f>
        <v/>
      </c>
      <c r="CG32" s="45" t="str">
        <f aca="false">IF(Tasks[[#This Row],[_Pred3Text]]="","",IFERROR(VALUE(LEFT(Tasks[[#This Row],[_Pred3Text]],MIN(FIND("F",Tasks[[#This Row],[_Pred3Text]]&amp;"F"),FIND("S",Tasks[[#This Row],[_Pred3Text]]&amp;"S"),FIND("+",Tasks[[#This Row],[_Pred3Text]]&amp;"+"),FIND("-",Tasks[[#This Row],[_Pred3Text]]&amp;"-"))-1)),""))</f>
        <v/>
      </c>
      <c r="CH3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3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32" s="45" t="str">
        <f aca="false">IF(Tasks[[#This Row],[_Pred3Text]]="","",TRIM(MID(SUBSTITUTE(SUBSTITUTE(SUBSTITUTE(UPPER(Tasks[[#This Row],[Predecessors]]),";",",")," ",""),",",REPT(" ",99)),298,99)))</f>
        <v/>
      </c>
      <c r="CK32" s="45" t="str">
        <f aca="false">IF(Tasks[[#This Row],[_Pred4Text]]="","",IFERROR(VALUE(LEFT(Tasks[[#This Row],[_Pred4Text]],MIN(FIND("F",Tasks[[#This Row],[_Pred4Text]]&amp;"F"),FIND("S",Tasks[[#This Row],[_Pred4Text]]&amp;"S"),FIND("+",Tasks[[#This Row],[_Pred4Text]]&amp;"+"),FIND("-",Tasks[[#This Row],[_Pred4Text]]&amp;"-"))-1)),""))</f>
        <v/>
      </c>
      <c r="CL3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3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32" s="45" t="str">
        <f aca="false">IF(OR(Tasks[[#This Row],[Task Name]]="",Tasks[[#This Row],[Resources]]=""),"",TRIM(MID(SUBSTITUTE(Tasks[[#This Row],[Resources]],",",REPT(" ",99)),1,99)))</f>
        <v/>
      </c>
      <c r="CO32" s="45" t="str">
        <f aca="false">IF(Tasks[[#This Row],[_Res1Text]]="","",TRIM(MID(SUBSTITUTE(Tasks[[#This Row],[Resources]],",",REPT(" ",99)),100,99)))</f>
        <v/>
      </c>
      <c r="CP32" s="45" t="str">
        <f aca="false">IF(Tasks[[#This Row],[_Res2Text]]="","",TRIM(MID(SUBSTITUTE(Tasks[[#This Row],[Resources]],",",REPT(" ",99)),199,99)))</f>
        <v/>
      </c>
      <c r="CQ32" s="45" t="str">
        <f aca="false">IF(Tasks[[#This Row],[_Res3Text]]="","",TRIM(MID(SUBSTITUTE(Tasks[[#This Row],[Resources]],",",REPT(" ",99)),298,99)))</f>
        <v/>
      </c>
      <c r="CR3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3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2" s="45" t="n">
        <f aca="false">IF(NOT(Tasks[[#This Row],[_IsLeaf]]=1),0,(Tasks[[#This Row],[_Resource1]]&lt;&gt;"")+(Tasks[[#This Row],[_Res2]]&lt;&gt;"")+(Tasks[[#This Row],[_Res3]]&lt;&gt;"")+(Tasks[[#This Row],[_Res4]]&lt;&gt;""))</f>
        <v>0</v>
      </c>
      <c r="CU3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3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2" s="45" t="n">
        <f aca="false">IF(OR(NOT(Tasks[[#This Row],[_IsLeaf]]=1),Tasks[[#This Row],[_Res2]]=""),0,IF(ISNA(MATCH(Tasks[[#This Row],[_Res2]],res_Name,0)),0,N(Tasks[[#This Row],[Duration]])*HoursPerDay*IF(Tasks[[#This Row],[_Res2Units]]="",DefaultUnits,Tasks[[#This Row],[_Res2Units]])))</f>
        <v>0</v>
      </c>
      <c r="CX32" s="45" t="n">
        <f aca="false">IF(Tasks[[#This Row],[_Res2Work]]=0,0,Tasks[[#This Row],[_Res2Work]]*IFERROR(INDEX(res_Rate,MATCH(Tasks[[#This Row],[_Res2]],res_Name,0)),0))</f>
        <v>0</v>
      </c>
      <c r="CY32" s="45" t="n">
        <f aca="false">IF(AND(AND(Tasks[[#This Row],[_IsLeaf]]=1,Tasks[[#This Row],[_LeafTotalWork]]&gt;0),Tasks[[#This Row],[_Res2Work]]&gt;0),Tasks[[#This Row],[_Res2Work]]/(Tasks[[#This Row],[_FinishWorkday]]-Tasks[[#This Row],[_StartWorkday]]+1),0)</f>
        <v>0</v>
      </c>
      <c r="CZ32" s="45" t="n">
        <f aca="false">Tasks[[#This Row],[_Res2WorkPerWD]]*MAX(0,Tasks[[#This Row],[_StartWorkday]]-1)</f>
        <v>0</v>
      </c>
      <c r="DA32" s="45" t="n">
        <f aca="false">Tasks[[#This Row],[_Res2Work]]*Tasks[[#This Row],[_LeafProgress]]</f>
        <v>0</v>
      </c>
      <c r="DB32" s="45" t="n">
        <f aca="false">IF(Tasks[[#This Row],[_LeafTotalCost]]=0,0,Tasks[[#This Row],[_LeafAC]]*Tasks[[#This Row],[_Res2Cost]]/Tasks[[#This Row],[_LeafTotalCost]])</f>
        <v>0</v>
      </c>
      <c r="DC3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3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32" s="45" t="n">
        <f aca="false">IF(OR(NOT(Tasks[[#This Row],[_IsLeaf]]=1),Tasks[[#This Row],[_Res3]]=""),0,IF(ISNA(MATCH(Tasks[[#This Row],[_Res3]],res_Name,0)),0,N(Tasks[[#This Row],[Duration]])*HoursPerDay*IF(Tasks[[#This Row],[_Res3Units]]="",DefaultUnits,Tasks[[#This Row],[_Res3Units]])))</f>
        <v>0</v>
      </c>
      <c r="DF32" s="45" t="n">
        <f aca="false">IF(Tasks[[#This Row],[_Res3Work]]=0,0,Tasks[[#This Row],[_Res3Work]]*IFERROR(INDEX(res_Rate,MATCH(Tasks[[#This Row],[_Res3]],res_Name,0)),0))</f>
        <v>0</v>
      </c>
      <c r="DG32" s="45" t="n">
        <f aca="false">IF(AND(AND(Tasks[[#This Row],[_IsLeaf]]=1,Tasks[[#This Row],[_LeafTotalWork]]&gt;0),Tasks[[#This Row],[_Res3Work]]&gt;0),Tasks[[#This Row],[_Res3Work]]/(Tasks[[#This Row],[_FinishWorkday]]-Tasks[[#This Row],[_StartWorkday]]+1),0)</f>
        <v>0</v>
      </c>
      <c r="DH32" s="45" t="n">
        <f aca="false">Tasks[[#This Row],[_Res3WorkPerWD]]*MAX(0,Tasks[[#This Row],[_StartWorkday]]-1)</f>
        <v>0</v>
      </c>
      <c r="DI32" s="45" t="n">
        <f aca="false">Tasks[[#This Row],[_Res3Work]]*Tasks[[#This Row],[_LeafProgress]]</f>
        <v>0</v>
      </c>
      <c r="DJ32" s="45" t="n">
        <f aca="false">IF(Tasks[[#This Row],[_LeafTotalCost]]=0,0,Tasks[[#This Row],[_LeafAC]]*Tasks[[#This Row],[_Res3Cost]]/Tasks[[#This Row],[_LeafTotalCost]])</f>
        <v>0</v>
      </c>
      <c r="DK3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3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32" s="45" t="n">
        <f aca="false">IF(OR(NOT(Tasks[[#This Row],[_IsLeaf]]=1),Tasks[[#This Row],[_Res4]]=""),0,IF(ISNA(MATCH(Tasks[[#This Row],[_Res4]],res_Name,0)),0,N(Tasks[[#This Row],[Duration]])*HoursPerDay*IF(Tasks[[#This Row],[_Res4Units]]="",DefaultUnits,Tasks[[#This Row],[_Res4Units]])))</f>
        <v>0</v>
      </c>
      <c r="DN32" s="45" t="n">
        <f aca="false">IF(Tasks[[#This Row],[_Res4Work]]=0,0,Tasks[[#This Row],[_Res4Work]]*IFERROR(INDEX(res_Rate,MATCH(Tasks[[#This Row],[_Res4]],res_Name,0)),0))</f>
        <v>0</v>
      </c>
      <c r="DO32" s="45" t="n">
        <f aca="false">IF(AND(AND(Tasks[[#This Row],[_IsLeaf]]=1,Tasks[[#This Row],[_LeafTotalWork]]&gt;0),Tasks[[#This Row],[_Res4Work]]&gt;0),Tasks[[#This Row],[_Res4Work]]/(Tasks[[#This Row],[_FinishWorkday]]-Tasks[[#This Row],[_StartWorkday]]+1),0)</f>
        <v>0</v>
      </c>
      <c r="DP32" s="45" t="n">
        <f aca="false">Tasks[[#This Row],[_Res4WorkPerWD]]*MAX(0,Tasks[[#This Row],[_StartWorkday]]-1)</f>
        <v>0</v>
      </c>
      <c r="DQ32" s="45" t="n">
        <f aca="false">Tasks[[#This Row],[_Res4Work]]*Tasks[[#This Row],[_LeafProgress]]</f>
        <v>0</v>
      </c>
      <c r="DR32" s="45" t="n">
        <f aca="false">IF(Tasks[[#This Row],[_LeafTotalCost]]=0,0,Tasks[[#This Row],[_LeafAC]]*Tasks[[#This Row],[_Res4Cost]]/Tasks[[#This Row],[_LeafTotalCost]])</f>
        <v>0</v>
      </c>
      <c r="DS32" s="45" t="n">
        <f aca="false">IF(ISNUMBER(Tasks[[#This Row],[% Complete]]),Tasks[[#This Row],[% Complete]],IF(Tasks[[#This Row],[Stage]]="",0,IFERROR(INDEX(stg_Pct,MATCH(Tasks[[#This Row],[Stage]],stg_Name,0)),0)))</f>
        <v>0</v>
      </c>
      <c r="DT32" s="45" t="n">
        <f aca="false">IF(NOT(Tasks[[#This Row],[_IsLeaf]]=1),0,IF(N(Tasks[[#This Row],[Actual Finish]])&gt;0,1,MIN(1,Tasks[[#This Row],[_Pct]])))</f>
        <v>0</v>
      </c>
      <c r="DU32" s="45" t="n">
        <f aca="false">IF(OR(NOT(Tasks[[#This Row],[_IsLeaf]]=1),Tasks[[#This Row],[_Resource1]]=""),0,IF(ISNA(MATCH(Tasks[[#This Row],[_Resource1]],res_Name,0)),0,N(Tasks[[#This Row],[Duration]])*HoursPerDay*IF(Tasks[[#This Row],[_Units1]]="",DefaultUnits,Tasks[[#This Row],[_Units1]])))</f>
        <v>0</v>
      </c>
      <c r="DV32" s="45" t="n">
        <f aca="false">IF(Tasks[[#This Row],[_LeafWork]]=0,0,Tasks[[#This Row],[_LeafWork]]*IFERROR(INDEX(res_Rate,MATCH(Tasks[[#This Row],[_Resource1]],res_Name,0)),0))</f>
        <v>0</v>
      </c>
      <c r="DW32" s="45" t="n">
        <f aca="false">Tasks[[#This Row],[_LeafWork]]+Tasks[[#This Row],[_Res2Work]]+Tasks[[#This Row],[_Res3Work]]+Tasks[[#This Row],[_Res4Work]]</f>
        <v>0</v>
      </c>
      <c r="DX32" s="45" t="n">
        <f aca="false">Tasks[[#This Row],[_LeafCost]]+Tasks[[#This Row],[_Res2Cost]]+Tasks[[#This Row],[_Res3Cost]]+Tasks[[#This Row],[_Res4Cost]]</f>
        <v>0</v>
      </c>
      <c r="DY32" s="45" t="n">
        <f aca="false">IF(Tasks[[#This Row],[_LeafTotalCost]]=0,Tasks[[#This Row],[_LeafAC]],Tasks[[#This Row],[_LeafAC]]*Tasks[[#This Row],[_LeafCost]]/Tasks[[#This Row],[_LeafTotalCost]])</f>
        <v>0</v>
      </c>
      <c r="DZ3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3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3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3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3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3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3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3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32" s="45" t="n">
        <f aca="false">IF(NOT(Tasks[[#This Row],[_IsLeaf]]=1),0,MAX(_xlfn.MAXIFS(Tasks[_Row],Tasks[_Pred1UID],Tasks[[#This Row],[UID]]),_xlfn.MAXIFS(Tasks[_Row],Tasks[_Pred2UID],Tasks[[#This Row],[UID]]),_xlfn.MAXIFS(Tasks[_Row],Tasks[_Pred3UID],Tasks[[#This Row],[UID]]),_xlfn.MAXIFS(Tasks[_Row],Tasks[_Pred4UID],Tasks[[#This Row],[UID]])))</f>
        <v>0</v>
      </c>
      <c r="EI3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3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32" s="74" t="str">
        <f aca="false">IF(NOT(Tasks[[#This Row],[_IsLeaf]]=1),"",IF(N(Tasks[[#This Row],[Duration]])&lt;=0,Tasks[[#This Row],[_LeafLateFinish]],WORKDAY.INTL(Tasks[[#This Row],[_LeafLateFinish]],-(Tasks[[#This Row],[Duration]]-1),WorkWeek,Holidays)))</f>
        <v/>
      </c>
      <c r="EL3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32" s="73" t="b">
        <f aca="false">AND(Tasks[[#This Row],[_IsLeaf]]=1,Tasks[[#This Row],[_LeafProgress]]&lt;1,N(Tasks[[#This Row],[_LeafTotalSlack]])&lt;=CriticalSlackDays)</f>
        <v>0</v>
      </c>
      <c r="EN32" s="45" t="n">
        <f aca="false">IF(AND(Tasks[[#This Row],[_IsLeaf]]=1,Tasks[[#This Row],[_ConstraintCode]]=1,Tasks[[#This Row],[Mode]]&lt;&gt;"Manual",N(Tasks[[#This Row],[Actual Start]])=0),MAX(0,N(Tasks[[#This Row],[Free Slack]])),0)</f>
        <v>0</v>
      </c>
      <c r="EO32" s="74" t="str">
        <f aca="false">IF(NOT(Tasks[[#This Row],[_IsLeaf]]=1),"",IF(Tasks[[#This Row],[_AlapShift]]=0,Tasks[[#This Row],[_LeafCalcStart]],WORKDAY.INTL(Tasks[[#This Row],[_LeafCalcStart]],Tasks[[#This Row],[_AlapShift]],WorkWeek,Holidays)))</f>
        <v/>
      </c>
      <c r="EP32" s="74" t="str">
        <f aca="false">IF(NOT(Tasks[[#This Row],[_IsLeaf]]=1),"",IF(Tasks[[#This Row],[_AlapShift]]=0,Tasks[[#This Row],[_LeafCalcFinish]],WORKDAY.INTL(Tasks[[#This Row],[_LeafCalcFinish]],Tasks[[#This Row],[_AlapShift]],WorkWeek,Holidays)))</f>
        <v/>
      </c>
      <c r="EQ32" s="74" t="str">
        <f aca="false">IF(NOT(Tasks[[#This Row],[_IsLeaf]]=1),"",IF(Tasks[[#This Row],[_AlapShift]]=0,Tasks[[#This Row],[_LeafFcstStart]],WORKDAY.INTL(Tasks[[#This Row],[_LeafFcstStart]],Tasks[[#This Row],[_AlapShift]],WorkWeek,Holidays)))</f>
        <v/>
      </c>
      <c r="ER32" s="74" t="str">
        <f aca="false">IF(NOT(Tasks[[#This Row],[_IsLeaf]]=1),"",IF(Tasks[[#This Row],[_AlapShift]]=0,Tasks[[#This Row],[_LeafFcstFinish]],WORKDAY.INTL(Tasks[[#This Row],[_LeafFcstFinish]],Tasks[[#This Row],[_AlapShift]],WorkWeek,Holidays)))</f>
        <v/>
      </c>
      <c r="ES32" s="74" t="n">
        <f aca="false">IF(Tasks[[#This Row],[Task Name]]="","",IF(Tasks[[#This Row],[_IsSummary]],MIN(INDEX(Tasks[_ShownCalcStart],Tasks[[#This Row],[_Row]]+1):INDEX(Tasks[_ShownCalcStart],Tasks[[#This Row],[_Row]]+Tasks[[#This Row],[_Descendants]])),Tasks[[#This Row],[_ShownCalcStart]]))</f>
        <v>46342</v>
      </c>
      <c r="ET32" s="74" t="n">
        <f aca="false">IF(Tasks[[#This Row],[Task Name]]="","",IF(Tasks[[#This Row],[_IsSummary]],MAX(INDEX(Tasks[_ShownCalcFinish],Tasks[[#This Row],[_Row]]+1):INDEX(Tasks[_ShownCalcFinish],Tasks[[#This Row],[_Row]]+Tasks[[#This Row],[_Descendants]])),Tasks[[#This Row],[_ShownCalcFinish]]))</f>
        <v>46393</v>
      </c>
      <c r="EU3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3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3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3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3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3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3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3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3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3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3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3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32" s="45" t="n">
        <f aca="false">IF(AND(Tasks[[#This Row],[_IsLeaf]]=1,Tasks[[#This Row],[_LeafTotalWork]]&gt;0),NETWORKDAYS.INTL(ProjectStart,Tasks[[#This Row],[_ShownFcstStart]],WorkWeek,Holidays),0)</f>
        <v>0</v>
      </c>
      <c r="FH32" s="45" t="n">
        <f aca="false">IF(AND(Tasks[[#This Row],[_IsLeaf]]=1,Tasks[[#This Row],[_LeafTotalWork]]&gt;0),MAX(Tasks[[#This Row],[_StartWorkday]],NETWORKDAYS.INTL(ProjectStart,Tasks[[#This Row],[_ShownFcstFinish]],WorkWeek,Holidays)),0)</f>
        <v>0</v>
      </c>
      <c r="FI32" s="45" t="n">
        <f aca="false">IF(AND(Tasks[[#This Row],[_IsLeaf]]=1,Tasks[[#This Row],[_LeafTotalWork]]&gt;0),Tasks[[#This Row],[_LeafWork]]/(Tasks[[#This Row],[_FinishWorkday]]-Tasks[[#This Row],[_StartWorkday]]+1),0)</f>
        <v>0</v>
      </c>
      <c r="FJ32" s="45" t="n">
        <f aca="false">Tasks[[#This Row],[_WorkPerWorkday]]*(Tasks[[#This Row],[_StartWorkday]]-1)</f>
        <v>-0</v>
      </c>
      <c r="FK32" s="45" t="n">
        <f aca="false">IF(Tasks[[#This Row],[_IsLeaf]]=1,MAX(N(Tasks[[#This Row],[Duration]]),0.1),0)</f>
        <v>0</v>
      </c>
      <c r="FL32" s="45" t="n">
        <f aca="false">Tasks[[#This Row],[_WeightDur]]*Tasks[[#This Row],[_LeafProgress]]</f>
        <v>0</v>
      </c>
      <c r="FM3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32" s="45" t="str">
        <f aca="false">IF(AND(Tasks[[#This Row],[_IsLeaf]]=1,N(Tasks[[#This Row],[Duration]])=0,Tasks[[#This Row],[_LeafProgress]]&lt;1),Tasks[[#This Row],[_ShownFcstFinish]]+Tasks[[#This Row],[_Row]]/100000,"")</f>
        <v/>
      </c>
      <c r="FO3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32" s="45" t="n">
        <f aca="false">IF(NOT(Tasks[[#This Row],[_IsLeaf]]=1),0,IF(Tasks[[#This Row],[Baseline Cost]]="",Tasks[[#This Row],[_LeafTotalCost]],N(Tasks[[#This Row],[Baseline Cost]])))</f>
        <v>0</v>
      </c>
      <c r="FQ32" s="45" t="n">
        <f aca="false">Tasks[[#This Row],[_LeafBudget]]*Tasks[[#This Row],[_PlannedPct]]</f>
        <v>0</v>
      </c>
      <c r="FR32" s="45" t="n">
        <f aca="false">Tasks[[#This Row],[_LeafBudget]]*Tasks[[#This Row],[_LeafProgress]]</f>
        <v>0</v>
      </c>
      <c r="FS32" s="45" t="n">
        <f aca="false">IF(NOT(Tasks[[#This Row],[_IsLeaf]]=1),0,IF(Tasks[[#This Row],[Actual Cost]]="",Tasks[[#This Row],[_LeafTotalCost]]*Tasks[[#This Row],[_LeafProgress]],N(Tasks[[#This Row],[Actual Cost]])))</f>
        <v>0</v>
      </c>
      <c r="FT32" s="45" t="str">
        <f aca="false">IF(Tasks[[#This Row],[Task Name]]="","",LEFT(Tasks[[#This Row],[WBS]],FIND(".",Tasks[[#This Row],[WBS]]&amp;".")-1))</f>
        <v>5</v>
      </c>
      <c r="FU32" s="45" t="n">
        <f aca="false">IF(AND(Tasks[[#This Row],[Task Name]]&lt;&gt;"",Tasks[[#This Row],[_Level]]=1),Tasks[[#This Row],[_Row]],"")</f>
        <v>27</v>
      </c>
      <c r="FV32" s="45" t="str">
        <f aca="false">IF(AND(Tasks[[#This Row],[_IsLeaf]]=1,N(Tasks[[#This Row],[Duration]])=0),Tasks[[#This Row],[Planned Finish]]+Tasks[[#This Row],[_Row]]/100000,"")</f>
        <v/>
      </c>
      <c r="FW32" s="45" t="str">
        <f aca="false">IF(AND(Tasks[[#This Row],[_IsLeaf]]=1,Tasks[[#This Row],[_LeafProgress]]&lt;1,OR(N(Tasks[[#This Row],[Finish Var]])&gt;0,Tasks[[#This Row],[Status]]="Late Start")),MAX(0,Tasks[[#This Row],[Finish Var]])+1-Tasks[[#This Row],[_Row]]/1000000,"")</f>
        <v/>
      </c>
      <c r="FX32" s="45" t="str">
        <f aca="false">IF(AND(Tasks[[#This Row],[_IsLeaf]]=1,N(Tasks[[#This Row],[Actual Start]])=0,Tasks[[#This Row],[_ShownFcstStart]]&gt;=StatusDate,Tasks[[#This Row],[_ShownFcstStart]]&lt;=LookaheadEnd),Tasks[[#This Row],[_ShownFcstStart]]+Tasks[[#This Row],[_Row]]/100000,"")</f>
        <v/>
      </c>
      <c r="FY32" s="45" t="str">
        <f aca="false">IF(AND(Tasks[[#This Row],[_IsLeaf]]=1,Tasks[[#This Row],[_LeafProgress]]&lt;1,Tasks[[#This Row],[_ShownFcstFinish]]&gt;=StatusDate,Tasks[[#This Row],[_ShownFcstFinish]]&lt;=LookaheadEnd),Tasks[[#This Row],[_ShownFcstFinish]]+Tasks[[#This Row],[_Row]]/100000,"")</f>
        <v/>
      </c>
      <c r="FZ32" s="45" t="str">
        <f aca="false">IF(Tasks[[#This Row],[_LeafCritical]],Tasks[[#This Row],[_ShownFcstStart]]+Tasks[[#This Row],[_Row]]/100000,"")</f>
        <v/>
      </c>
      <c r="GA32" s="45" t="n">
        <f aca="false">Tasks[[#This Row],[_LeafWork]]*Tasks[[#This Row],[_LeafProgress]]</f>
        <v>0</v>
      </c>
      <c r="GB32" s="74" t="str">
        <f aca="false">IF(AND(Tasks[[#This Row],[_IsLeaf]]=1,Tasks[[#This Row],[_LeafProgress]]&gt;=1),IF(N(Tasks[[#This Row],[Actual Finish]])&gt;0,Tasks[[#This Row],[Actual Finish]],Tasks[[#This Row],[_ShownFcstFinish]]),"")</f>
        <v/>
      </c>
    </row>
    <row r="33" customFormat="false" ht="15" hidden="false" customHeight="false" outlineLevel="1" collapsed="false">
      <c r="A33" s="67" t="n">
        <f aca="false">IF(Tasks[[#This Row],[Task Name]]="","",COUNTA(Tasks[[#Headers],[Task Name]]:Tasks[[#This Row],[Task Name]])-1)</f>
        <v>28</v>
      </c>
      <c r="B33" s="21" t="n">
        <v>28</v>
      </c>
      <c r="C3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5.1</v>
      </c>
      <c r="D33" s="21" t="n">
        <v>2</v>
      </c>
      <c r="E33" s="75" t="s">
        <v>566</v>
      </c>
      <c r="F33" s="21" t="n">
        <v>1</v>
      </c>
      <c r="G33" s="22"/>
      <c r="H33" s="22" t="s">
        <v>6</v>
      </c>
      <c r="I33" s="22"/>
      <c r="J33" s="7"/>
      <c r="K33" s="7"/>
      <c r="L33" s="22" t="s">
        <v>567</v>
      </c>
      <c r="M33" s="58" t="n">
        <f aca="false">IF(Tasks[[#This Row],[Task Name]]="","",IF(Tasks[[#This Row],[_IsSummary]],MIN(INDEX(Tasks[_ShownFcstStart],Tasks[[#This Row],[_Row]]+1):INDEX(Tasks[_ShownFcstStart],Tasks[[#This Row],[_Row]]+Tasks[[#This Row],[_Descendants]])),Tasks[[#This Row],[_ShownFcstStart]]))</f>
        <v>46342</v>
      </c>
      <c r="N33" s="58" t="n">
        <f aca="false">IF(Tasks[[#This Row],[Task Name]]="","",IF(Tasks[[#This Row],[_IsSummary]],MAX(INDEX(Tasks[_ShownFcstFinish],Tasks[[#This Row],[_Row]]+1):INDEX(Tasks[_ShownFcstFinish],Tasks[[#This Row],[_Row]]+Tasks[[#This Row],[_Descendants]])),Tasks[[#This Row],[_ShownFcstFinish]]))</f>
        <v>46342</v>
      </c>
      <c r="O33" s="20" t="str">
        <f aca="false">IF(Tasks[[#This Row],[Task Name]]="","",IF(Tasks[[#This Row],[Progress]]&gt;=1,"Complete",IF(OR(N(Tasks[[#This Row],[Actual Start]])&gt;0,Tasks[[#This Row],[Progress]]&gt;0),IF(Tasks[[#This Row],[Finish Var]]&gt;0,"Behind","In Progress"),IF(Tasks[[#This Row],[Planned Start]]&lt;StatusDate,"Late Start","Not Started"))))</f>
        <v>Not Started</v>
      </c>
      <c r="P33" s="20" t="str">
        <f aca="false">IF(Tasks[[#This Row],[Task Name]]="","",IF(IF(Tasks[[#This Row],[_IsSummary]],COUNTIF(INDEX(Tasks[_LeafCritical],Tasks[[#This Row],[_Row]]+1):INDEX(Tasks[_LeafCritical],Tasks[[#This Row],[_Row]]+Tasks[[#This Row],[_Descendants]]),TRUE())&gt;0,Tasks[[#This Row],[_LeafCritical]]),"Yes",""))</f>
        <v/>
      </c>
      <c r="Q3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33" s="67" t="str">
        <f aca="false">IF(Tasks[[#This Row],[Task Name]]="","",IF(Tasks[[#This Row],[_Level]]&lt;=OutlineShowLevel,"Yes","No"))</f>
        <v>Yes</v>
      </c>
      <c r="S33" s="7"/>
      <c r="T33" s="21" t="s">
        <v>208</v>
      </c>
      <c r="U33" s="22"/>
      <c r="V33" s="7" t="n">
        <v>46342</v>
      </c>
      <c r="W33" s="67" t="n">
        <f aca="false">IF(Tasks[[#This Row],[Task Name]]="","",IF(Tasks[[#This Row],[Finish]]&gt;=Tasks[[#This Row],[Planned Finish]],NETWORKDAYS.INTL(Tasks[[#This Row],[Planned Finish]],Tasks[[#This Row],[Finish]],WorkWeek,Holidays)-1,1-NETWORKDAYS.INTL(Tasks[[#This Row],[Finish]],Tasks[[#This Row],[Planned Finish]],WorkWeek,Holidays)))</f>
        <v>0</v>
      </c>
      <c r="X33" s="58" t="n">
        <f aca="false">IF(Tasks[[#This Row],[Task Name]]="","",IF(N(Tasks[[#This Row],[Baseline Start]])&gt;0,Tasks[[#This Row],[Baseline Start]],Tasks[[#This Row],[_CalcStart]]))</f>
        <v>46342</v>
      </c>
      <c r="Y33" s="58" t="n">
        <f aca="false">IF(Tasks[[#This Row],[Task Name]]="","",IF(N(Tasks[[#This Row],[Baseline Finish]])&gt;0,Tasks[[#This Row],[Baseline Finish]],Tasks[[#This Row],[_CalcFinish]]))</f>
        <v>46342</v>
      </c>
      <c r="Z33" s="67" t="n">
        <f aca="false">IF(Tasks[[#This Row],[Task Name]]="","",IF(Tasks[[#This Row],[Start]]&gt;=Tasks[[#This Row],[Planned Start]],NETWORKDAYS.INTL(Tasks[[#This Row],[Planned Start]],Tasks[[#This Row],[Start]],WorkWeek,Holidays)-1,1-NETWORKDAYS.INTL(Tasks[[#This Row],[Start]],Tasks[[#This Row],[Planned Start]],WorkWeek,Holidays)))</f>
        <v>0</v>
      </c>
      <c r="AA33" s="58" t="n">
        <f aca="false">IF(Tasks[[#This Row],[Task Name]]="","",IF(Tasks[[#This Row],[_IsSummary]],MIN(INDEX(Tasks[_LeafLateStart],Tasks[[#This Row],[_Row]]+1):INDEX(Tasks[_LeafLateStart],Tasks[[#This Row],[_Row]]+Tasks[[#This Row],[_Descendants]])),Tasks[[#This Row],[_LeafLateStart]]))</f>
        <v>46393</v>
      </c>
      <c r="AB33" s="58" t="n">
        <f aca="false">IF(Tasks[[#This Row],[Task Name]]="","",IF(Tasks[[#This Row],[_IsSummary]],MAX(INDEX(Tasks[_LeafLateFinish],Tasks[[#This Row],[_Row]]+1):INDEX(Tasks[_LeafLateFinish],Tasks[[#This Row],[_Row]]+Tasks[[#This Row],[_Descendants]])),Tasks[[#This Row],[_LeafLateFinish]]))</f>
        <v>46393</v>
      </c>
      <c r="AC33" s="67" t="n">
        <f aca="false">IF(Tasks[[#This Row],[Task Name]]="","",IF(Tasks[[#This Row],[_IsSummary]],MIN(INDEX(Tasks[_LeafTotalSlack],Tasks[[#This Row],[_Row]]+1):INDEX(Tasks[_LeafTotalSlack],Tasks[[#This Row],[_Row]]+Tasks[[#This Row],[_Descendants]])),Tasks[[#This Row],[_LeafTotalSlack]]))</f>
        <v>33</v>
      </c>
      <c r="AD33"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33</v>
      </c>
      <c r="AE3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3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33" s="60"/>
      <c r="AH33"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I3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33" s="69" t="n">
        <f aca="false">IF(Tasks[[#This Row],[Task Name]]="","",IF(Tasks[[#This Row],[_IsSummary]],SUM(INDEX(Tasks[_LeafTotalWork],Tasks[[#This Row],[_Row]]+1):INDEX(Tasks[_LeafTotalWork],Tasks[[#This Row],[_Row]]+Tasks[[#This Row],[_Descendants]])),Tasks[[#This Row],[_LeafTotalWork]]))</f>
        <v>8</v>
      </c>
      <c r="AK3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Priya Sharma</v>
      </c>
      <c r="AL33" s="70" t="n">
        <f aca="false">IF(Tasks[[#This Row],[Task Name]]="","",IF(Tasks[[#This Row],[_IsSummary]],SUM(INDEX(Tasks[_LeafTotalCost],Tasks[[#This Row],[_Row]]+1):INDEX(Tasks[_LeafTotalCost],Tasks[[#This Row],[_Row]]+Tasks[[#This Row],[_Descendants]])),Tasks[[#This Row],[_LeafTotalCost]]))</f>
        <v>760</v>
      </c>
      <c r="AM33" s="71"/>
      <c r="AN33" s="20" t="str">
        <f aca="false">IF(OR(Tasks[[#This Row],[Task Name]]="",Tasks[[#This Row],[Baseline Duration]]=""),"",Tasks[[#This Row],[BL Source Duration]]-N(Tasks[[#This Row],[Baseline Duration]]))</f>
        <v/>
      </c>
      <c r="AO33" s="69" t="str">
        <f aca="false">IF(OR(Tasks[[#This Row],[Task Name]]="",Tasks[[#This Row],[Baseline Work]]=""),"",Tasks[[#This Row],[Work]]-N(Tasks[[#This Row],[Baseline Work]]))</f>
        <v/>
      </c>
      <c r="AP33" s="70" t="str">
        <f aca="false">IF(OR(Tasks[[#This Row],[Task Name]]="",Tasks[[#This Row],[Baseline Cost]]=""),"",Tasks[[#This Row],[Cost]]-N(Tasks[[#This Row],[Baseline Cost]]))</f>
        <v/>
      </c>
      <c r="AQ33" s="58" t="n">
        <f aca="false">IF(Tasks[[#This Row],[Task Name]]="","",Tasks[[#This Row],[Start]])</f>
        <v>46342</v>
      </c>
      <c r="AR33" s="58" t="n">
        <f aca="false">IF(Tasks[[#This Row],[Task Name]]="","",Tasks[[#This Row],[Finish]])</f>
        <v>46342</v>
      </c>
      <c r="AS33" s="67" t="n">
        <f aca="false">IF(Tasks[[#This Row],[Task Name]]="","",IF(Tasks[[#This Row],[_IsSummary]],NETWORKDAYS.INTL(Tasks[[#This Row],[Start]],Tasks[[#This Row],[Finish]],WorkWeek,Holidays),N(Tasks[[#This Row],[Duration]])))</f>
        <v>1</v>
      </c>
      <c r="AT33" s="69" t="n">
        <f aca="false">IF(Tasks[[#This Row],[Task Name]]="","",Tasks[[#This Row],[Work]])</f>
        <v>8</v>
      </c>
      <c r="AU33" s="70" t="n">
        <f aca="false">IF(Tasks[[#This Row],[Task Name]]="","",Tasks[[#This Row],[Cost]])</f>
        <v>760</v>
      </c>
      <c r="AV33" s="7"/>
      <c r="AW33" s="7"/>
      <c r="AX33" s="21"/>
      <c r="AY33" s="72"/>
      <c r="AZ33" s="71"/>
      <c r="BA33" s="70" t="n">
        <f aca="false">IF(Tasks[[#This Row],[Task Name]]="","",IF(Tasks[[#This Row],[_IsSummary]],SUM(INDEX(Tasks[_LeafEV],Tasks[[#This Row],[_Row]]+1):INDEX(Tasks[_LeafEV],Tasks[[#This Row],[_Row]]+Tasks[[#This Row],[_Descendants]])),Tasks[[#This Row],[_LeafEV]]))</f>
        <v>0</v>
      </c>
      <c r="BB33" s="70" t="n">
        <f aca="false">IF(Tasks[[#This Row],[Task Name]]="","",IF(Tasks[[#This Row],[_IsSummary]],SUM(INDEX(Tasks[_LeafBudget],Tasks[[#This Row],[_Row]]+1):INDEX(Tasks[_LeafBudget],Tasks[[#This Row],[_Row]]+Tasks[[#This Row],[_Descendants]])),Tasks[[#This Row],[_LeafBudget]]))</f>
        <v>760</v>
      </c>
      <c r="BC33" s="70" t="n">
        <f aca="false">IF(Tasks[[#This Row],[Task Name]]="","",IF(Tasks[[#This Row],[_IsSummary]],SUM(INDEX(Tasks[_LeafPV],Tasks[[#This Row],[_Row]]+1):INDEX(Tasks[_LeafPV],Tasks[[#This Row],[_Row]]+Tasks[[#This Row],[_Descendants]])),Tasks[[#This Row],[_LeafPV]]))</f>
        <v>0</v>
      </c>
      <c r="BD33" s="70" t="n">
        <f aca="false">IF(Tasks[[#This Row],[Task Name]]="","",IF(Tasks[[#This Row],[_IsSummary]],SUM(INDEX(Tasks[_LeafAC],Tasks[[#This Row],[_Row]]+1):INDEX(Tasks[_LeafAC],Tasks[[#This Row],[_Row]]+Tasks[[#This Row],[_Descendants]])),Tasks[[#This Row],[_LeafAC]]))</f>
        <v>0</v>
      </c>
      <c r="BE33" s="45" t="n">
        <f aca="false">IF(Tasks[[#This Row],[Task Name]]="","",MAX(1,N(Tasks[[#This Row],[Level]])))</f>
        <v>2</v>
      </c>
      <c r="BF33" s="45" t="n">
        <f aca="false">ROW()-ROW(Tasks[[#Headers],[ID]])</f>
        <v>28</v>
      </c>
      <c r="BG33" s="45" t="n">
        <f aca="false">IF(OR(Tasks[[#This Row],[Task Name]]="",Tasks[[#This Row],[_Level]]&lt;=1),0,IFERROR(LOOKUP(2,1/(Tasks[[#Headers],[_Level]]:Tasks[[#This Row],[_Level]]=Tasks[[#This Row],[_Level]]-1),ROW(Tasks[[#Headers],[_Level]]:Tasks[[#This Row],[_Level]])),0))</f>
        <v>32</v>
      </c>
      <c r="BH33" s="45" t="n">
        <f aca="false">IFERROR(N(INDEX(Tasks[_Level],Tasks[[#This Row],[_Row]]+1)),0)</f>
        <v>2</v>
      </c>
      <c r="BI33" s="73" t="b">
        <f aca="false">AND(Tasks[[#This Row],[Task Name]]&lt;&gt;"",Tasks[[#This Row],[_NextLevel]]&gt;Tasks[[#This Row],[_Level]])</f>
        <v>0</v>
      </c>
      <c r="BJ33" s="45" t="n">
        <f aca="false">IF(Tasks[[#This Row],[_IsSummary]],COUNTIF(Tasks[WBS],Tasks[[#This Row],[WBS]]&amp;".*"),0)</f>
        <v>0</v>
      </c>
      <c r="BK33" s="45" t="n">
        <f aca="false">IF(AND(Tasks[[#This Row],[Task Name]]&lt;&gt;"",NOT(Tasks[[#This Row],[_IsSummary]])),1,0)</f>
        <v>1</v>
      </c>
      <c r="BL33" s="45" t="n">
        <f aca="false">IF(N(Tasks[[#This Row],[_Pred1UID]])=0,0,IFERROR(MATCH(Tasks[[#This Row],[_Pred1UID]],Tasks[UID],0),-1))</f>
        <v>0</v>
      </c>
      <c r="BM33" s="45" t="n">
        <f aca="false">IF(N(Tasks[[#This Row],[_Pred2UID]])=0,0,IFERROR(MATCH(Tasks[[#This Row],[_Pred2UID]],Tasks[UID],0),-1))</f>
        <v>0</v>
      </c>
      <c r="BN33" s="45" t="n">
        <f aca="false">IF(N(Tasks[[#This Row],[_Pred3UID]])=0,0,IFERROR(MATCH(Tasks[[#This Row],[_Pred3UID]],Tasks[UID],0),-1))</f>
        <v>0</v>
      </c>
      <c r="BO33" s="45" t="n">
        <f aca="false">IF(N(Tasks[[#This Row],[_Pred4UID]])=0,0,IFERROR(MATCH(Tasks[[#This Row],[_Pred4UID]],Tasks[UID],0),-1))</f>
        <v>0</v>
      </c>
      <c r="BP33"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4</v>
      </c>
      <c r="BQ3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46342</v>
      </c>
      <c r="BR33" s="74" t="n">
        <f aca="false">IF(OR(Tasks[[#This Row],[_ConstraintCode]]=2,Tasks[[#This Row],[_ConstraintCode]]=3,Tasks[[#This Row],[_ConstraintCode]]=4,Tasks[[#This Row],[_ConstraintCode]]=6),Tasks[[#This Row],[_ConstraintStart]],0)</f>
        <v>46342</v>
      </c>
      <c r="BS33" s="74" t="n">
        <f aca="false">IF(OR(Tasks[[#This Row],[_ConstraintCode]]=2,Tasks[[#This Row],[_ConstraintCode]]=3,Tasks[[#This Row],[_ConstraintCode]]=5,Tasks[[#This Row],[_ConstraintCode]]=7),Tasks[[#This Row],[_ConstraintStart]],2958465)</f>
        <v>2958465</v>
      </c>
      <c r="BT33"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46342</v>
      </c>
      <c r="BU33" s="74" t="n">
        <f aca="false">IF(NOT(Tasks[[#This Row],[_IsLeaf]]=1),"",IF(N(Tasks[[#This Row],[Duration]])&lt;=0,Tasks[[#This Row],[_LeafCalcStart]],WORKDAY.INTL(Tasks[[#This Row],[_LeafCalcStart]],Tasks[[#This Row],[Duration]]-1,WorkWeek,Holidays)))</f>
        <v>46342</v>
      </c>
      <c r="BV33"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46342</v>
      </c>
      <c r="BW33"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46342</v>
      </c>
      <c r="BX33" s="45" t="str">
        <f aca="false">IF(Tasks[[#This Row],[Predecessors]]="","",TRIM(MID(SUBSTITUTE(SUBSTITUTE(SUBSTITUTE(UPPER(Tasks[[#This Row],[Predecessors]]),";",",")," ",""),",",REPT(" ",99)),1,99)))</f>
        <v/>
      </c>
      <c r="BY33" s="45" t="str">
        <f aca="false">IF(Tasks[[#This Row],[_Pred1Text]]="","",IFERROR(VALUE(LEFT(Tasks[[#This Row],[_Pred1Text]],MIN(FIND("F",Tasks[[#This Row],[_Pred1Text]]&amp;"F"),FIND("S",Tasks[[#This Row],[_Pred1Text]]&amp;"S"),FIND("+",Tasks[[#This Row],[_Pred1Text]]&amp;"+"),FIND("-",Tasks[[#This Row],[_Pred1Text]]&amp;"-"))-1)),""))</f>
        <v/>
      </c>
      <c r="BZ3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3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33" s="45" t="str">
        <f aca="false">IF(Tasks[[#This Row],[_Pred1Text]]="","",TRIM(MID(SUBSTITUTE(SUBSTITUTE(SUBSTITUTE(UPPER(Tasks[[#This Row],[Predecessors]]),";",",")," ",""),",",REPT(" ",99)),100,99)))</f>
        <v/>
      </c>
      <c r="CC33" s="45" t="str">
        <f aca="false">IF(Tasks[[#This Row],[_Pred2Text]]="","",IFERROR(VALUE(LEFT(Tasks[[#This Row],[_Pred2Text]],MIN(FIND("F",Tasks[[#This Row],[_Pred2Text]]&amp;"F"),FIND("S",Tasks[[#This Row],[_Pred2Text]]&amp;"S"),FIND("+",Tasks[[#This Row],[_Pred2Text]]&amp;"+"),FIND("-",Tasks[[#This Row],[_Pred2Text]]&amp;"-"))-1)),""))</f>
        <v/>
      </c>
      <c r="CD3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3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33" s="45" t="str">
        <f aca="false">IF(Tasks[[#This Row],[_Pred2Text]]="","",TRIM(MID(SUBSTITUTE(SUBSTITUTE(SUBSTITUTE(UPPER(Tasks[[#This Row],[Predecessors]]),";",",")," ",""),",",REPT(" ",99)),199,99)))</f>
        <v/>
      </c>
      <c r="CG33" s="45" t="str">
        <f aca="false">IF(Tasks[[#This Row],[_Pred3Text]]="","",IFERROR(VALUE(LEFT(Tasks[[#This Row],[_Pred3Text]],MIN(FIND("F",Tasks[[#This Row],[_Pred3Text]]&amp;"F"),FIND("S",Tasks[[#This Row],[_Pred3Text]]&amp;"S"),FIND("+",Tasks[[#This Row],[_Pred3Text]]&amp;"+"),FIND("-",Tasks[[#This Row],[_Pred3Text]]&amp;"-"))-1)),""))</f>
        <v/>
      </c>
      <c r="CH3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3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33" s="45" t="str">
        <f aca="false">IF(Tasks[[#This Row],[_Pred3Text]]="","",TRIM(MID(SUBSTITUTE(SUBSTITUTE(SUBSTITUTE(UPPER(Tasks[[#This Row],[Predecessors]]),";",",")," ",""),",",REPT(" ",99)),298,99)))</f>
        <v/>
      </c>
      <c r="CK33" s="45" t="str">
        <f aca="false">IF(Tasks[[#This Row],[_Pred4Text]]="","",IFERROR(VALUE(LEFT(Tasks[[#This Row],[_Pred4Text]],MIN(FIND("F",Tasks[[#This Row],[_Pred4Text]]&amp;"F"),FIND("S",Tasks[[#This Row],[_Pred4Text]]&amp;"S"),FIND("+",Tasks[[#This Row],[_Pred4Text]]&amp;"+"),FIND("-",Tasks[[#This Row],[_Pred4Text]]&amp;"-"))-1)),""))</f>
        <v/>
      </c>
      <c r="CL3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3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33" s="45" t="str">
        <f aca="false">IF(OR(Tasks[[#This Row],[Task Name]]="",Tasks[[#This Row],[Resources]]=""),"",TRIM(MID(SUBSTITUTE(Tasks[[#This Row],[Resources]],",",REPT(" ",99)),1,99)))</f>
        <v>Priya Sharma</v>
      </c>
      <c r="CO33" s="45" t="str">
        <f aca="false">IF(Tasks[[#This Row],[_Res1Text]]="","",TRIM(MID(SUBSTITUTE(Tasks[[#This Row],[Resources]],",",REPT(" ",99)),100,99)))</f>
        <v/>
      </c>
      <c r="CP33" s="45" t="str">
        <f aca="false">IF(Tasks[[#This Row],[_Res2Text]]="","",TRIM(MID(SUBSTITUTE(Tasks[[#This Row],[Resources]],",",REPT(" ",99)),199,99)))</f>
        <v/>
      </c>
      <c r="CQ33" s="45" t="str">
        <f aca="false">IF(Tasks[[#This Row],[_Res3Text]]="","",TRIM(MID(SUBSTITUTE(Tasks[[#This Row],[Resources]],",",REPT(" ",99)),298,99)))</f>
        <v/>
      </c>
      <c r="CR3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Priya Sharma</v>
      </c>
      <c r="CS3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3" s="45" t="n">
        <f aca="false">IF(NOT(Tasks[[#This Row],[_IsLeaf]]=1),0,(Tasks[[#This Row],[_Resource1]]&lt;&gt;"")+(Tasks[[#This Row],[_Res2]]&lt;&gt;"")+(Tasks[[#This Row],[_Res3]]&lt;&gt;"")+(Tasks[[#This Row],[_Res4]]&lt;&gt;""))</f>
        <v>1</v>
      </c>
      <c r="CU3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3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3" s="45" t="n">
        <f aca="false">IF(OR(NOT(Tasks[[#This Row],[_IsLeaf]]=1),Tasks[[#This Row],[_Res2]]=""),0,IF(ISNA(MATCH(Tasks[[#This Row],[_Res2]],res_Name,0)),0,N(Tasks[[#This Row],[Duration]])*HoursPerDay*IF(Tasks[[#This Row],[_Res2Units]]="",DefaultUnits,Tasks[[#This Row],[_Res2Units]])))</f>
        <v>0</v>
      </c>
      <c r="CX33" s="45" t="n">
        <f aca="false">IF(Tasks[[#This Row],[_Res2Work]]=0,0,Tasks[[#This Row],[_Res2Work]]*IFERROR(INDEX(res_Rate,MATCH(Tasks[[#This Row],[_Res2]],res_Name,0)),0))</f>
        <v>0</v>
      </c>
      <c r="CY33" s="45" t="n">
        <f aca="false">IF(AND(AND(Tasks[[#This Row],[_IsLeaf]]=1,Tasks[[#This Row],[_LeafTotalWork]]&gt;0),Tasks[[#This Row],[_Res2Work]]&gt;0),Tasks[[#This Row],[_Res2Work]]/(Tasks[[#This Row],[_FinishWorkday]]-Tasks[[#This Row],[_StartWorkday]]+1),0)</f>
        <v>0</v>
      </c>
      <c r="CZ33" s="45" t="n">
        <f aca="false">Tasks[[#This Row],[_Res2WorkPerWD]]*MAX(0,Tasks[[#This Row],[_StartWorkday]]-1)</f>
        <v>0</v>
      </c>
      <c r="DA33" s="45" t="n">
        <f aca="false">Tasks[[#This Row],[_Res2Work]]*Tasks[[#This Row],[_LeafProgress]]</f>
        <v>0</v>
      </c>
      <c r="DB33" s="45" t="n">
        <f aca="false">IF(Tasks[[#This Row],[_LeafTotalCost]]=0,0,Tasks[[#This Row],[_LeafAC]]*Tasks[[#This Row],[_Res2Cost]]/Tasks[[#This Row],[_LeafTotalCost]])</f>
        <v>0</v>
      </c>
      <c r="DC3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3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33" s="45" t="n">
        <f aca="false">IF(OR(NOT(Tasks[[#This Row],[_IsLeaf]]=1),Tasks[[#This Row],[_Res3]]=""),0,IF(ISNA(MATCH(Tasks[[#This Row],[_Res3]],res_Name,0)),0,N(Tasks[[#This Row],[Duration]])*HoursPerDay*IF(Tasks[[#This Row],[_Res3Units]]="",DefaultUnits,Tasks[[#This Row],[_Res3Units]])))</f>
        <v>0</v>
      </c>
      <c r="DF33" s="45" t="n">
        <f aca="false">IF(Tasks[[#This Row],[_Res3Work]]=0,0,Tasks[[#This Row],[_Res3Work]]*IFERROR(INDEX(res_Rate,MATCH(Tasks[[#This Row],[_Res3]],res_Name,0)),0))</f>
        <v>0</v>
      </c>
      <c r="DG33" s="45" t="n">
        <f aca="false">IF(AND(AND(Tasks[[#This Row],[_IsLeaf]]=1,Tasks[[#This Row],[_LeafTotalWork]]&gt;0),Tasks[[#This Row],[_Res3Work]]&gt;0),Tasks[[#This Row],[_Res3Work]]/(Tasks[[#This Row],[_FinishWorkday]]-Tasks[[#This Row],[_StartWorkday]]+1),0)</f>
        <v>0</v>
      </c>
      <c r="DH33" s="45" t="n">
        <f aca="false">Tasks[[#This Row],[_Res3WorkPerWD]]*MAX(0,Tasks[[#This Row],[_StartWorkday]]-1)</f>
        <v>0</v>
      </c>
      <c r="DI33" s="45" t="n">
        <f aca="false">Tasks[[#This Row],[_Res3Work]]*Tasks[[#This Row],[_LeafProgress]]</f>
        <v>0</v>
      </c>
      <c r="DJ33" s="45" t="n">
        <f aca="false">IF(Tasks[[#This Row],[_LeafTotalCost]]=0,0,Tasks[[#This Row],[_LeafAC]]*Tasks[[#This Row],[_Res3Cost]]/Tasks[[#This Row],[_LeafTotalCost]])</f>
        <v>0</v>
      </c>
      <c r="DK3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3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33" s="45" t="n">
        <f aca="false">IF(OR(NOT(Tasks[[#This Row],[_IsLeaf]]=1),Tasks[[#This Row],[_Res4]]=""),0,IF(ISNA(MATCH(Tasks[[#This Row],[_Res4]],res_Name,0)),0,N(Tasks[[#This Row],[Duration]])*HoursPerDay*IF(Tasks[[#This Row],[_Res4Units]]="",DefaultUnits,Tasks[[#This Row],[_Res4Units]])))</f>
        <v>0</v>
      </c>
      <c r="DN33" s="45" t="n">
        <f aca="false">IF(Tasks[[#This Row],[_Res4Work]]=0,0,Tasks[[#This Row],[_Res4Work]]*IFERROR(INDEX(res_Rate,MATCH(Tasks[[#This Row],[_Res4]],res_Name,0)),0))</f>
        <v>0</v>
      </c>
      <c r="DO33" s="45" t="n">
        <f aca="false">IF(AND(AND(Tasks[[#This Row],[_IsLeaf]]=1,Tasks[[#This Row],[_LeafTotalWork]]&gt;0),Tasks[[#This Row],[_Res4Work]]&gt;0),Tasks[[#This Row],[_Res4Work]]/(Tasks[[#This Row],[_FinishWorkday]]-Tasks[[#This Row],[_StartWorkday]]+1),0)</f>
        <v>0</v>
      </c>
      <c r="DP33" s="45" t="n">
        <f aca="false">Tasks[[#This Row],[_Res4WorkPerWD]]*MAX(0,Tasks[[#This Row],[_StartWorkday]]-1)</f>
        <v>0</v>
      </c>
      <c r="DQ33" s="45" t="n">
        <f aca="false">Tasks[[#This Row],[_Res4Work]]*Tasks[[#This Row],[_LeafProgress]]</f>
        <v>0</v>
      </c>
      <c r="DR33" s="45" t="n">
        <f aca="false">IF(Tasks[[#This Row],[_LeafTotalCost]]=0,0,Tasks[[#This Row],[_LeafAC]]*Tasks[[#This Row],[_Res4Cost]]/Tasks[[#This Row],[_LeafTotalCost]])</f>
        <v>0</v>
      </c>
      <c r="DS33" s="45" t="n">
        <f aca="false">IF(ISNUMBER(Tasks[[#This Row],[% Complete]]),Tasks[[#This Row],[% Complete]],IF(Tasks[[#This Row],[Stage]]="",0,IFERROR(INDEX(stg_Pct,MATCH(Tasks[[#This Row],[Stage]],stg_Name,0)),0)))</f>
        <v>0</v>
      </c>
      <c r="DT33" s="45" t="n">
        <f aca="false">IF(NOT(Tasks[[#This Row],[_IsLeaf]]=1),0,IF(N(Tasks[[#This Row],[Actual Finish]])&gt;0,1,MIN(1,Tasks[[#This Row],[_Pct]])))</f>
        <v>0</v>
      </c>
      <c r="DU33" s="45" t="n">
        <f aca="false">IF(OR(NOT(Tasks[[#This Row],[_IsLeaf]]=1),Tasks[[#This Row],[_Resource1]]=""),0,IF(ISNA(MATCH(Tasks[[#This Row],[_Resource1]],res_Name,0)),0,N(Tasks[[#This Row],[Duration]])*HoursPerDay*IF(Tasks[[#This Row],[_Units1]]="",DefaultUnits,Tasks[[#This Row],[_Units1]])))</f>
        <v>8</v>
      </c>
      <c r="DV33" s="45" t="n">
        <f aca="false">IF(Tasks[[#This Row],[_LeafWork]]=0,0,Tasks[[#This Row],[_LeafWork]]*IFERROR(INDEX(res_Rate,MATCH(Tasks[[#This Row],[_Resource1]],res_Name,0)),0))</f>
        <v>760</v>
      </c>
      <c r="DW33" s="45" t="n">
        <f aca="false">Tasks[[#This Row],[_LeafWork]]+Tasks[[#This Row],[_Res2Work]]+Tasks[[#This Row],[_Res3Work]]+Tasks[[#This Row],[_Res4Work]]</f>
        <v>8</v>
      </c>
      <c r="DX33" s="45" t="n">
        <f aca="false">Tasks[[#This Row],[_LeafCost]]+Tasks[[#This Row],[_Res2Cost]]+Tasks[[#This Row],[_Res3Cost]]+Tasks[[#This Row],[_Res4Cost]]</f>
        <v>760</v>
      </c>
      <c r="DY33" s="45" t="n">
        <f aca="false">IF(Tasks[[#This Row],[_LeafTotalCost]]=0,Tasks[[#This Row],[_LeafAC]],Tasks[[#This Row],[_LeafAC]]*Tasks[[#This Row],[_LeafCost]]/Tasks[[#This Row],[_LeafTotalCost]])</f>
        <v>0</v>
      </c>
      <c r="DZ3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3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3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3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3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3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3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3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33" s="45" t="n">
        <f aca="false">IF(NOT(Tasks[[#This Row],[_IsLeaf]]=1),0,MAX(_xlfn.MAXIFS(Tasks[_Row],Tasks[_Pred1UID],Tasks[[#This Row],[UID]]),_xlfn.MAXIFS(Tasks[_Row],Tasks[_Pred2UID],Tasks[[#This Row],[UID]]),_xlfn.MAXIFS(Tasks[_Row],Tasks[_Pred3UID],Tasks[[#This Row],[UID]]),_xlfn.MAXIFS(Tasks[_Row],Tasks[_Pred4UID],Tasks[[#This Row],[UID]])))</f>
        <v>0</v>
      </c>
      <c r="EI33"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EJ33"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EK33" s="74" t="n">
        <f aca="false">IF(NOT(Tasks[[#This Row],[_IsLeaf]]=1),"",IF(N(Tasks[[#This Row],[Duration]])&lt;=0,Tasks[[#This Row],[_LeafLateFinish]],WORKDAY.INTL(Tasks[[#This Row],[_LeafLateFinish]],-(Tasks[[#This Row],[Duration]]-1),WorkWeek,Holidays)))</f>
        <v>46393</v>
      </c>
      <c r="EL33"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33</v>
      </c>
      <c r="EM33" s="73" t="b">
        <f aca="false">AND(Tasks[[#This Row],[_IsLeaf]]=1,Tasks[[#This Row],[_LeafProgress]]&lt;1,N(Tasks[[#This Row],[_LeafTotalSlack]])&lt;=CriticalSlackDays)</f>
        <v>0</v>
      </c>
      <c r="EN33" s="45" t="n">
        <f aca="false">IF(AND(Tasks[[#This Row],[_IsLeaf]]=1,Tasks[[#This Row],[_ConstraintCode]]=1,Tasks[[#This Row],[Mode]]&lt;&gt;"Manual",N(Tasks[[#This Row],[Actual Start]])=0),MAX(0,N(Tasks[[#This Row],[Free Slack]])),0)</f>
        <v>0</v>
      </c>
      <c r="EO33" s="74" t="n">
        <f aca="false">IF(NOT(Tasks[[#This Row],[_IsLeaf]]=1),"",IF(Tasks[[#This Row],[_AlapShift]]=0,Tasks[[#This Row],[_LeafCalcStart]],WORKDAY.INTL(Tasks[[#This Row],[_LeafCalcStart]],Tasks[[#This Row],[_AlapShift]],WorkWeek,Holidays)))</f>
        <v>46342</v>
      </c>
      <c r="EP33" s="74" t="n">
        <f aca="false">IF(NOT(Tasks[[#This Row],[_IsLeaf]]=1),"",IF(Tasks[[#This Row],[_AlapShift]]=0,Tasks[[#This Row],[_LeafCalcFinish]],WORKDAY.INTL(Tasks[[#This Row],[_LeafCalcFinish]],Tasks[[#This Row],[_AlapShift]],WorkWeek,Holidays)))</f>
        <v>46342</v>
      </c>
      <c r="EQ33" s="74" t="n">
        <f aca="false">IF(NOT(Tasks[[#This Row],[_IsLeaf]]=1),"",IF(Tasks[[#This Row],[_AlapShift]]=0,Tasks[[#This Row],[_LeafFcstStart]],WORKDAY.INTL(Tasks[[#This Row],[_LeafFcstStart]],Tasks[[#This Row],[_AlapShift]],WorkWeek,Holidays)))</f>
        <v>46342</v>
      </c>
      <c r="ER33" s="74" t="n">
        <f aca="false">IF(NOT(Tasks[[#This Row],[_IsLeaf]]=1),"",IF(Tasks[[#This Row],[_AlapShift]]=0,Tasks[[#This Row],[_LeafFcstFinish]],WORKDAY.INTL(Tasks[[#This Row],[_LeafFcstFinish]],Tasks[[#This Row],[_AlapShift]],WorkWeek,Holidays)))</f>
        <v>46342</v>
      </c>
      <c r="ES33" s="74" t="n">
        <f aca="false">IF(Tasks[[#This Row],[Task Name]]="","",IF(Tasks[[#This Row],[_IsSummary]],MIN(INDEX(Tasks[_ShownCalcStart],Tasks[[#This Row],[_Row]]+1):INDEX(Tasks[_ShownCalcStart],Tasks[[#This Row],[_Row]]+Tasks[[#This Row],[_Descendants]])),Tasks[[#This Row],[_ShownCalcStart]]))</f>
        <v>46342</v>
      </c>
      <c r="ET33" s="74" t="n">
        <f aca="false">IF(Tasks[[#This Row],[Task Name]]="","",IF(Tasks[[#This Row],[_IsSummary]],MAX(INDEX(Tasks[_ShownCalcFinish],Tasks[[#This Row],[_Row]]+1):INDEX(Tasks[_ShownCalcFinish],Tasks[[#This Row],[_Row]]+Tasks[[#This Row],[_Descendants]])),Tasks[[#This Row],[_ShownCalcFinish]]))</f>
        <v>46342</v>
      </c>
      <c r="EU3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3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3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3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3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3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3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3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3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3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3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3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33" s="45" t="n">
        <f aca="false">IF(AND(Tasks[[#This Row],[_IsLeaf]]=1,Tasks[[#This Row],[_LeafTotalWork]]&gt;0),NETWORKDAYS.INTL(ProjectStart,Tasks[[#This Row],[_ShownFcstStart]],WorkWeek,Holidays),0)</f>
        <v>51</v>
      </c>
      <c r="FH33" s="45" t="n">
        <f aca="false">IF(AND(Tasks[[#This Row],[_IsLeaf]]=1,Tasks[[#This Row],[_LeafTotalWork]]&gt;0),MAX(Tasks[[#This Row],[_StartWorkday]],NETWORKDAYS.INTL(ProjectStart,Tasks[[#This Row],[_ShownFcstFinish]],WorkWeek,Holidays)),0)</f>
        <v>51</v>
      </c>
      <c r="FI33" s="45" t="n">
        <f aca="false">IF(AND(Tasks[[#This Row],[_IsLeaf]]=1,Tasks[[#This Row],[_LeafTotalWork]]&gt;0),Tasks[[#This Row],[_LeafWork]]/(Tasks[[#This Row],[_FinishWorkday]]-Tasks[[#This Row],[_StartWorkday]]+1),0)</f>
        <v>8</v>
      </c>
      <c r="FJ33" s="45" t="n">
        <f aca="false">Tasks[[#This Row],[_WorkPerWorkday]]*(Tasks[[#This Row],[_StartWorkday]]-1)</f>
        <v>400</v>
      </c>
      <c r="FK33" s="45" t="n">
        <f aca="false">IF(Tasks[[#This Row],[_IsLeaf]]=1,MAX(N(Tasks[[#This Row],[Duration]]),0.1),0)</f>
        <v>1</v>
      </c>
      <c r="FL33" s="45" t="n">
        <f aca="false">Tasks[[#This Row],[_WeightDur]]*Tasks[[#This Row],[_LeafProgress]]</f>
        <v>0</v>
      </c>
      <c r="FM3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33" s="45" t="str">
        <f aca="false">IF(AND(Tasks[[#This Row],[_IsLeaf]]=1,N(Tasks[[#This Row],[Duration]])=0,Tasks[[#This Row],[_LeafProgress]]&lt;1),Tasks[[#This Row],[_ShownFcstFinish]]+Tasks[[#This Row],[_Row]]/100000,"")</f>
        <v/>
      </c>
      <c r="FO3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33" s="45" t="n">
        <f aca="false">IF(NOT(Tasks[[#This Row],[_IsLeaf]]=1),0,IF(Tasks[[#This Row],[Baseline Cost]]="",Tasks[[#This Row],[_LeafTotalCost]],N(Tasks[[#This Row],[Baseline Cost]])))</f>
        <v>760</v>
      </c>
      <c r="FQ33" s="45" t="n">
        <f aca="false">Tasks[[#This Row],[_LeafBudget]]*Tasks[[#This Row],[_PlannedPct]]</f>
        <v>0</v>
      </c>
      <c r="FR33" s="45" t="n">
        <f aca="false">Tasks[[#This Row],[_LeafBudget]]*Tasks[[#This Row],[_LeafProgress]]</f>
        <v>0</v>
      </c>
      <c r="FS33" s="45" t="n">
        <f aca="false">IF(NOT(Tasks[[#This Row],[_IsLeaf]]=1),0,IF(Tasks[[#This Row],[Actual Cost]]="",Tasks[[#This Row],[_LeafTotalCost]]*Tasks[[#This Row],[_LeafProgress]],N(Tasks[[#This Row],[Actual Cost]])))</f>
        <v>0</v>
      </c>
      <c r="FT33" s="45" t="str">
        <f aca="false">IF(Tasks[[#This Row],[Task Name]]="","",LEFT(Tasks[[#This Row],[WBS]],FIND(".",Tasks[[#This Row],[WBS]]&amp;".")-1))</f>
        <v>5</v>
      </c>
      <c r="FU33" s="45" t="str">
        <f aca="false">IF(AND(Tasks[[#This Row],[Task Name]]&lt;&gt;"",Tasks[[#This Row],[_Level]]=1),Tasks[[#This Row],[_Row]],"")</f>
        <v/>
      </c>
      <c r="FV33" s="45" t="str">
        <f aca="false">IF(AND(Tasks[[#This Row],[_IsLeaf]]=1,N(Tasks[[#This Row],[Duration]])=0),Tasks[[#This Row],[Planned Finish]]+Tasks[[#This Row],[_Row]]/100000,"")</f>
        <v/>
      </c>
      <c r="FW33" s="45" t="str">
        <f aca="false">IF(AND(Tasks[[#This Row],[_IsLeaf]]=1,Tasks[[#This Row],[_LeafProgress]]&lt;1,OR(N(Tasks[[#This Row],[Finish Var]])&gt;0,Tasks[[#This Row],[Status]]="Late Start")),MAX(0,Tasks[[#This Row],[Finish Var]])+1-Tasks[[#This Row],[_Row]]/1000000,"")</f>
        <v/>
      </c>
      <c r="FX33" s="45" t="str">
        <f aca="false">IF(AND(Tasks[[#This Row],[_IsLeaf]]=1,N(Tasks[[#This Row],[Actual Start]])=0,Tasks[[#This Row],[_ShownFcstStart]]&gt;=StatusDate,Tasks[[#This Row],[_ShownFcstStart]]&lt;=LookaheadEnd),Tasks[[#This Row],[_ShownFcstStart]]+Tasks[[#This Row],[_Row]]/100000,"")</f>
        <v/>
      </c>
      <c r="FY33" s="45" t="str">
        <f aca="false">IF(AND(Tasks[[#This Row],[_IsLeaf]]=1,Tasks[[#This Row],[_LeafProgress]]&lt;1,Tasks[[#This Row],[_ShownFcstFinish]]&gt;=StatusDate,Tasks[[#This Row],[_ShownFcstFinish]]&lt;=LookaheadEnd),Tasks[[#This Row],[_ShownFcstFinish]]+Tasks[[#This Row],[_Row]]/100000,"")</f>
        <v/>
      </c>
      <c r="FZ33" s="45" t="str">
        <f aca="false">IF(Tasks[[#This Row],[_LeafCritical]],Tasks[[#This Row],[_ShownFcstStart]]+Tasks[[#This Row],[_Row]]/100000,"")</f>
        <v/>
      </c>
      <c r="GA33" s="45" t="n">
        <f aca="false">Tasks[[#This Row],[_LeafWork]]*Tasks[[#This Row],[_LeafProgress]]</f>
        <v>0</v>
      </c>
      <c r="GB33" s="74" t="str">
        <f aca="false">IF(AND(Tasks[[#This Row],[_IsLeaf]]=1,Tasks[[#This Row],[_LeafProgress]]&gt;=1),IF(N(Tasks[[#This Row],[Actual Finish]])&gt;0,Tasks[[#This Row],[Actual Finish]],Tasks[[#This Row],[_ShownFcstFinish]]),"")</f>
        <v/>
      </c>
    </row>
    <row r="34" customFormat="false" ht="15" hidden="false" customHeight="false" outlineLevel="1" collapsed="false">
      <c r="A34" s="67" t="n">
        <f aca="false">IF(Tasks[[#This Row],[Task Name]]="","",COUNTA(Tasks[[#Headers],[Task Name]]:Tasks[[#This Row],[Task Name]])-1)</f>
        <v>29</v>
      </c>
      <c r="B34" s="21" t="n">
        <v>29</v>
      </c>
      <c r="C3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5.2</v>
      </c>
      <c r="D34" s="21" t="n">
        <v>2</v>
      </c>
      <c r="E34" s="75" t="s">
        <v>568</v>
      </c>
      <c r="F34" s="21" t="n">
        <v>2</v>
      </c>
      <c r="G34" s="22" t="s">
        <v>569</v>
      </c>
      <c r="H34" s="22" t="s">
        <v>6</v>
      </c>
      <c r="I34" s="22"/>
      <c r="J34" s="7"/>
      <c r="K34" s="7"/>
      <c r="L34" s="22"/>
      <c r="M34" s="58" t="n">
        <f aca="false">IF(Tasks[[#This Row],[Task Name]]="","",IF(Tasks[[#This Row],[_IsSummary]],MIN(INDEX(Tasks[_ShownFcstStart],Tasks[[#This Row],[_Row]]+1):INDEX(Tasks[_ShownFcstStart],Tasks[[#This Row],[_Row]]+Tasks[[#This Row],[_Descendants]])),Tasks[[#This Row],[_ShownFcstStart]]))</f>
        <v>46392</v>
      </c>
      <c r="N34" s="58" t="n">
        <f aca="false">IF(Tasks[[#This Row],[Task Name]]="","",IF(Tasks[[#This Row],[_IsSummary]],MAX(INDEX(Tasks[_ShownFcstFinish],Tasks[[#This Row],[_Row]]+1):INDEX(Tasks[_ShownFcstFinish],Tasks[[#This Row],[_Row]]+Tasks[[#This Row],[_Descendants]])),Tasks[[#This Row],[_ShownFcstFinish]]))</f>
        <v>46393</v>
      </c>
      <c r="O34" s="20" t="str">
        <f aca="false">IF(Tasks[[#This Row],[Task Name]]="","",IF(Tasks[[#This Row],[Progress]]&gt;=1,"Complete",IF(OR(N(Tasks[[#This Row],[Actual Start]])&gt;0,Tasks[[#This Row],[Progress]]&gt;0),IF(Tasks[[#This Row],[Finish Var]]&gt;0,"Behind","In Progress"),IF(Tasks[[#This Row],[Planned Start]]&lt;StatusDate,"Late Start","Not Started"))))</f>
        <v>Not Started</v>
      </c>
      <c r="P34" s="20" t="str">
        <f aca="false">IF(Tasks[[#This Row],[Task Name]]="","",IF(IF(Tasks[[#This Row],[_IsSummary]],COUNTIF(INDEX(Tasks[_LeafCritical],Tasks[[#This Row],[_Row]]+1):INDEX(Tasks[_LeafCritical],Tasks[[#This Row],[_Row]]+Tasks[[#This Row],[_Descendants]]),TRUE())&gt;0,Tasks[[#This Row],[_LeafCritical]]),"Yes",""))</f>
        <v>Yes</v>
      </c>
      <c r="Q3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34" s="67" t="str">
        <f aca="false">IF(Tasks[[#This Row],[Task Name]]="","",IF(Tasks[[#This Row],[_Level]]&lt;=OutlineShowLevel,"Yes","No"))</f>
        <v>Yes</v>
      </c>
      <c r="S34" s="7"/>
      <c r="T34" s="21" t="s">
        <v>195</v>
      </c>
      <c r="U34" s="22"/>
      <c r="V34" s="7"/>
      <c r="W34" s="67" t="n">
        <f aca="false">IF(Tasks[[#This Row],[Task Name]]="","",IF(Tasks[[#This Row],[Finish]]&gt;=Tasks[[#This Row],[Planned Finish]],NETWORKDAYS.INTL(Tasks[[#This Row],[Planned Finish]],Tasks[[#This Row],[Finish]],WorkWeek,Holidays)-1,1-NETWORKDAYS.INTL(Tasks[[#This Row],[Finish]],Tasks[[#This Row],[Planned Finish]],WorkWeek,Holidays)))</f>
        <v>0</v>
      </c>
      <c r="X34" s="58" t="n">
        <f aca="false">IF(Tasks[[#This Row],[Task Name]]="","",IF(N(Tasks[[#This Row],[Baseline Start]])&gt;0,Tasks[[#This Row],[Baseline Start]],Tasks[[#This Row],[_CalcStart]]))</f>
        <v>46392</v>
      </c>
      <c r="Y34" s="58" t="n">
        <f aca="false">IF(Tasks[[#This Row],[Task Name]]="","",IF(N(Tasks[[#This Row],[Baseline Finish]])&gt;0,Tasks[[#This Row],[Baseline Finish]],Tasks[[#This Row],[_CalcFinish]]))</f>
        <v>46393</v>
      </c>
      <c r="Z34" s="67" t="n">
        <f aca="false">IF(Tasks[[#This Row],[Task Name]]="","",IF(Tasks[[#This Row],[Start]]&gt;=Tasks[[#This Row],[Planned Start]],NETWORKDAYS.INTL(Tasks[[#This Row],[Planned Start]],Tasks[[#This Row],[Start]],WorkWeek,Holidays)-1,1-NETWORKDAYS.INTL(Tasks[[#This Row],[Start]],Tasks[[#This Row],[Planned Start]],WorkWeek,Holidays)))</f>
        <v>0</v>
      </c>
      <c r="AA34" s="58" t="n">
        <f aca="false">IF(Tasks[[#This Row],[Task Name]]="","",IF(Tasks[[#This Row],[_IsSummary]],MIN(INDEX(Tasks[_LeafLateStart],Tasks[[#This Row],[_Row]]+1):INDEX(Tasks[_LeafLateStart],Tasks[[#This Row],[_Row]]+Tasks[[#This Row],[_Descendants]])),Tasks[[#This Row],[_LeafLateStart]]))</f>
        <v>46392</v>
      </c>
      <c r="AB34" s="58" t="n">
        <f aca="false">IF(Tasks[[#This Row],[Task Name]]="","",IF(Tasks[[#This Row],[_IsSummary]],MAX(INDEX(Tasks[_LeafLateFinish],Tasks[[#This Row],[_Row]]+1):INDEX(Tasks[_LeafLateFinish],Tasks[[#This Row],[_Row]]+Tasks[[#This Row],[_Descendants]])),Tasks[[#This Row],[_LeafLateFinish]]))</f>
        <v>46393</v>
      </c>
      <c r="AC34" s="67" t="n">
        <f aca="false">IF(Tasks[[#This Row],[Task Name]]="","",IF(Tasks[[#This Row],[_IsSummary]],MIN(INDEX(Tasks[_LeafTotalSlack],Tasks[[#This Row],[_Row]]+1):INDEX(Tasks[_LeafTotalSlack],Tasks[[#This Row],[_Row]]+Tasks[[#This Row],[_Descendants]])),Tasks[[#This Row],[_LeafTotalSlack]]))</f>
        <v>0</v>
      </c>
      <c r="AD34"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3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3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34" s="60"/>
      <c r="AH34"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I3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26</v>
      </c>
      <c r="AJ34" s="69" t="n">
        <f aca="false">IF(Tasks[[#This Row],[Task Name]]="","",IF(Tasks[[#This Row],[_IsSummary]],SUM(INDEX(Tasks[_LeafTotalWork],Tasks[[#This Row],[_Row]]+1):INDEX(Tasks[_LeafTotalWork],Tasks[[#This Row],[_Row]]+Tasks[[#This Row],[_Descendants]])),Tasks[[#This Row],[_LeafTotalWork]]))</f>
        <v>16</v>
      </c>
      <c r="AK3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Priya Sharma</v>
      </c>
      <c r="AL34" s="70" t="n">
        <f aca="false">IF(Tasks[[#This Row],[Task Name]]="","",IF(Tasks[[#This Row],[_IsSummary]],SUM(INDEX(Tasks[_LeafTotalCost],Tasks[[#This Row],[_Row]]+1):INDEX(Tasks[_LeafTotalCost],Tasks[[#This Row],[_Row]]+Tasks[[#This Row],[_Descendants]])),Tasks[[#This Row],[_LeafTotalCost]]))</f>
        <v>1520</v>
      </c>
      <c r="AM34" s="71"/>
      <c r="AN34" s="20" t="str">
        <f aca="false">IF(OR(Tasks[[#This Row],[Task Name]]="",Tasks[[#This Row],[Baseline Duration]]=""),"",Tasks[[#This Row],[BL Source Duration]]-N(Tasks[[#This Row],[Baseline Duration]]))</f>
        <v/>
      </c>
      <c r="AO34" s="69" t="str">
        <f aca="false">IF(OR(Tasks[[#This Row],[Task Name]]="",Tasks[[#This Row],[Baseline Work]]=""),"",Tasks[[#This Row],[Work]]-N(Tasks[[#This Row],[Baseline Work]]))</f>
        <v/>
      </c>
      <c r="AP34" s="70" t="str">
        <f aca="false">IF(OR(Tasks[[#This Row],[Task Name]]="",Tasks[[#This Row],[Baseline Cost]]=""),"",Tasks[[#This Row],[Cost]]-N(Tasks[[#This Row],[Baseline Cost]]))</f>
        <v/>
      </c>
      <c r="AQ34" s="58" t="n">
        <f aca="false">IF(Tasks[[#This Row],[Task Name]]="","",Tasks[[#This Row],[Start]])</f>
        <v>46392</v>
      </c>
      <c r="AR34" s="58" t="n">
        <f aca="false">IF(Tasks[[#This Row],[Task Name]]="","",Tasks[[#This Row],[Finish]])</f>
        <v>46393</v>
      </c>
      <c r="AS34" s="67" t="n">
        <f aca="false">IF(Tasks[[#This Row],[Task Name]]="","",IF(Tasks[[#This Row],[_IsSummary]],NETWORKDAYS.INTL(Tasks[[#This Row],[Start]],Tasks[[#This Row],[Finish]],WorkWeek,Holidays),N(Tasks[[#This Row],[Duration]])))</f>
        <v>2</v>
      </c>
      <c r="AT34" s="69" t="n">
        <f aca="false">IF(Tasks[[#This Row],[Task Name]]="","",Tasks[[#This Row],[Work]])</f>
        <v>16</v>
      </c>
      <c r="AU34" s="70" t="n">
        <f aca="false">IF(Tasks[[#This Row],[Task Name]]="","",Tasks[[#This Row],[Cost]])</f>
        <v>1520</v>
      </c>
      <c r="AV34" s="7"/>
      <c r="AW34" s="7"/>
      <c r="AX34" s="21"/>
      <c r="AY34" s="72"/>
      <c r="AZ34" s="71"/>
      <c r="BA34" s="70" t="n">
        <f aca="false">IF(Tasks[[#This Row],[Task Name]]="","",IF(Tasks[[#This Row],[_IsSummary]],SUM(INDEX(Tasks[_LeafEV],Tasks[[#This Row],[_Row]]+1):INDEX(Tasks[_LeafEV],Tasks[[#This Row],[_Row]]+Tasks[[#This Row],[_Descendants]])),Tasks[[#This Row],[_LeafEV]]))</f>
        <v>0</v>
      </c>
      <c r="BB34" s="70" t="n">
        <f aca="false">IF(Tasks[[#This Row],[Task Name]]="","",IF(Tasks[[#This Row],[_IsSummary]],SUM(INDEX(Tasks[_LeafBudget],Tasks[[#This Row],[_Row]]+1):INDEX(Tasks[_LeafBudget],Tasks[[#This Row],[_Row]]+Tasks[[#This Row],[_Descendants]])),Tasks[[#This Row],[_LeafBudget]]))</f>
        <v>1520</v>
      </c>
      <c r="BC34" s="70" t="n">
        <f aca="false">IF(Tasks[[#This Row],[Task Name]]="","",IF(Tasks[[#This Row],[_IsSummary]],SUM(INDEX(Tasks[_LeafPV],Tasks[[#This Row],[_Row]]+1):INDEX(Tasks[_LeafPV],Tasks[[#This Row],[_Row]]+Tasks[[#This Row],[_Descendants]])),Tasks[[#This Row],[_LeafPV]]))</f>
        <v>0</v>
      </c>
      <c r="BD34" s="70" t="n">
        <f aca="false">IF(Tasks[[#This Row],[Task Name]]="","",IF(Tasks[[#This Row],[_IsSummary]],SUM(INDEX(Tasks[_LeafAC],Tasks[[#This Row],[_Row]]+1):INDEX(Tasks[_LeafAC],Tasks[[#This Row],[_Row]]+Tasks[[#This Row],[_Descendants]])),Tasks[[#This Row],[_LeafAC]]))</f>
        <v>0</v>
      </c>
      <c r="BE34" s="45" t="n">
        <f aca="false">IF(Tasks[[#This Row],[Task Name]]="","",MAX(1,N(Tasks[[#This Row],[Level]])))</f>
        <v>2</v>
      </c>
      <c r="BF34" s="45" t="n">
        <f aca="false">ROW()-ROW(Tasks[[#Headers],[ID]])</f>
        <v>29</v>
      </c>
      <c r="BG34" s="45" t="n">
        <f aca="false">IF(OR(Tasks[[#This Row],[Task Name]]="",Tasks[[#This Row],[_Level]]&lt;=1),0,IFERROR(LOOKUP(2,1/(Tasks[[#Headers],[_Level]]:Tasks[[#This Row],[_Level]]=Tasks[[#This Row],[_Level]]-1),ROW(Tasks[[#Headers],[_Level]]:Tasks[[#This Row],[_Level]])),0))</f>
        <v>32</v>
      </c>
      <c r="BH34" s="45" t="n">
        <f aca="false">IFERROR(N(INDEX(Tasks[_Level],Tasks[[#This Row],[_Row]]+1)),0)</f>
        <v>2</v>
      </c>
      <c r="BI34" s="73" t="b">
        <f aca="false">AND(Tasks[[#This Row],[Task Name]]&lt;&gt;"",Tasks[[#This Row],[_NextLevel]]&gt;Tasks[[#This Row],[_Level]])</f>
        <v>0</v>
      </c>
      <c r="BJ34" s="45" t="n">
        <f aca="false">IF(Tasks[[#This Row],[_IsSummary]],COUNTIF(Tasks[WBS],Tasks[[#This Row],[WBS]]&amp;".*"),0)</f>
        <v>0</v>
      </c>
      <c r="BK34" s="45" t="n">
        <f aca="false">IF(AND(Tasks[[#This Row],[Task Name]]&lt;&gt;"",NOT(Tasks[[#This Row],[_IsSummary]])),1,0)</f>
        <v>1</v>
      </c>
      <c r="BL34" s="45" t="n">
        <f aca="false">IF(N(Tasks[[#This Row],[_Pred1UID]])=0,0,IFERROR(MATCH(Tasks[[#This Row],[_Pred1UID]],Tasks[UID],0),-1))</f>
        <v>26</v>
      </c>
      <c r="BM34" s="45" t="n">
        <f aca="false">IF(N(Tasks[[#This Row],[_Pred2UID]])=0,0,IFERROR(MATCH(Tasks[[#This Row],[_Pred2UID]],Tasks[UID],0),-1))</f>
        <v>0</v>
      </c>
      <c r="BN34" s="45" t="n">
        <f aca="false">IF(N(Tasks[[#This Row],[_Pred3UID]])=0,0,IFERROR(MATCH(Tasks[[#This Row],[_Pred3UID]],Tasks[UID],0),-1))</f>
        <v>0</v>
      </c>
      <c r="BO34" s="45" t="n">
        <f aca="false">IF(N(Tasks[[#This Row],[_Pred4UID]])=0,0,IFERROR(MATCH(Tasks[[#This Row],[_Pred4UID]],Tasks[UID],0),-1))</f>
        <v>0</v>
      </c>
      <c r="BP34"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3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34" s="74" t="n">
        <f aca="false">IF(OR(Tasks[[#This Row],[_ConstraintCode]]=2,Tasks[[#This Row],[_ConstraintCode]]=3,Tasks[[#This Row],[_ConstraintCode]]=4,Tasks[[#This Row],[_ConstraintCode]]=6),Tasks[[#This Row],[_ConstraintStart]],0)</f>
        <v>0</v>
      </c>
      <c r="BS34" s="74" t="n">
        <f aca="false">IF(OR(Tasks[[#This Row],[_ConstraintCode]]=2,Tasks[[#This Row],[_ConstraintCode]]=3,Tasks[[#This Row],[_ConstraintCode]]=5,Tasks[[#This Row],[_ConstraintCode]]=7),Tasks[[#This Row],[_ConstraintStart]],2958465)</f>
        <v>2958465</v>
      </c>
      <c r="BT34"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46392</v>
      </c>
      <c r="BU34" s="74" t="n">
        <f aca="false">IF(NOT(Tasks[[#This Row],[_IsLeaf]]=1),"",IF(N(Tasks[[#This Row],[Duration]])&lt;=0,Tasks[[#This Row],[_LeafCalcStart]],WORKDAY.INTL(Tasks[[#This Row],[_LeafCalcStart]],Tasks[[#This Row],[Duration]]-1,WorkWeek,Holidays)))</f>
        <v>46393</v>
      </c>
      <c r="BV34"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46392</v>
      </c>
      <c r="BW34"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46393</v>
      </c>
      <c r="BX34" s="45" t="str">
        <f aca="false">IF(Tasks[[#This Row],[Predecessors]]="","",TRIM(MID(SUBSTITUTE(SUBSTITUTE(SUBSTITUTE(UPPER(Tasks[[#This Row],[Predecessors]]),";",",")," ",""),",",REPT(" ",99)),1,99)))</f>
        <v>26</v>
      </c>
      <c r="BY34" s="45" t="n">
        <f aca="false">IF(Tasks[[#This Row],[_Pred1Text]]="","",IFERROR(VALUE(LEFT(Tasks[[#This Row],[_Pred1Text]],MIN(FIND("F",Tasks[[#This Row],[_Pred1Text]]&amp;"F"),FIND("S",Tasks[[#This Row],[_Pred1Text]]&amp;"S"),FIND("+",Tasks[[#This Row],[_Pred1Text]]&amp;"+"),FIND("-",Tasks[[#This Row],[_Pred1Text]]&amp;"-"))-1)),""))</f>
        <v>26</v>
      </c>
      <c r="BZ3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34"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34" s="45" t="str">
        <f aca="false">IF(Tasks[[#This Row],[_Pred1Text]]="","",TRIM(MID(SUBSTITUTE(SUBSTITUTE(SUBSTITUTE(UPPER(Tasks[[#This Row],[Predecessors]]),";",",")," ",""),",",REPT(" ",99)),100,99)))</f>
        <v/>
      </c>
      <c r="CC34" s="45" t="str">
        <f aca="false">IF(Tasks[[#This Row],[_Pred2Text]]="","",IFERROR(VALUE(LEFT(Tasks[[#This Row],[_Pred2Text]],MIN(FIND("F",Tasks[[#This Row],[_Pred2Text]]&amp;"F"),FIND("S",Tasks[[#This Row],[_Pred2Text]]&amp;"S"),FIND("+",Tasks[[#This Row],[_Pred2Text]]&amp;"+"),FIND("-",Tasks[[#This Row],[_Pred2Text]]&amp;"-"))-1)),""))</f>
        <v/>
      </c>
      <c r="CD3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3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34" s="45" t="str">
        <f aca="false">IF(Tasks[[#This Row],[_Pred2Text]]="","",TRIM(MID(SUBSTITUTE(SUBSTITUTE(SUBSTITUTE(UPPER(Tasks[[#This Row],[Predecessors]]),";",",")," ",""),",",REPT(" ",99)),199,99)))</f>
        <v/>
      </c>
      <c r="CG34" s="45" t="str">
        <f aca="false">IF(Tasks[[#This Row],[_Pred3Text]]="","",IFERROR(VALUE(LEFT(Tasks[[#This Row],[_Pred3Text]],MIN(FIND("F",Tasks[[#This Row],[_Pred3Text]]&amp;"F"),FIND("S",Tasks[[#This Row],[_Pred3Text]]&amp;"S"),FIND("+",Tasks[[#This Row],[_Pred3Text]]&amp;"+"),FIND("-",Tasks[[#This Row],[_Pred3Text]]&amp;"-"))-1)),""))</f>
        <v/>
      </c>
      <c r="CH3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3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34" s="45" t="str">
        <f aca="false">IF(Tasks[[#This Row],[_Pred3Text]]="","",TRIM(MID(SUBSTITUTE(SUBSTITUTE(SUBSTITUTE(UPPER(Tasks[[#This Row],[Predecessors]]),";",",")," ",""),",",REPT(" ",99)),298,99)))</f>
        <v/>
      </c>
      <c r="CK34" s="45" t="str">
        <f aca="false">IF(Tasks[[#This Row],[_Pred4Text]]="","",IFERROR(VALUE(LEFT(Tasks[[#This Row],[_Pred4Text]],MIN(FIND("F",Tasks[[#This Row],[_Pred4Text]]&amp;"F"),FIND("S",Tasks[[#This Row],[_Pred4Text]]&amp;"S"),FIND("+",Tasks[[#This Row],[_Pred4Text]]&amp;"+"),FIND("-",Tasks[[#This Row],[_Pred4Text]]&amp;"-"))-1)),""))</f>
        <v/>
      </c>
      <c r="CL3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3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34" s="45" t="str">
        <f aca="false">IF(OR(Tasks[[#This Row],[Task Name]]="",Tasks[[#This Row],[Resources]]=""),"",TRIM(MID(SUBSTITUTE(Tasks[[#This Row],[Resources]],",",REPT(" ",99)),1,99)))</f>
        <v>Priya Sharma</v>
      </c>
      <c r="CO34" s="45" t="str">
        <f aca="false">IF(Tasks[[#This Row],[_Res1Text]]="","",TRIM(MID(SUBSTITUTE(Tasks[[#This Row],[Resources]],",",REPT(" ",99)),100,99)))</f>
        <v/>
      </c>
      <c r="CP34" s="45" t="str">
        <f aca="false">IF(Tasks[[#This Row],[_Res2Text]]="","",TRIM(MID(SUBSTITUTE(Tasks[[#This Row],[Resources]],",",REPT(" ",99)),199,99)))</f>
        <v/>
      </c>
      <c r="CQ34" s="45" t="str">
        <f aca="false">IF(Tasks[[#This Row],[_Res3Text]]="","",TRIM(MID(SUBSTITUTE(Tasks[[#This Row],[Resources]],",",REPT(" ",99)),298,99)))</f>
        <v/>
      </c>
      <c r="CR3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Priya Sharma</v>
      </c>
      <c r="CS3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4" s="45" t="n">
        <f aca="false">IF(NOT(Tasks[[#This Row],[_IsLeaf]]=1),0,(Tasks[[#This Row],[_Resource1]]&lt;&gt;"")+(Tasks[[#This Row],[_Res2]]&lt;&gt;"")+(Tasks[[#This Row],[_Res3]]&lt;&gt;"")+(Tasks[[#This Row],[_Res4]]&lt;&gt;""))</f>
        <v>1</v>
      </c>
      <c r="CU3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3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4" s="45" t="n">
        <f aca="false">IF(OR(NOT(Tasks[[#This Row],[_IsLeaf]]=1),Tasks[[#This Row],[_Res2]]=""),0,IF(ISNA(MATCH(Tasks[[#This Row],[_Res2]],res_Name,0)),0,N(Tasks[[#This Row],[Duration]])*HoursPerDay*IF(Tasks[[#This Row],[_Res2Units]]="",DefaultUnits,Tasks[[#This Row],[_Res2Units]])))</f>
        <v>0</v>
      </c>
      <c r="CX34" s="45" t="n">
        <f aca="false">IF(Tasks[[#This Row],[_Res2Work]]=0,0,Tasks[[#This Row],[_Res2Work]]*IFERROR(INDEX(res_Rate,MATCH(Tasks[[#This Row],[_Res2]],res_Name,0)),0))</f>
        <v>0</v>
      </c>
      <c r="CY34" s="45" t="n">
        <f aca="false">IF(AND(AND(Tasks[[#This Row],[_IsLeaf]]=1,Tasks[[#This Row],[_LeafTotalWork]]&gt;0),Tasks[[#This Row],[_Res2Work]]&gt;0),Tasks[[#This Row],[_Res2Work]]/(Tasks[[#This Row],[_FinishWorkday]]-Tasks[[#This Row],[_StartWorkday]]+1),0)</f>
        <v>0</v>
      </c>
      <c r="CZ34" s="45" t="n">
        <f aca="false">Tasks[[#This Row],[_Res2WorkPerWD]]*MAX(0,Tasks[[#This Row],[_StartWorkday]]-1)</f>
        <v>0</v>
      </c>
      <c r="DA34" s="45" t="n">
        <f aca="false">Tasks[[#This Row],[_Res2Work]]*Tasks[[#This Row],[_LeafProgress]]</f>
        <v>0</v>
      </c>
      <c r="DB34" s="45" t="n">
        <f aca="false">IF(Tasks[[#This Row],[_LeafTotalCost]]=0,0,Tasks[[#This Row],[_LeafAC]]*Tasks[[#This Row],[_Res2Cost]]/Tasks[[#This Row],[_LeafTotalCost]])</f>
        <v>0</v>
      </c>
      <c r="DC3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3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34" s="45" t="n">
        <f aca="false">IF(OR(NOT(Tasks[[#This Row],[_IsLeaf]]=1),Tasks[[#This Row],[_Res3]]=""),0,IF(ISNA(MATCH(Tasks[[#This Row],[_Res3]],res_Name,0)),0,N(Tasks[[#This Row],[Duration]])*HoursPerDay*IF(Tasks[[#This Row],[_Res3Units]]="",DefaultUnits,Tasks[[#This Row],[_Res3Units]])))</f>
        <v>0</v>
      </c>
      <c r="DF34" s="45" t="n">
        <f aca="false">IF(Tasks[[#This Row],[_Res3Work]]=0,0,Tasks[[#This Row],[_Res3Work]]*IFERROR(INDEX(res_Rate,MATCH(Tasks[[#This Row],[_Res3]],res_Name,0)),0))</f>
        <v>0</v>
      </c>
      <c r="DG34" s="45" t="n">
        <f aca="false">IF(AND(AND(Tasks[[#This Row],[_IsLeaf]]=1,Tasks[[#This Row],[_LeafTotalWork]]&gt;0),Tasks[[#This Row],[_Res3Work]]&gt;0),Tasks[[#This Row],[_Res3Work]]/(Tasks[[#This Row],[_FinishWorkday]]-Tasks[[#This Row],[_StartWorkday]]+1),0)</f>
        <v>0</v>
      </c>
      <c r="DH34" s="45" t="n">
        <f aca="false">Tasks[[#This Row],[_Res3WorkPerWD]]*MAX(0,Tasks[[#This Row],[_StartWorkday]]-1)</f>
        <v>0</v>
      </c>
      <c r="DI34" s="45" t="n">
        <f aca="false">Tasks[[#This Row],[_Res3Work]]*Tasks[[#This Row],[_LeafProgress]]</f>
        <v>0</v>
      </c>
      <c r="DJ34" s="45" t="n">
        <f aca="false">IF(Tasks[[#This Row],[_LeafTotalCost]]=0,0,Tasks[[#This Row],[_LeafAC]]*Tasks[[#This Row],[_Res3Cost]]/Tasks[[#This Row],[_LeafTotalCost]])</f>
        <v>0</v>
      </c>
      <c r="DK3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3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34" s="45" t="n">
        <f aca="false">IF(OR(NOT(Tasks[[#This Row],[_IsLeaf]]=1),Tasks[[#This Row],[_Res4]]=""),0,IF(ISNA(MATCH(Tasks[[#This Row],[_Res4]],res_Name,0)),0,N(Tasks[[#This Row],[Duration]])*HoursPerDay*IF(Tasks[[#This Row],[_Res4Units]]="",DefaultUnits,Tasks[[#This Row],[_Res4Units]])))</f>
        <v>0</v>
      </c>
      <c r="DN34" s="45" t="n">
        <f aca="false">IF(Tasks[[#This Row],[_Res4Work]]=0,0,Tasks[[#This Row],[_Res4Work]]*IFERROR(INDEX(res_Rate,MATCH(Tasks[[#This Row],[_Res4]],res_Name,0)),0))</f>
        <v>0</v>
      </c>
      <c r="DO34" s="45" t="n">
        <f aca="false">IF(AND(AND(Tasks[[#This Row],[_IsLeaf]]=1,Tasks[[#This Row],[_LeafTotalWork]]&gt;0),Tasks[[#This Row],[_Res4Work]]&gt;0),Tasks[[#This Row],[_Res4Work]]/(Tasks[[#This Row],[_FinishWorkday]]-Tasks[[#This Row],[_StartWorkday]]+1),0)</f>
        <v>0</v>
      </c>
      <c r="DP34" s="45" t="n">
        <f aca="false">Tasks[[#This Row],[_Res4WorkPerWD]]*MAX(0,Tasks[[#This Row],[_StartWorkday]]-1)</f>
        <v>0</v>
      </c>
      <c r="DQ34" s="45" t="n">
        <f aca="false">Tasks[[#This Row],[_Res4Work]]*Tasks[[#This Row],[_LeafProgress]]</f>
        <v>0</v>
      </c>
      <c r="DR34" s="45" t="n">
        <f aca="false">IF(Tasks[[#This Row],[_LeafTotalCost]]=0,0,Tasks[[#This Row],[_LeafAC]]*Tasks[[#This Row],[_Res4Cost]]/Tasks[[#This Row],[_LeafTotalCost]])</f>
        <v>0</v>
      </c>
      <c r="DS34" s="45" t="n">
        <f aca="false">IF(ISNUMBER(Tasks[[#This Row],[% Complete]]),Tasks[[#This Row],[% Complete]],IF(Tasks[[#This Row],[Stage]]="",0,IFERROR(INDEX(stg_Pct,MATCH(Tasks[[#This Row],[Stage]],stg_Name,0)),0)))</f>
        <v>0</v>
      </c>
      <c r="DT34" s="45" t="n">
        <f aca="false">IF(NOT(Tasks[[#This Row],[_IsLeaf]]=1),0,IF(N(Tasks[[#This Row],[Actual Finish]])&gt;0,1,MIN(1,Tasks[[#This Row],[_Pct]])))</f>
        <v>0</v>
      </c>
      <c r="DU34" s="45" t="n">
        <f aca="false">IF(OR(NOT(Tasks[[#This Row],[_IsLeaf]]=1),Tasks[[#This Row],[_Resource1]]=""),0,IF(ISNA(MATCH(Tasks[[#This Row],[_Resource1]],res_Name,0)),0,N(Tasks[[#This Row],[Duration]])*HoursPerDay*IF(Tasks[[#This Row],[_Units1]]="",DefaultUnits,Tasks[[#This Row],[_Units1]])))</f>
        <v>16</v>
      </c>
      <c r="DV34" s="45" t="n">
        <f aca="false">IF(Tasks[[#This Row],[_LeafWork]]=0,0,Tasks[[#This Row],[_LeafWork]]*IFERROR(INDEX(res_Rate,MATCH(Tasks[[#This Row],[_Resource1]],res_Name,0)),0))</f>
        <v>1520</v>
      </c>
      <c r="DW34" s="45" t="n">
        <f aca="false">Tasks[[#This Row],[_LeafWork]]+Tasks[[#This Row],[_Res2Work]]+Tasks[[#This Row],[_Res3Work]]+Tasks[[#This Row],[_Res4Work]]</f>
        <v>16</v>
      </c>
      <c r="DX34" s="45" t="n">
        <f aca="false">Tasks[[#This Row],[_LeafCost]]+Tasks[[#This Row],[_Res2Cost]]+Tasks[[#This Row],[_Res3Cost]]+Tasks[[#This Row],[_Res4Cost]]</f>
        <v>1520</v>
      </c>
      <c r="DY34" s="45" t="n">
        <f aca="false">IF(Tasks[[#This Row],[_LeafTotalCost]]=0,Tasks[[#This Row],[_LeafAC]],Tasks[[#This Row],[_LeafAC]]*Tasks[[#This Row],[_LeafCost]]/Tasks[[#This Row],[_LeafTotalCost]])</f>
        <v>0</v>
      </c>
      <c r="DZ34"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2912074</v>
      </c>
      <c r="EA3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3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3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34"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3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3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3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34" s="45" t="n">
        <f aca="false">IF(NOT(Tasks[[#This Row],[_IsLeaf]]=1),0,MAX(_xlfn.MAXIFS(Tasks[_Row],Tasks[_Pred1UID],Tasks[[#This Row],[UID]]),_xlfn.MAXIFS(Tasks[_Row],Tasks[_Pred2UID],Tasks[[#This Row],[UID]]),_xlfn.MAXIFS(Tasks[_Row],Tasks[_Pred3UID],Tasks[[#This Row],[UID]]),_xlfn.MAXIFS(Tasks[_Row],Tasks[_Pred4UID],Tasks[[#This Row],[UID]])))</f>
        <v>30</v>
      </c>
      <c r="EI34"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46393</v>
      </c>
      <c r="EJ34"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EK34" s="74" t="n">
        <f aca="false">IF(NOT(Tasks[[#This Row],[_IsLeaf]]=1),"",IF(N(Tasks[[#This Row],[Duration]])&lt;=0,Tasks[[#This Row],[_LeafLateFinish]],WORKDAY.INTL(Tasks[[#This Row],[_LeafLateFinish]],-(Tasks[[#This Row],[Duration]]-1),WorkWeek,Holidays)))</f>
        <v>46392</v>
      </c>
      <c r="EL34"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M34" s="73" t="b">
        <f aca="false">AND(Tasks[[#This Row],[_IsLeaf]]=1,Tasks[[#This Row],[_LeafProgress]]&lt;1,N(Tasks[[#This Row],[_LeafTotalSlack]])&lt;=CriticalSlackDays)</f>
        <v>1</v>
      </c>
      <c r="EN34" s="45" t="n">
        <f aca="false">IF(AND(Tasks[[#This Row],[_IsLeaf]]=1,Tasks[[#This Row],[_ConstraintCode]]=1,Tasks[[#This Row],[Mode]]&lt;&gt;"Manual",N(Tasks[[#This Row],[Actual Start]])=0),MAX(0,N(Tasks[[#This Row],[Free Slack]])),0)</f>
        <v>0</v>
      </c>
      <c r="EO34" s="74" t="n">
        <f aca="false">IF(NOT(Tasks[[#This Row],[_IsLeaf]]=1),"",IF(Tasks[[#This Row],[_AlapShift]]=0,Tasks[[#This Row],[_LeafCalcStart]],WORKDAY.INTL(Tasks[[#This Row],[_LeafCalcStart]],Tasks[[#This Row],[_AlapShift]],WorkWeek,Holidays)))</f>
        <v>46392</v>
      </c>
      <c r="EP34" s="74" t="n">
        <f aca="false">IF(NOT(Tasks[[#This Row],[_IsLeaf]]=1),"",IF(Tasks[[#This Row],[_AlapShift]]=0,Tasks[[#This Row],[_LeafCalcFinish]],WORKDAY.INTL(Tasks[[#This Row],[_LeafCalcFinish]],Tasks[[#This Row],[_AlapShift]],WorkWeek,Holidays)))</f>
        <v>46393</v>
      </c>
      <c r="EQ34" s="74" t="n">
        <f aca="false">IF(NOT(Tasks[[#This Row],[_IsLeaf]]=1),"",IF(Tasks[[#This Row],[_AlapShift]]=0,Tasks[[#This Row],[_LeafFcstStart]],WORKDAY.INTL(Tasks[[#This Row],[_LeafFcstStart]],Tasks[[#This Row],[_AlapShift]],WorkWeek,Holidays)))</f>
        <v>46392</v>
      </c>
      <c r="ER34" s="74" t="n">
        <f aca="false">IF(NOT(Tasks[[#This Row],[_IsLeaf]]=1),"",IF(Tasks[[#This Row],[_AlapShift]]=0,Tasks[[#This Row],[_LeafFcstFinish]],WORKDAY.INTL(Tasks[[#This Row],[_LeafFcstFinish]],Tasks[[#This Row],[_AlapShift]],WorkWeek,Holidays)))</f>
        <v>46393</v>
      </c>
      <c r="ES34" s="74" t="n">
        <f aca="false">IF(Tasks[[#This Row],[Task Name]]="","",IF(Tasks[[#This Row],[_IsSummary]],MIN(INDEX(Tasks[_ShownCalcStart],Tasks[[#This Row],[_Row]]+1):INDEX(Tasks[_ShownCalcStart],Tasks[[#This Row],[_Row]]+Tasks[[#This Row],[_Descendants]])),Tasks[[#This Row],[_ShownCalcStart]]))</f>
        <v>46392</v>
      </c>
      <c r="ET34" s="74" t="n">
        <f aca="false">IF(Tasks[[#This Row],[Task Name]]="","",IF(Tasks[[#This Row],[_IsSummary]],MAX(INDEX(Tasks[_ShownCalcFinish],Tasks[[#This Row],[_Row]]+1):INDEX(Tasks[_ShownCalcFinish],Tasks[[#This Row],[_Row]]+Tasks[[#This Row],[_Descendants]])),Tasks[[#This Row],[_ShownCalcFinish]]))</f>
        <v>46393</v>
      </c>
      <c r="EU3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3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3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3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3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46392</v>
      </c>
      <c r="EZ3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3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3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3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46392</v>
      </c>
      <c r="FD3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3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3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34" s="45" t="n">
        <f aca="false">IF(AND(Tasks[[#This Row],[_IsLeaf]]=1,Tasks[[#This Row],[_LeafTotalWork]]&gt;0),NETWORKDAYS.INTL(ProjectStart,Tasks[[#This Row],[_ShownFcstStart]],WorkWeek,Holidays),0)</f>
        <v>83</v>
      </c>
      <c r="FH34" s="45" t="n">
        <f aca="false">IF(AND(Tasks[[#This Row],[_IsLeaf]]=1,Tasks[[#This Row],[_LeafTotalWork]]&gt;0),MAX(Tasks[[#This Row],[_StartWorkday]],NETWORKDAYS.INTL(ProjectStart,Tasks[[#This Row],[_ShownFcstFinish]],WorkWeek,Holidays)),0)</f>
        <v>84</v>
      </c>
      <c r="FI34" s="45" t="n">
        <f aca="false">IF(AND(Tasks[[#This Row],[_IsLeaf]]=1,Tasks[[#This Row],[_LeafTotalWork]]&gt;0),Tasks[[#This Row],[_LeafWork]]/(Tasks[[#This Row],[_FinishWorkday]]-Tasks[[#This Row],[_StartWorkday]]+1),0)</f>
        <v>8</v>
      </c>
      <c r="FJ34" s="45" t="n">
        <f aca="false">Tasks[[#This Row],[_WorkPerWorkday]]*(Tasks[[#This Row],[_StartWorkday]]-1)</f>
        <v>656</v>
      </c>
      <c r="FK34" s="45" t="n">
        <f aca="false">IF(Tasks[[#This Row],[_IsLeaf]]=1,MAX(N(Tasks[[#This Row],[Duration]]),0.1),0)</f>
        <v>2</v>
      </c>
      <c r="FL34" s="45" t="n">
        <f aca="false">Tasks[[#This Row],[_WeightDur]]*Tasks[[#This Row],[_LeafProgress]]</f>
        <v>0</v>
      </c>
      <c r="FM3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26</v>
      </c>
      <c r="FN34" s="45" t="str">
        <f aca="false">IF(AND(Tasks[[#This Row],[_IsLeaf]]=1,N(Tasks[[#This Row],[Duration]])=0,Tasks[[#This Row],[_LeafProgress]]&lt;1),Tasks[[#This Row],[_ShownFcstFinish]]+Tasks[[#This Row],[_Row]]/100000,"")</f>
        <v/>
      </c>
      <c r="FO3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34" s="45" t="n">
        <f aca="false">IF(NOT(Tasks[[#This Row],[_IsLeaf]]=1),0,IF(Tasks[[#This Row],[Baseline Cost]]="",Tasks[[#This Row],[_LeafTotalCost]],N(Tasks[[#This Row],[Baseline Cost]])))</f>
        <v>1520</v>
      </c>
      <c r="FQ34" s="45" t="n">
        <f aca="false">Tasks[[#This Row],[_LeafBudget]]*Tasks[[#This Row],[_PlannedPct]]</f>
        <v>0</v>
      </c>
      <c r="FR34" s="45" t="n">
        <f aca="false">Tasks[[#This Row],[_LeafBudget]]*Tasks[[#This Row],[_LeafProgress]]</f>
        <v>0</v>
      </c>
      <c r="FS34" s="45" t="n">
        <f aca="false">IF(NOT(Tasks[[#This Row],[_IsLeaf]]=1),0,IF(Tasks[[#This Row],[Actual Cost]]="",Tasks[[#This Row],[_LeafTotalCost]]*Tasks[[#This Row],[_LeafProgress]],N(Tasks[[#This Row],[Actual Cost]])))</f>
        <v>0</v>
      </c>
      <c r="FT34" s="45" t="str">
        <f aca="false">IF(Tasks[[#This Row],[Task Name]]="","",LEFT(Tasks[[#This Row],[WBS]],FIND(".",Tasks[[#This Row],[WBS]]&amp;".")-1))</f>
        <v>5</v>
      </c>
      <c r="FU34" s="45" t="str">
        <f aca="false">IF(AND(Tasks[[#This Row],[Task Name]]&lt;&gt;"",Tasks[[#This Row],[_Level]]=1),Tasks[[#This Row],[_Row]],"")</f>
        <v/>
      </c>
      <c r="FV34" s="45" t="str">
        <f aca="false">IF(AND(Tasks[[#This Row],[_IsLeaf]]=1,N(Tasks[[#This Row],[Duration]])=0),Tasks[[#This Row],[Planned Finish]]+Tasks[[#This Row],[_Row]]/100000,"")</f>
        <v/>
      </c>
      <c r="FW34" s="45" t="str">
        <f aca="false">IF(AND(Tasks[[#This Row],[_IsLeaf]]=1,Tasks[[#This Row],[_LeafProgress]]&lt;1,OR(N(Tasks[[#This Row],[Finish Var]])&gt;0,Tasks[[#This Row],[Status]]="Late Start")),MAX(0,Tasks[[#This Row],[Finish Var]])+1-Tasks[[#This Row],[_Row]]/1000000,"")</f>
        <v/>
      </c>
      <c r="FX34" s="45" t="str">
        <f aca="false">IF(AND(Tasks[[#This Row],[_IsLeaf]]=1,N(Tasks[[#This Row],[Actual Start]])=0,Tasks[[#This Row],[_ShownFcstStart]]&gt;=StatusDate,Tasks[[#This Row],[_ShownFcstStart]]&lt;=LookaheadEnd),Tasks[[#This Row],[_ShownFcstStart]]+Tasks[[#This Row],[_Row]]/100000,"")</f>
        <v/>
      </c>
      <c r="FY34" s="45" t="str">
        <f aca="false">IF(AND(Tasks[[#This Row],[_IsLeaf]]=1,Tasks[[#This Row],[_LeafProgress]]&lt;1,Tasks[[#This Row],[_ShownFcstFinish]]&gt;=StatusDate,Tasks[[#This Row],[_ShownFcstFinish]]&lt;=LookaheadEnd),Tasks[[#This Row],[_ShownFcstFinish]]+Tasks[[#This Row],[_Row]]/100000,"")</f>
        <v/>
      </c>
      <c r="FZ34" s="77" t="n">
        <f aca="false">IF(Tasks[[#This Row],[_LeafCritical]],Tasks[[#This Row],[_ShownFcstStart]]+Tasks[[#This Row],[_Row]]/100000,"")</f>
        <v>46392.00029</v>
      </c>
      <c r="GA34" s="45" t="n">
        <f aca="false">Tasks[[#This Row],[_LeafWork]]*Tasks[[#This Row],[_LeafProgress]]</f>
        <v>0</v>
      </c>
      <c r="GB34" s="74" t="str">
        <f aca="false">IF(AND(Tasks[[#This Row],[_IsLeaf]]=1,Tasks[[#This Row],[_LeafProgress]]&gt;=1),IF(N(Tasks[[#This Row],[Actual Finish]])&gt;0,Tasks[[#This Row],[Actual Finish]],Tasks[[#This Row],[_ShownFcstFinish]]),"")</f>
        <v/>
      </c>
    </row>
    <row r="35" customFormat="false" ht="15" hidden="false" customHeight="false" outlineLevel="1" collapsed="false">
      <c r="A35" s="67" t="n">
        <f aca="false">IF(Tasks[[#This Row],[Task Name]]="","",COUNTA(Tasks[[#Headers],[Task Name]]:Tasks[[#This Row],[Task Name]])-1)</f>
        <v>30</v>
      </c>
      <c r="B35" s="21" t="n">
        <v>30</v>
      </c>
      <c r="C3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5.3</v>
      </c>
      <c r="D35" s="21" t="n">
        <v>2</v>
      </c>
      <c r="E35" s="75" t="s">
        <v>570</v>
      </c>
      <c r="F35" s="21" t="n">
        <v>0</v>
      </c>
      <c r="G35" s="22" t="s">
        <v>571</v>
      </c>
      <c r="H35" s="22"/>
      <c r="I35" s="22"/>
      <c r="J35" s="7"/>
      <c r="K35" s="7"/>
      <c r="L35" s="22" t="s">
        <v>164</v>
      </c>
      <c r="M35" s="58" t="n">
        <f aca="false">IF(Tasks[[#This Row],[Task Name]]="","",IF(Tasks[[#This Row],[_IsSummary]],MIN(INDEX(Tasks[_ShownFcstStart],Tasks[[#This Row],[_Row]]+1):INDEX(Tasks[_ShownFcstStart],Tasks[[#This Row],[_Row]]+Tasks[[#This Row],[_Descendants]])),Tasks[[#This Row],[_ShownFcstStart]]))</f>
        <v>46393</v>
      </c>
      <c r="N35" s="58" t="n">
        <f aca="false">IF(Tasks[[#This Row],[Task Name]]="","",IF(Tasks[[#This Row],[_IsSummary]],MAX(INDEX(Tasks[_ShownFcstFinish],Tasks[[#This Row],[_Row]]+1):INDEX(Tasks[_ShownFcstFinish],Tasks[[#This Row],[_Row]]+Tasks[[#This Row],[_Descendants]])),Tasks[[#This Row],[_ShownFcstFinish]]))</f>
        <v>46393</v>
      </c>
      <c r="O35" s="20" t="str">
        <f aca="false">IF(Tasks[[#This Row],[Task Name]]="","",IF(Tasks[[#This Row],[Progress]]&gt;=1,"Complete",IF(OR(N(Tasks[[#This Row],[Actual Start]])&gt;0,Tasks[[#This Row],[Progress]]&gt;0),IF(Tasks[[#This Row],[Finish Var]]&gt;0,"Behind","In Progress"),IF(Tasks[[#This Row],[Planned Start]]&lt;StatusDate,"Late Start","Not Started"))))</f>
        <v>Not Started</v>
      </c>
      <c r="P35" s="20" t="str">
        <f aca="false">IF(Tasks[[#This Row],[Task Name]]="","",IF(IF(Tasks[[#This Row],[_IsSummary]],COUNTIF(INDEX(Tasks[_LeafCritical],Tasks[[#This Row],[_Row]]+1):INDEX(Tasks[_LeafCritical],Tasks[[#This Row],[_Row]]+Tasks[[#This Row],[_Descendants]]),TRUE())&gt;0,Tasks[[#This Row],[_LeafCritical]]),"Yes",""))</f>
        <v>Yes</v>
      </c>
      <c r="Q3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35" s="67" t="str">
        <f aca="false">IF(Tasks[[#This Row],[Task Name]]="","",IF(Tasks[[#This Row],[_Level]]&lt;=OutlineShowLevel,"Yes","No"))</f>
        <v>Yes</v>
      </c>
      <c r="S35" s="7"/>
      <c r="T35" s="21" t="s">
        <v>195</v>
      </c>
      <c r="U35" s="22"/>
      <c r="V35" s="7"/>
      <c r="W35" s="67" t="n">
        <f aca="false">IF(Tasks[[#This Row],[Task Name]]="","",IF(Tasks[[#This Row],[Finish]]&gt;=Tasks[[#This Row],[Planned Finish]],NETWORKDAYS.INTL(Tasks[[#This Row],[Planned Finish]],Tasks[[#This Row],[Finish]],WorkWeek,Holidays)-1,1-NETWORKDAYS.INTL(Tasks[[#This Row],[Finish]],Tasks[[#This Row],[Planned Finish]],WorkWeek,Holidays)))</f>
        <v>0</v>
      </c>
      <c r="X35" s="58" t="n">
        <f aca="false">IF(Tasks[[#This Row],[Task Name]]="","",IF(N(Tasks[[#This Row],[Baseline Start]])&gt;0,Tasks[[#This Row],[Baseline Start]],Tasks[[#This Row],[_CalcStart]]))</f>
        <v>46393</v>
      </c>
      <c r="Y35" s="58" t="n">
        <f aca="false">IF(Tasks[[#This Row],[Task Name]]="","",IF(N(Tasks[[#This Row],[Baseline Finish]])&gt;0,Tasks[[#This Row],[Baseline Finish]],Tasks[[#This Row],[_CalcFinish]]))</f>
        <v>46393</v>
      </c>
      <c r="Z35" s="67" t="n">
        <f aca="false">IF(Tasks[[#This Row],[Task Name]]="","",IF(Tasks[[#This Row],[Start]]&gt;=Tasks[[#This Row],[Planned Start]],NETWORKDAYS.INTL(Tasks[[#This Row],[Planned Start]],Tasks[[#This Row],[Start]],WorkWeek,Holidays)-1,1-NETWORKDAYS.INTL(Tasks[[#This Row],[Start]],Tasks[[#This Row],[Planned Start]],WorkWeek,Holidays)))</f>
        <v>0</v>
      </c>
      <c r="AA35" s="58" t="n">
        <f aca="false">IF(Tasks[[#This Row],[Task Name]]="","",IF(Tasks[[#This Row],[_IsSummary]],MIN(INDEX(Tasks[_LeafLateStart],Tasks[[#This Row],[_Row]]+1):INDEX(Tasks[_LeafLateStart],Tasks[[#This Row],[_Row]]+Tasks[[#This Row],[_Descendants]])),Tasks[[#This Row],[_LeafLateStart]]))</f>
        <v>46393</v>
      </c>
      <c r="AB35" s="58" t="n">
        <f aca="false">IF(Tasks[[#This Row],[Task Name]]="","",IF(Tasks[[#This Row],[_IsSummary]],MAX(INDEX(Tasks[_LeafLateFinish],Tasks[[#This Row],[_Row]]+1):INDEX(Tasks[_LeafLateFinish],Tasks[[#This Row],[_Row]]+Tasks[[#This Row],[_Descendants]])),Tasks[[#This Row],[_LeafLateFinish]]))</f>
        <v>46393</v>
      </c>
      <c r="AC35" s="67" t="n">
        <f aca="false">IF(Tasks[[#This Row],[Task Name]]="","",IF(Tasks[[#This Row],[_IsSummary]],MIN(INDEX(Tasks[_LeafTotalSlack],Tasks[[#This Row],[_Row]]+1):INDEX(Tasks[_LeafTotalSlack],Tasks[[#This Row],[_Row]]+Tasks[[#This Row],[_Descendants]])),Tasks[[#This Row],[_LeafTotalSlack]]))</f>
        <v>0</v>
      </c>
      <c r="AD35" s="20"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E3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3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35" s="60"/>
      <c r="AH35" s="68"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I3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29</v>
      </c>
      <c r="AJ35" s="69" t="n">
        <f aca="false">IF(Tasks[[#This Row],[Task Name]]="","",IF(Tasks[[#This Row],[_IsSummary]],SUM(INDEX(Tasks[_LeafTotalWork],Tasks[[#This Row],[_Row]]+1):INDEX(Tasks[_LeafTotalWork],Tasks[[#This Row],[_Row]]+Tasks[[#This Row],[_Descendants]])),Tasks[[#This Row],[_LeafTotalWork]]))</f>
        <v>0</v>
      </c>
      <c r="AK3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35" s="70" t="n">
        <f aca="false">IF(Tasks[[#This Row],[Task Name]]="","",IF(Tasks[[#This Row],[_IsSummary]],SUM(INDEX(Tasks[_LeafTotalCost],Tasks[[#This Row],[_Row]]+1):INDEX(Tasks[_LeafTotalCost],Tasks[[#This Row],[_Row]]+Tasks[[#This Row],[_Descendants]])),Tasks[[#This Row],[_LeafTotalCost]]))</f>
        <v>0</v>
      </c>
      <c r="AM35" s="71"/>
      <c r="AN35" s="20" t="str">
        <f aca="false">IF(OR(Tasks[[#This Row],[Task Name]]="",Tasks[[#This Row],[Baseline Duration]]=""),"",Tasks[[#This Row],[BL Source Duration]]-N(Tasks[[#This Row],[Baseline Duration]]))</f>
        <v/>
      </c>
      <c r="AO35" s="69" t="str">
        <f aca="false">IF(OR(Tasks[[#This Row],[Task Name]]="",Tasks[[#This Row],[Baseline Work]]=""),"",Tasks[[#This Row],[Work]]-N(Tasks[[#This Row],[Baseline Work]]))</f>
        <v/>
      </c>
      <c r="AP35" s="70" t="str">
        <f aca="false">IF(OR(Tasks[[#This Row],[Task Name]]="",Tasks[[#This Row],[Baseline Cost]]=""),"",Tasks[[#This Row],[Cost]]-N(Tasks[[#This Row],[Baseline Cost]]))</f>
        <v/>
      </c>
      <c r="AQ35" s="58" t="n">
        <f aca="false">IF(Tasks[[#This Row],[Task Name]]="","",Tasks[[#This Row],[Start]])</f>
        <v>46393</v>
      </c>
      <c r="AR35" s="58" t="n">
        <f aca="false">IF(Tasks[[#This Row],[Task Name]]="","",Tasks[[#This Row],[Finish]])</f>
        <v>46393</v>
      </c>
      <c r="AS35" s="67" t="n">
        <f aca="false">IF(Tasks[[#This Row],[Task Name]]="","",IF(Tasks[[#This Row],[_IsSummary]],NETWORKDAYS.INTL(Tasks[[#This Row],[Start]],Tasks[[#This Row],[Finish]],WorkWeek,Holidays),N(Tasks[[#This Row],[Duration]])))</f>
        <v>0</v>
      </c>
      <c r="AT35" s="69" t="n">
        <f aca="false">IF(Tasks[[#This Row],[Task Name]]="","",Tasks[[#This Row],[Work]])</f>
        <v>0</v>
      </c>
      <c r="AU35" s="70" t="n">
        <f aca="false">IF(Tasks[[#This Row],[Task Name]]="","",Tasks[[#This Row],[Cost]])</f>
        <v>0</v>
      </c>
      <c r="AV35" s="7"/>
      <c r="AW35" s="7"/>
      <c r="AX35" s="21"/>
      <c r="AY35" s="72"/>
      <c r="AZ35" s="71"/>
      <c r="BA35" s="70" t="n">
        <f aca="false">IF(Tasks[[#This Row],[Task Name]]="","",IF(Tasks[[#This Row],[_IsSummary]],SUM(INDEX(Tasks[_LeafEV],Tasks[[#This Row],[_Row]]+1):INDEX(Tasks[_LeafEV],Tasks[[#This Row],[_Row]]+Tasks[[#This Row],[_Descendants]])),Tasks[[#This Row],[_LeafEV]]))</f>
        <v>0</v>
      </c>
      <c r="BB35" s="70" t="n">
        <f aca="false">IF(Tasks[[#This Row],[Task Name]]="","",IF(Tasks[[#This Row],[_IsSummary]],SUM(INDEX(Tasks[_LeafBudget],Tasks[[#This Row],[_Row]]+1):INDEX(Tasks[_LeafBudget],Tasks[[#This Row],[_Row]]+Tasks[[#This Row],[_Descendants]])),Tasks[[#This Row],[_LeafBudget]]))</f>
        <v>0</v>
      </c>
      <c r="BC35" s="70" t="n">
        <f aca="false">IF(Tasks[[#This Row],[Task Name]]="","",IF(Tasks[[#This Row],[_IsSummary]],SUM(INDEX(Tasks[_LeafPV],Tasks[[#This Row],[_Row]]+1):INDEX(Tasks[_LeafPV],Tasks[[#This Row],[_Row]]+Tasks[[#This Row],[_Descendants]])),Tasks[[#This Row],[_LeafPV]]))</f>
        <v>0</v>
      </c>
      <c r="BD35" s="70" t="n">
        <f aca="false">IF(Tasks[[#This Row],[Task Name]]="","",IF(Tasks[[#This Row],[_IsSummary]],SUM(INDEX(Tasks[_LeafAC],Tasks[[#This Row],[_Row]]+1):INDEX(Tasks[_LeafAC],Tasks[[#This Row],[_Row]]+Tasks[[#This Row],[_Descendants]])),Tasks[[#This Row],[_LeafAC]]))</f>
        <v>0</v>
      </c>
      <c r="BE35" s="45" t="n">
        <f aca="false">IF(Tasks[[#This Row],[Task Name]]="","",MAX(1,N(Tasks[[#This Row],[Level]])))</f>
        <v>2</v>
      </c>
      <c r="BF35" s="45" t="n">
        <f aca="false">ROW()-ROW(Tasks[[#Headers],[ID]])</f>
        <v>30</v>
      </c>
      <c r="BG35" s="45" t="n">
        <f aca="false">IF(OR(Tasks[[#This Row],[Task Name]]="",Tasks[[#This Row],[_Level]]&lt;=1),0,IFERROR(LOOKUP(2,1/(Tasks[[#Headers],[_Level]]:Tasks[[#This Row],[_Level]]=Tasks[[#This Row],[_Level]]-1),ROW(Tasks[[#Headers],[_Level]]:Tasks[[#This Row],[_Level]])),0))</f>
        <v>32</v>
      </c>
      <c r="BH35" s="45" t="n">
        <f aca="false">IFERROR(N(INDEX(Tasks[_Level],Tasks[[#This Row],[_Row]]+1)),0)</f>
        <v>0</v>
      </c>
      <c r="BI35" s="73" t="b">
        <f aca="false">AND(Tasks[[#This Row],[Task Name]]&lt;&gt;"",Tasks[[#This Row],[_NextLevel]]&gt;Tasks[[#This Row],[_Level]])</f>
        <v>0</v>
      </c>
      <c r="BJ35" s="45" t="n">
        <f aca="false">IF(Tasks[[#This Row],[_IsSummary]],COUNTIF(Tasks[WBS],Tasks[[#This Row],[WBS]]&amp;".*"),0)</f>
        <v>0</v>
      </c>
      <c r="BK35" s="45" t="n">
        <f aca="false">IF(AND(Tasks[[#This Row],[Task Name]]&lt;&gt;"",NOT(Tasks[[#This Row],[_IsSummary]])),1,0)</f>
        <v>1</v>
      </c>
      <c r="BL35" s="45" t="n">
        <f aca="false">IF(N(Tasks[[#This Row],[_Pred1UID]])=0,0,IFERROR(MATCH(Tasks[[#This Row],[_Pred1UID]],Tasks[UID],0),-1))</f>
        <v>29</v>
      </c>
      <c r="BM35" s="45" t="n">
        <f aca="false">IF(N(Tasks[[#This Row],[_Pred2UID]])=0,0,IFERROR(MATCH(Tasks[[#This Row],[_Pred2UID]],Tasks[UID],0),-1))</f>
        <v>0</v>
      </c>
      <c r="BN35" s="45" t="n">
        <f aca="false">IF(N(Tasks[[#This Row],[_Pred3UID]])=0,0,IFERROR(MATCH(Tasks[[#This Row],[_Pred3UID]],Tasks[UID],0),-1))</f>
        <v>0</v>
      </c>
      <c r="BO35" s="45" t="n">
        <f aca="false">IF(N(Tasks[[#This Row],[_Pred4UID]])=0,0,IFERROR(MATCH(Tasks[[#This Row],[_Pred4UID]],Tasks[UID],0),-1))</f>
        <v>0</v>
      </c>
      <c r="BP35"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Q3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35" s="74" t="n">
        <f aca="false">IF(OR(Tasks[[#This Row],[_ConstraintCode]]=2,Tasks[[#This Row],[_ConstraintCode]]=3,Tasks[[#This Row],[_ConstraintCode]]=4,Tasks[[#This Row],[_ConstraintCode]]=6),Tasks[[#This Row],[_ConstraintStart]],0)</f>
        <v>0</v>
      </c>
      <c r="BS35" s="74" t="n">
        <f aca="false">IF(OR(Tasks[[#This Row],[_ConstraintCode]]=2,Tasks[[#This Row],[_ConstraintCode]]=3,Tasks[[#This Row],[_ConstraintCode]]=5,Tasks[[#This Row],[_ConstraintCode]]=7),Tasks[[#This Row],[_ConstraintStart]],2958465)</f>
        <v>2958465</v>
      </c>
      <c r="BT35" s="74"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46393</v>
      </c>
      <c r="BU35" s="74" t="n">
        <f aca="false">IF(NOT(Tasks[[#This Row],[_IsLeaf]]=1),"",IF(N(Tasks[[#This Row],[Duration]])&lt;=0,Tasks[[#This Row],[_LeafCalcStart]],WORKDAY.INTL(Tasks[[#This Row],[_LeafCalcStart]],Tasks[[#This Row],[Duration]]-1,WorkWeek,Holidays)))</f>
        <v>46393</v>
      </c>
      <c r="BV35" s="74"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46393</v>
      </c>
      <c r="BW35" s="74"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46393</v>
      </c>
      <c r="BX35" s="45" t="str">
        <f aca="false">IF(Tasks[[#This Row],[Predecessors]]="","",TRIM(MID(SUBSTITUTE(SUBSTITUTE(SUBSTITUTE(UPPER(Tasks[[#This Row],[Predecessors]]),";",",")," ",""),",",REPT(" ",99)),1,99)))</f>
        <v>29</v>
      </c>
      <c r="BY35" s="45" t="n">
        <f aca="false">IF(Tasks[[#This Row],[_Pred1Text]]="","",IFERROR(VALUE(LEFT(Tasks[[#This Row],[_Pred1Text]],MIN(FIND("F",Tasks[[#This Row],[_Pred1Text]]&amp;"F"),FIND("S",Tasks[[#This Row],[_Pred1Text]]&amp;"S"),FIND("+",Tasks[[#This Row],[_Pred1Text]]&amp;"+"),FIND("-",Tasks[[#This Row],[_Pred1Text]]&amp;"-"))-1)),""))</f>
        <v>29</v>
      </c>
      <c r="BZ3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A35"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B35" s="45" t="str">
        <f aca="false">IF(Tasks[[#This Row],[_Pred1Text]]="","",TRIM(MID(SUBSTITUTE(SUBSTITUTE(SUBSTITUTE(UPPER(Tasks[[#This Row],[Predecessors]]),";",",")," ",""),",",REPT(" ",99)),100,99)))</f>
        <v/>
      </c>
      <c r="CC35" s="45" t="str">
        <f aca="false">IF(Tasks[[#This Row],[_Pred2Text]]="","",IFERROR(VALUE(LEFT(Tasks[[#This Row],[_Pred2Text]],MIN(FIND("F",Tasks[[#This Row],[_Pred2Text]]&amp;"F"),FIND("S",Tasks[[#This Row],[_Pred2Text]]&amp;"S"),FIND("+",Tasks[[#This Row],[_Pred2Text]]&amp;"+"),FIND("-",Tasks[[#This Row],[_Pred2Text]]&amp;"-"))-1)),""))</f>
        <v/>
      </c>
      <c r="CD3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3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35" s="45" t="str">
        <f aca="false">IF(Tasks[[#This Row],[_Pred2Text]]="","",TRIM(MID(SUBSTITUTE(SUBSTITUTE(SUBSTITUTE(UPPER(Tasks[[#This Row],[Predecessors]]),";",",")," ",""),",",REPT(" ",99)),199,99)))</f>
        <v/>
      </c>
      <c r="CG35" s="45" t="str">
        <f aca="false">IF(Tasks[[#This Row],[_Pred3Text]]="","",IFERROR(VALUE(LEFT(Tasks[[#This Row],[_Pred3Text]],MIN(FIND("F",Tasks[[#This Row],[_Pred3Text]]&amp;"F"),FIND("S",Tasks[[#This Row],[_Pred3Text]]&amp;"S"),FIND("+",Tasks[[#This Row],[_Pred3Text]]&amp;"+"),FIND("-",Tasks[[#This Row],[_Pred3Text]]&amp;"-"))-1)),""))</f>
        <v/>
      </c>
      <c r="CH3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3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35" s="45" t="str">
        <f aca="false">IF(Tasks[[#This Row],[_Pred3Text]]="","",TRIM(MID(SUBSTITUTE(SUBSTITUTE(SUBSTITUTE(UPPER(Tasks[[#This Row],[Predecessors]]),";",",")," ",""),",",REPT(" ",99)),298,99)))</f>
        <v/>
      </c>
      <c r="CK35" s="45" t="str">
        <f aca="false">IF(Tasks[[#This Row],[_Pred4Text]]="","",IFERROR(VALUE(LEFT(Tasks[[#This Row],[_Pred4Text]],MIN(FIND("F",Tasks[[#This Row],[_Pred4Text]]&amp;"F"),FIND("S",Tasks[[#This Row],[_Pred4Text]]&amp;"S"),FIND("+",Tasks[[#This Row],[_Pred4Text]]&amp;"+"),FIND("-",Tasks[[#This Row],[_Pred4Text]]&amp;"-"))-1)),""))</f>
        <v/>
      </c>
      <c r="CL3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3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35" s="45" t="str">
        <f aca="false">IF(OR(Tasks[[#This Row],[Task Name]]="",Tasks[[#This Row],[Resources]]=""),"",TRIM(MID(SUBSTITUTE(Tasks[[#This Row],[Resources]],",",REPT(" ",99)),1,99)))</f>
        <v/>
      </c>
      <c r="CO35" s="45" t="str">
        <f aca="false">IF(Tasks[[#This Row],[_Res1Text]]="","",TRIM(MID(SUBSTITUTE(Tasks[[#This Row],[Resources]],",",REPT(" ",99)),100,99)))</f>
        <v/>
      </c>
      <c r="CP35" s="45" t="str">
        <f aca="false">IF(Tasks[[#This Row],[_Res2Text]]="","",TRIM(MID(SUBSTITUTE(Tasks[[#This Row],[Resources]],",",REPT(" ",99)),199,99)))</f>
        <v/>
      </c>
      <c r="CQ35" s="45" t="str">
        <f aca="false">IF(Tasks[[#This Row],[_Res3Text]]="","",TRIM(MID(SUBSTITUTE(Tasks[[#This Row],[Resources]],",",REPT(" ",99)),298,99)))</f>
        <v/>
      </c>
      <c r="CR3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3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5" s="45" t="n">
        <f aca="false">IF(NOT(Tasks[[#This Row],[_IsLeaf]]=1),0,(Tasks[[#This Row],[_Resource1]]&lt;&gt;"")+(Tasks[[#This Row],[_Res2]]&lt;&gt;"")+(Tasks[[#This Row],[_Res3]]&lt;&gt;"")+(Tasks[[#This Row],[_Res4]]&lt;&gt;""))</f>
        <v>0</v>
      </c>
      <c r="CU3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3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5" s="45" t="n">
        <f aca="false">IF(OR(NOT(Tasks[[#This Row],[_IsLeaf]]=1),Tasks[[#This Row],[_Res2]]=""),0,IF(ISNA(MATCH(Tasks[[#This Row],[_Res2]],res_Name,0)),0,N(Tasks[[#This Row],[Duration]])*HoursPerDay*IF(Tasks[[#This Row],[_Res2Units]]="",DefaultUnits,Tasks[[#This Row],[_Res2Units]])))</f>
        <v>0</v>
      </c>
      <c r="CX35" s="45" t="n">
        <f aca="false">IF(Tasks[[#This Row],[_Res2Work]]=0,0,Tasks[[#This Row],[_Res2Work]]*IFERROR(INDEX(res_Rate,MATCH(Tasks[[#This Row],[_Res2]],res_Name,0)),0))</f>
        <v>0</v>
      </c>
      <c r="CY35" s="45" t="n">
        <f aca="false">IF(AND(AND(Tasks[[#This Row],[_IsLeaf]]=1,Tasks[[#This Row],[_LeafTotalWork]]&gt;0),Tasks[[#This Row],[_Res2Work]]&gt;0),Tasks[[#This Row],[_Res2Work]]/(Tasks[[#This Row],[_FinishWorkday]]-Tasks[[#This Row],[_StartWorkday]]+1),0)</f>
        <v>0</v>
      </c>
      <c r="CZ35" s="45" t="n">
        <f aca="false">Tasks[[#This Row],[_Res2WorkPerWD]]*MAX(0,Tasks[[#This Row],[_StartWorkday]]-1)</f>
        <v>0</v>
      </c>
      <c r="DA35" s="45" t="n">
        <f aca="false">Tasks[[#This Row],[_Res2Work]]*Tasks[[#This Row],[_LeafProgress]]</f>
        <v>0</v>
      </c>
      <c r="DB35" s="45" t="n">
        <f aca="false">IF(Tasks[[#This Row],[_LeafTotalCost]]=0,0,Tasks[[#This Row],[_LeafAC]]*Tasks[[#This Row],[_Res2Cost]]/Tasks[[#This Row],[_LeafTotalCost]])</f>
        <v>0</v>
      </c>
      <c r="DC3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3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35" s="45" t="n">
        <f aca="false">IF(OR(NOT(Tasks[[#This Row],[_IsLeaf]]=1),Tasks[[#This Row],[_Res3]]=""),0,IF(ISNA(MATCH(Tasks[[#This Row],[_Res3]],res_Name,0)),0,N(Tasks[[#This Row],[Duration]])*HoursPerDay*IF(Tasks[[#This Row],[_Res3Units]]="",DefaultUnits,Tasks[[#This Row],[_Res3Units]])))</f>
        <v>0</v>
      </c>
      <c r="DF35" s="45" t="n">
        <f aca="false">IF(Tasks[[#This Row],[_Res3Work]]=0,0,Tasks[[#This Row],[_Res3Work]]*IFERROR(INDEX(res_Rate,MATCH(Tasks[[#This Row],[_Res3]],res_Name,0)),0))</f>
        <v>0</v>
      </c>
      <c r="DG35" s="45" t="n">
        <f aca="false">IF(AND(AND(Tasks[[#This Row],[_IsLeaf]]=1,Tasks[[#This Row],[_LeafTotalWork]]&gt;0),Tasks[[#This Row],[_Res3Work]]&gt;0),Tasks[[#This Row],[_Res3Work]]/(Tasks[[#This Row],[_FinishWorkday]]-Tasks[[#This Row],[_StartWorkday]]+1),0)</f>
        <v>0</v>
      </c>
      <c r="DH35" s="45" t="n">
        <f aca="false">Tasks[[#This Row],[_Res3WorkPerWD]]*MAX(0,Tasks[[#This Row],[_StartWorkday]]-1)</f>
        <v>0</v>
      </c>
      <c r="DI35" s="45" t="n">
        <f aca="false">Tasks[[#This Row],[_Res3Work]]*Tasks[[#This Row],[_LeafProgress]]</f>
        <v>0</v>
      </c>
      <c r="DJ35" s="45" t="n">
        <f aca="false">IF(Tasks[[#This Row],[_LeafTotalCost]]=0,0,Tasks[[#This Row],[_LeafAC]]*Tasks[[#This Row],[_Res3Cost]]/Tasks[[#This Row],[_LeafTotalCost]])</f>
        <v>0</v>
      </c>
      <c r="DK3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3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35" s="45" t="n">
        <f aca="false">IF(OR(NOT(Tasks[[#This Row],[_IsLeaf]]=1),Tasks[[#This Row],[_Res4]]=""),0,IF(ISNA(MATCH(Tasks[[#This Row],[_Res4]],res_Name,0)),0,N(Tasks[[#This Row],[Duration]])*HoursPerDay*IF(Tasks[[#This Row],[_Res4Units]]="",DefaultUnits,Tasks[[#This Row],[_Res4Units]])))</f>
        <v>0</v>
      </c>
      <c r="DN35" s="45" t="n">
        <f aca="false">IF(Tasks[[#This Row],[_Res4Work]]=0,0,Tasks[[#This Row],[_Res4Work]]*IFERROR(INDEX(res_Rate,MATCH(Tasks[[#This Row],[_Res4]],res_Name,0)),0))</f>
        <v>0</v>
      </c>
      <c r="DO35" s="45" t="n">
        <f aca="false">IF(AND(AND(Tasks[[#This Row],[_IsLeaf]]=1,Tasks[[#This Row],[_LeafTotalWork]]&gt;0),Tasks[[#This Row],[_Res4Work]]&gt;0),Tasks[[#This Row],[_Res4Work]]/(Tasks[[#This Row],[_FinishWorkday]]-Tasks[[#This Row],[_StartWorkday]]+1),0)</f>
        <v>0</v>
      </c>
      <c r="DP35" s="45" t="n">
        <f aca="false">Tasks[[#This Row],[_Res4WorkPerWD]]*MAX(0,Tasks[[#This Row],[_StartWorkday]]-1)</f>
        <v>0</v>
      </c>
      <c r="DQ35" s="45" t="n">
        <f aca="false">Tasks[[#This Row],[_Res4Work]]*Tasks[[#This Row],[_LeafProgress]]</f>
        <v>0</v>
      </c>
      <c r="DR35" s="45" t="n">
        <f aca="false">IF(Tasks[[#This Row],[_LeafTotalCost]]=0,0,Tasks[[#This Row],[_LeafAC]]*Tasks[[#This Row],[_Res4Cost]]/Tasks[[#This Row],[_LeafTotalCost]])</f>
        <v>0</v>
      </c>
      <c r="DS35" s="45" t="n">
        <f aca="false">IF(ISNUMBER(Tasks[[#This Row],[% Complete]]),Tasks[[#This Row],[% Complete]],IF(Tasks[[#This Row],[Stage]]="",0,IFERROR(INDEX(stg_Pct,MATCH(Tasks[[#This Row],[Stage]],stg_Name,0)),0)))</f>
        <v>0</v>
      </c>
      <c r="DT35" s="45" t="n">
        <f aca="false">IF(NOT(Tasks[[#This Row],[_IsLeaf]]=1),0,IF(N(Tasks[[#This Row],[Actual Finish]])&gt;0,1,MIN(1,Tasks[[#This Row],[_Pct]])))</f>
        <v>0</v>
      </c>
      <c r="DU35" s="45" t="n">
        <f aca="false">IF(OR(NOT(Tasks[[#This Row],[_IsLeaf]]=1),Tasks[[#This Row],[_Resource1]]=""),0,IF(ISNA(MATCH(Tasks[[#This Row],[_Resource1]],res_Name,0)),0,N(Tasks[[#This Row],[Duration]])*HoursPerDay*IF(Tasks[[#This Row],[_Units1]]="",DefaultUnits,Tasks[[#This Row],[_Units1]])))</f>
        <v>0</v>
      </c>
      <c r="DV35" s="45" t="n">
        <f aca="false">IF(Tasks[[#This Row],[_LeafWork]]=0,0,Tasks[[#This Row],[_LeafWork]]*IFERROR(INDEX(res_Rate,MATCH(Tasks[[#This Row],[_Resource1]],res_Name,0)),0))</f>
        <v>0</v>
      </c>
      <c r="DW35" s="45" t="n">
        <f aca="false">Tasks[[#This Row],[_LeafWork]]+Tasks[[#This Row],[_Res2Work]]+Tasks[[#This Row],[_Res3Work]]+Tasks[[#This Row],[_Res4Work]]</f>
        <v>0</v>
      </c>
      <c r="DX35" s="45" t="n">
        <f aca="false">Tasks[[#This Row],[_LeafCost]]+Tasks[[#This Row],[_Res2Cost]]+Tasks[[#This Row],[_Res3Cost]]+Tasks[[#This Row],[_Res4Cost]]</f>
        <v>0</v>
      </c>
      <c r="DY35" s="45" t="n">
        <f aca="false">IF(Tasks[[#This Row],[_LeafTotalCost]]=0,Tasks[[#This Row],[_LeafAC]],Tasks[[#This Row],[_LeafAC]]*Tasks[[#This Row],[_LeafCost]]/Tasks[[#This Row],[_LeafTotalCost]])</f>
        <v>0</v>
      </c>
      <c r="DZ35" s="77"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2912072</v>
      </c>
      <c r="EA3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3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3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35"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E3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3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3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35" s="45" t="n">
        <f aca="false">IF(NOT(Tasks[[#This Row],[_IsLeaf]]=1),0,MAX(_xlfn.MAXIFS(Tasks[_Row],Tasks[_Pred1UID],Tasks[[#This Row],[UID]]),_xlfn.MAXIFS(Tasks[_Row],Tasks[_Pred2UID],Tasks[[#This Row],[UID]]),_xlfn.MAXIFS(Tasks[_Row],Tasks[_Pred3UID],Tasks[[#This Row],[UID]]),_xlfn.MAXIFS(Tasks[_Row],Tasks[_Pred4UID],Tasks[[#This Row],[UID]])))</f>
        <v>0</v>
      </c>
      <c r="EI35" s="74"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EJ35" s="74"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EK35" s="74" t="n">
        <f aca="false">IF(NOT(Tasks[[#This Row],[_IsLeaf]]=1),"",IF(N(Tasks[[#This Row],[Duration]])&lt;=0,Tasks[[#This Row],[_LeafLateFinish]],WORKDAY.INTL(Tasks[[#This Row],[_LeafLateFinish]],-(Tasks[[#This Row],[Duration]]-1),WorkWeek,Holidays)))</f>
        <v>46393</v>
      </c>
      <c r="EL35"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M35" s="73" t="b">
        <f aca="false">AND(Tasks[[#This Row],[_IsLeaf]]=1,Tasks[[#This Row],[_LeafProgress]]&lt;1,N(Tasks[[#This Row],[_LeafTotalSlack]])&lt;=CriticalSlackDays)</f>
        <v>1</v>
      </c>
      <c r="EN35" s="45" t="n">
        <f aca="false">IF(AND(Tasks[[#This Row],[_IsLeaf]]=1,Tasks[[#This Row],[_ConstraintCode]]=1,Tasks[[#This Row],[Mode]]&lt;&gt;"Manual",N(Tasks[[#This Row],[Actual Start]])=0),MAX(0,N(Tasks[[#This Row],[Free Slack]])),0)</f>
        <v>0</v>
      </c>
      <c r="EO35" s="74" t="n">
        <f aca="false">IF(NOT(Tasks[[#This Row],[_IsLeaf]]=1),"",IF(Tasks[[#This Row],[_AlapShift]]=0,Tasks[[#This Row],[_LeafCalcStart]],WORKDAY.INTL(Tasks[[#This Row],[_LeafCalcStart]],Tasks[[#This Row],[_AlapShift]],WorkWeek,Holidays)))</f>
        <v>46393</v>
      </c>
      <c r="EP35" s="74" t="n">
        <f aca="false">IF(NOT(Tasks[[#This Row],[_IsLeaf]]=1),"",IF(Tasks[[#This Row],[_AlapShift]]=0,Tasks[[#This Row],[_LeafCalcFinish]],WORKDAY.INTL(Tasks[[#This Row],[_LeafCalcFinish]],Tasks[[#This Row],[_AlapShift]],WorkWeek,Holidays)))</f>
        <v>46393</v>
      </c>
      <c r="EQ35" s="74" t="n">
        <f aca="false">IF(NOT(Tasks[[#This Row],[_IsLeaf]]=1),"",IF(Tasks[[#This Row],[_AlapShift]]=0,Tasks[[#This Row],[_LeafFcstStart]],WORKDAY.INTL(Tasks[[#This Row],[_LeafFcstStart]],Tasks[[#This Row],[_AlapShift]],WorkWeek,Holidays)))</f>
        <v>46393</v>
      </c>
      <c r="ER35" s="74" t="n">
        <f aca="false">IF(NOT(Tasks[[#This Row],[_IsLeaf]]=1),"",IF(Tasks[[#This Row],[_AlapShift]]=0,Tasks[[#This Row],[_LeafFcstFinish]],WORKDAY.INTL(Tasks[[#This Row],[_LeafFcstFinish]],Tasks[[#This Row],[_AlapShift]],WorkWeek,Holidays)))</f>
        <v>46393</v>
      </c>
      <c r="ES35" s="74" t="n">
        <f aca="false">IF(Tasks[[#This Row],[Task Name]]="","",IF(Tasks[[#This Row],[_IsSummary]],MIN(INDEX(Tasks[_ShownCalcStart],Tasks[[#This Row],[_Row]]+1):INDEX(Tasks[_ShownCalcStart],Tasks[[#This Row],[_Row]]+Tasks[[#This Row],[_Descendants]])),Tasks[[#This Row],[_ShownCalcStart]]))</f>
        <v>46393</v>
      </c>
      <c r="ET35" s="74" t="n">
        <f aca="false">IF(Tasks[[#This Row],[Task Name]]="","",IF(Tasks[[#This Row],[_IsSummary]],MAX(INDEX(Tasks[_ShownCalcFinish],Tasks[[#This Row],[_Row]]+1):INDEX(Tasks[_ShownCalcFinish],Tasks[[#This Row],[_Row]]+Tasks[[#This Row],[_Descendants]])),Tasks[[#This Row],[_ShownCalcFinish]]))</f>
        <v>46393</v>
      </c>
      <c r="EU3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3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3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3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3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46393</v>
      </c>
      <c r="EZ3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3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3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3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46393</v>
      </c>
      <c r="FD3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3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3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35" s="45" t="n">
        <f aca="false">IF(AND(Tasks[[#This Row],[_IsLeaf]]=1,Tasks[[#This Row],[_LeafTotalWork]]&gt;0),NETWORKDAYS.INTL(ProjectStart,Tasks[[#This Row],[_ShownFcstStart]],WorkWeek,Holidays),0)</f>
        <v>0</v>
      </c>
      <c r="FH35" s="45" t="n">
        <f aca="false">IF(AND(Tasks[[#This Row],[_IsLeaf]]=1,Tasks[[#This Row],[_LeafTotalWork]]&gt;0),MAX(Tasks[[#This Row],[_StartWorkday]],NETWORKDAYS.INTL(ProjectStart,Tasks[[#This Row],[_ShownFcstFinish]],WorkWeek,Holidays)),0)</f>
        <v>0</v>
      </c>
      <c r="FI35" s="45" t="n">
        <f aca="false">IF(AND(Tasks[[#This Row],[_IsLeaf]]=1,Tasks[[#This Row],[_LeafTotalWork]]&gt;0),Tasks[[#This Row],[_LeafWork]]/(Tasks[[#This Row],[_FinishWorkday]]-Tasks[[#This Row],[_StartWorkday]]+1),0)</f>
        <v>0</v>
      </c>
      <c r="FJ35" s="45" t="n">
        <f aca="false">Tasks[[#This Row],[_WorkPerWorkday]]*(Tasks[[#This Row],[_StartWorkday]]-1)</f>
        <v>-0</v>
      </c>
      <c r="FK35" s="45" t="n">
        <f aca="false">IF(Tasks[[#This Row],[_IsLeaf]]=1,MAX(N(Tasks[[#This Row],[Duration]]),0.1),0)</f>
        <v>0.1</v>
      </c>
      <c r="FL35" s="45" t="n">
        <f aca="false">Tasks[[#This Row],[_WeightDur]]*Tasks[[#This Row],[_LeafProgress]]</f>
        <v>0</v>
      </c>
      <c r="FM3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29</v>
      </c>
      <c r="FN35" s="77" t="n">
        <f aca="false">IF(AND(Tasks[[#This Row],[_IsLeaf]]=1,N(Tasks[[#This Row],[Duration]])=0,Tasks[[#This Row],[_LeafProgress]]&lt;1),Tasks[[#This Row],[_ShownFcstFinish]]+Tasks[[#This Row],[_Row]]/100000,"")</f>
        <v>46393.0003</v>
      </c>
      <c r="FO3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35" s="45" t="n">
        <f aca="false">IF(NOT(Tasks[[#This Row],[_IsLeaf]]=1),0,IF(Tasks[[#This Row],[Baseline Cost]]="",Tasks[[#This Row],[_LeafTotalCost]],N(Tasks[[#This Row],[Baseline Cost]])))</f>
        <v>0</v>
      </c>
      <c r="FQ35" s="45" t="n">
        <f aca="false">Tasks[[#This Row],[_LeafBudget]]*Tasks[[#This Row],[_PlannedPct]]</f>
        <v>0</v>
      </c>
      <c r="FR35" s="45" t="n">
        <f aca="false">Tasks[[#This Row],[_LeafBudget]]*Tasks[[#This Row],[_LeafProgress]]</f>
        <v>0</v>
      </c>
      <c r="FS35" s="45" t="n">
        <f aca="false">IF(NOT(Tasks[[#This Row],[_IsLeaf]]=1),0,IF(Tasks[[#This Row],[Actual Cost]]="",Tasks[[#This Row],[_LeafTotalCost]]*Tasks[[#This Row],[_LeafProgress]],N(Tasks[[#This Row],[Actual Cost]])))</f>
        <v>0</v>
      </c>
      <c r="FT35" s="45" t="str">
        <f aca="false">IF(Tasks[[#This Row],[Task Name]]="","",LEFT(Tasks[[#This Row],[WBS]],FIND(".",Tasks[[#This Row],[WBS]]&amp;".")-1))</f>
        <v>5</v>
      </c>
      <c r="FU35" s="45" t="str">
        <f aca="false">IF(AND(Tasks[[#This Row],[Task Name]]&lt;&gt;"",Tasks[[#This Row],[_Level]]=1),Tasks[[#This Row],[_Row]],"")</f>
        <v/>
      </c>
      <c r="FV35" s="77" t="n">
        <f aca="false">IF(AND(Tasks[[#This Row],[_IsLeaf]]=1,N(Tasks[[#This Row],[Duration]])=0),Tasks[[#This Row],[Planned Finish]]+Tasks[[#This Row],[_Row]]/100000,"")</f>
        <v>46393.0003</v>
      </c>
      <c r="FW35" s="45" t="str">
        <f aca="false">IF(AND(Tasks[[#This Row],[_IsLeaf]]=1,Tasks[[#This Row],[_LeafProgress]]&lt;1,OR(N(Tasks[[#This Row],[Finish Var]])&gt;0,Tasks[[#This Row],[Status]]="Late Start")),MAX(0,Tasks[[#This Row],[Finish Var]])+1-Tasks[[#This Row],[_Row]]/1000000,"")</f>
        <v/>
      </c>
      <c r="FX35" s="45" t="str">
        <f aca="false">IF(AND(Tasks[[#This Row],[_IsLeaf]]=1,N(Tasks[[#This Row],[Actual Start]])=0,Tasks[[#This Row],[_ShownFcstStart]]&gt;=StatusDate,Tasks[[#This Row],[_ShownFcstStart]]&lt;=LookaheadEnd),Tasks[[#This Row],[_ShownFcstStart]]+Tasks[[#This Row],[_Row]]/100000,"")</f>
        <v/>
      </c>
      <c r="FY35" s="45" t="str">
        <f aca="false">IF(AND(Tasks[[#This Row],[_IsLeaf]]=1,Tasks[[#This Row],[_LeafProgress]]&lt;1,Tasks[[#This Row],[_ShownFcstFinish]]&gt;=StatusDate,Tasks[[#This Row],[_ShownFcstFinish]]&lt;=LookaheadEnd),Tasks[[#This Row],[_ShownFcstFinish]]+Tasks[[#This Row],[_Row]]/100000,"")</f>
        <v/>
      </c>
      <c r="FZ35" s="77" t="n">
        <f aca="false">IF(Tasks[[#This Row],[_LeafCritical]],Tasks[[#This Row],[_ShownFcstStart]]+Tasks[[#This Row],[_Row]]/100000,"")</f>
        <v>46393.0003</v>
      </c>
      <c r="GA35" s="45" t="n">
        <f aca="false">Tasks[[#This Row],[_LeafWork]]*Tasks[[#This Row],[_LeafProgress]]</f>
        <v>0</v>
      </c>
      <c r="GB35" s="74" t="str">
        <f aca="false">IF(AND(Tasks[[#This Row],[_IsLeaf]]=1,Tasks[[#This Row],[_LeafProgress]]&gt;=1),IF(N(Tasks[[#This Row],[Actual Finish]])&gt;0,Tasks[[#This Row],[Actual Finish]],Tasks[[#This Row],[_ShownFcstFinish]]),"")</f>
        <v/>
      </c>
    </row>
    <row r="36" customFormat="false" ht="15" hidden="false" customHeight="false" outlineLevel="0" collapsed="false">
      <c r="A36" s="67" t="str">
        <f aca="false">IF(Tasks[[#This Row],[Task Name]]="","",COUNTA(Tasks[[#Headers],[Task Name]]:Tasks[[#This Row],[Task Name]])-1)</f>
        <v/>
      </c>
      <c r="B36" s="21" t="n">
        <v>31</v>
      </c>
      <c r="C3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21"/>
      <c r="E36" s="22"/>
      <c r="F36" s="21"/>
      <c r="G36" s="22"/>
      <c r="H36" s="22"/>
      <c r="I36" s="22"/>
      <c r="J36" s="7"/>
      <c r="K36" s="7"/>
      <c r="L36" s="22"/>
      <c r="M36" s="58" t="str">
        <f aca="false">IF(Tasks[[#This Row],[Task Name]]="","",IF(Tasks[[#This Row],[_IsSummary]],MIN(INDEX(Tasks[_ShownFcstStart],Tasks[[#This Row],[_Row]]+1):INDEX(Tasks[_ShownFcstStart],Tasks[[#This Row],[_Row]]+Tasks[[#This Row],[_Descendants]])),Tasks[[#This Row],[_ShownFcstStart]]))</f>
        <v/>
      </c>
      <c r="N36" s="58" t="str">
        <f aca="false">IF(Tasks[[#This Row],[Task Name]]="","",IF(Tasks[[#This Row],[_IsSummary]],MAX(INDEX(Tasks[_ShownFcstFinish],Tasks[[#This Row],[_Row]]+1):INDEX(Tasks[_ShownFcstFinish],Tasks[[#This Row],[_Row]]+Tasks[[#This Row],[_Descendants]])),Tasks[[#This Row],[_ShownFcstFinish]]))</f>
        <v/>
      </c>
      <c r="O36" s="20" t="str">
        <f aca="false">IF(Tasks[[#This Row],[Task Name]]="","",IF(Tasks[[#This Row],[Progress]]&gt;=1,"Complete",IF(OR(N(Tasks[[#This Row],[Actual Start]])&gt;0,Tasks[[#This Row],[Progress]]&gt;0),IF(Tasks[[#This Row],[Finish Var]]&gt;0,"Behind","In Progress"),IF(Tasks[[#This Row],[Planned Start]]&lt;StatusDate,"Late Start","Not Started"))))</f>
        <v/>
      </c>
      <c r="P36" s="20" t="str">
        <f aca="false">IF(Tasks[[#This Row],[Task Name]]="","",IF(IF(Tasks[[#This Row],[_IsSummary]],COUNTIF(INDEX(Tasks[_LeafCritical],Tasks[[#This Row],[_Row]]+1):INDEX(Tasks[_LeafCritical],Tasks[[#This Row],[_Row]]+Tasks[[#This Row],[_Descendants]]),TRUE())&gt;0,Tasks[[#This Row],[_LeafCritical]]),"Yes",""))</f>
        <v/>
      </c>
      <c r="Q3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36" s="67" t="str">
        <f aca="false">IF(Tasks[[#This Row],[Task Name]]="","",IF(Tasks[[#This Row],[_Level]]&lt;=OutlineShowLevel,"Yes","No"))</f>
        <v/>
      </c>
      <c r="S36" s="7"/>
      <c r="T36" s="21"/>
      <c r="U36" s="22"/>
      <c r="V36" s="7"/>
      <c r="W36" s="67" t="str">
        <f aca="false">IF(Tasks[[#This Row],[Task Name]]="","",IF(Tasks[[#This Row],[Finish]]&gt;=Tasks[[#This Row],[Planned Finish]],NETWORKDAYS.INTL(Tasks[[#This Row],[Planned Finish]],Tasks[[#This Row],[Finish]],WorkWeek,Holidays)-1,1-NETWORKDAYS.INTL(Tasks[[#This Row],[Finish]],Tasks[[#This Row],[Planned Finish]],WorkWeek,Holidays)))</f>
        <v/>
      </c>
      <c r="X36" s="58" t="str">
        <f aca="false">IF(Tasks[[#This Row],[Task Name]]="","",IF(N(Tasks[[#This Row],[Baseline Start]])&gt;0,Tasks[[#This Row],[Baseline Start]],Tasks[[#This Row],[_CalcStart]]))</f>
        <v/>
      </c>
      <c r="Y36" s="58" t="str">
        <f aca="false">IF(Tasks[[#This Row],[Task Name]]="","",IF(N(Tasks[[#This Row],[Baseline Finish]])&gt;0,Tasks[[#This Row],[Baseline Finish]],Tasks[[#This Row],[_CalcFinish]]))</f>
        <v/>
      </c>
      <c r="Z36" s="67" t="str">
        <f aca="false">IF(Tasks[[#This Row],[Task Name]]="","",IF(Tasks[[#This Row],[Start]]&gt;=Tasks[[#This Row],[Planned Start]],NETWORKDAYS.INTL(Tasks[[#This Row],[Planned Start]],Tasks[[#This Row],[Start]],WorkWeek,Holidays)-1,1-NETWORKDAYS.INTL(Tasks[[#This Row],[Start]],Tasks[[#This Row],[Planned Start]],WorkWeek,Holidays)))</f>
        <v/>
      </c>
      <c r="AA36" s="58" t="str">
        <f aca="false">IF(Tasks[[#This Row],[Task Name]]="","",IF(Tasks[[#This Row],[_IsSummary]],MIN(INDEX(Tasks[_LeafLateStart],Tasks[[#This Row],[_Row]]+1):INDEX(Tasks[_LeafLateStart],Tasks[[#This Row],[_Row]]+Tasks[[#This Row],[_Descendants]])),Tasks[[#This Row],[_LeafLateStart]]))</f>
        <v/>
      </c>
      <c r="AB36" s="58" t="str">
        <f aca="false">IF(Tasks[[#This Row],[Task Name]]="","",IF(Tasks[[#This Row],[_IsSummary]],MAX(INDEX(Tasks[_LeafLateFinish],Tasks[[#This Row],[_Row]]+1):INDEX(Tasks[_LeafLateFinish],Tasks[[#This Row],[_Row]]+Tasks[[#This Row],[_Descendants]])),Tasks[[#This Row],[_LeafLateFinish]]))</f>
        <v/>
      </c>
      <c r="AC36" s="67" t="str">
        <f aca="false">IF(Tasks[[#This Row],[Task Name]]="","",IF(Tasks[[#This Row],[_IsSummary]],MIN(INDEX(Tasks[_LeafTotalSlack],Tasks[[#This Row],[_Row]]+1):INDEX(Tasks[_LeafTotalSlack],Tasks[[#This Row],[_Row]]+Tasks[[#This Row],[_Descendants]])),Tasks[[#This Row],[_LeafTotalSlack]]))</f>
        <v/>
      </c>
      <c r="AD3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3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3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36" s="60"/>
      <c r="AH3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3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36" s="69" t="str">
        <f aca="false">IF(Tasks[[#This Row],[Task Name]]="","",IF(Tasks[[#This Row],[_IsSummary]],SUM(INDEX(Tasks[_LeafTotalWork],Tasks[[#This Row],[_Row]]+1):INDEX(Tasks[_LeafTotalWork],Tasks[[#This Row],[_Row]]+Tasks[[#This Row],[_Descendants]])),Tasks[[#This Row],[_LeafTotalWork]]))</f>
        <v/>
      </c>
      <c r="AK3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36" s="70" t="str">
        <f aca="false">IF(Tasks[[#This Row],[Task Name]]="","",IF(Tasks[[#This Row],[_IsSummary]],SUM(INDEX(Tasks[_LeafTotalCost],Tasks[[#This Row],[_Row]]+1):INDEX(Tasks[_LeafTotalCost],Tasks[[#This Row],[_Row]]+Tasks[[#This Row],[_Descendants]])),Tasks[[#This Row],[_LeafTotalCost]]))</f>
        <v/>
      </c>
      <c r="AM36" s="71"/>
      <c r="AN36" s="20" t="str">
        <f aca="false">IF(OR(Tasks[[#This Row],[Task Name]]="",Tasks[[#This Row],[Baseline Duration]]=""),"",Tasks[[#This Row],[BL Source Duration]]-N(Tasks[[#This Row],[Baseline Duration]]))</f>
        <v/>
      </c>
      <c r="AO36" s="69" t="str">
        <f aca="false">IF(OR(Tasks[[#This Row],[Task Name]]="",Tasks[[#This Row],[Baseline Work]]=""),"",Tasks[[#This Row],[Work]]-N(Tasks[[#This Row],[Baseline Work]]))</f>
        <v/>
      </c>
      <c r="AP36" s="70" t="str">
        <f aca="false">IF(OR(Tasks[[#This Row],[Task Name]]="",Tasks[[#This Row],[Baseline Cost]]=""),"",Tasks[[#This Row],[Cost]]-N(Tasks[[#This Row],[Baseline Cost]]))</f>
        <v/>
      </c>
      <c r="AQ36" s="58" t="str">
        <f aca="false">IF(Tasks[[#This Row],[Task Name]]="","",Tasks[[#This Row],[Start]])</f>
        <v/>
      </c>
      <c r="AR36" s="58" t="str">
        <f aca="false">IF(Tasks[[#This Row],[Task Name]]="","",Tasks[[#This Row],[Finish]])</f>
        <v/>
      </c>
      <c r="AS36" s="67" t="str">
        <f aca="false">IF(Tasks[[#This Row],[Task Name]]="","",IF(Tasks[[#This Row],[_IsSummary]],NETWORKDAYS.INTL(Tasks[[#This Row],[Start]],Tasks[[#This Row],[Finish]],WorkWeek,Holidays),N(Tasks[[#This Row],[Duration]])))</f>
        <v/>
      </c>
      <c r="AT36" s="69" t="str">
        <f aca="false">IF(Tasks[[#This Row],[Task Name]]="","",Tasks[[#This Row],[Work]])</f>
        <v/>
      </c>
      <c r="AU36" s="70" t="str">
        <f aca="false">IF(Tasks[[#This Row],[Task Name]]="","",Tasks[[#This Row],[Cost]])</f>
        <v/>
      </c>
      <c r="AV36" s="7"/>
      <c r="AW36" s="7"/>
      <c r="AX36" s="21"/>
      <c r="AY36" s="72"/>
      <c r="AZ36" s="71"/>
      <c r="BA36" s="70" t="str">
        <f aca="false">IF(Tasks[[#This Row],[Task Name]]="","",IF(Tasks[[#This Row],[_IsSummary]],SUM(INDEX(Tasks[_LeafEV],Tasks[[#This Row],[_Row]]+1):INDEX(Tasks[_LeafEV],Tasks[[#This Row],[_Row]]+Tasks[[#This Row],[_Descendants]])),Tasks[[#This Row],[_LeafEV]]))</f>
        <v/>
      </c>
      <c r="BB36" s="70" t="str">
        <f aca="false">IF(Tasks[[#This Row],[Task Name]]="","",IF(Tasks[[#This Row],[_IsSummary]],SUM(INDEX(Tasks[_LeafBudget],Tasks[[#This Row],[_Row]]+1):INDEX(Tasks[_LeafBudget],Tasks[[#This Row],[_Row]]+Tasks[[#This Row],[_Descendants]])),Tasks[[#This Row],[_LeafBudget]]))</f>
        <v/>
      </c>
      <c r="BC36" s="70" t="str">
        <f aca="false">IF(Tasks[[#This Row],[Task Name]]="","",IF(Tasks[[#This Row],[_IsSummary]],SUM(INDEX(Tasks[_LeafPV],Tasks[[#This Row],[_Row]]+1):INDEX(Tasks[_LeafPV],Tasks[[#This Row],[_Row]]+Tasks[[#This Row],[_Descendants]])),Tasks[[#This Row],[_LeafPV]]))</f>
        <v/>
      </c>
      <c r="BD36" s="70" t="str">
        <f aca="false">IF(Tasks[[#This Row],[Task Name]]="","",IF(Tasks[[#This Row],[_IsSummary]],SUM(INDEX(Tasks[_LeafAC],Tasks[[#This Row],[_Row]]+1):INDEX(Tasks[_LeafAC],Tasks[[#This Row],[_Row]]+Tasks[[#This Row],[_Descendants]])),Tasks[[#This Row],[_LeafAC]]))</f>
        <v/>
      </c>
      <c r="BE36" s="45" t="str">
        <f aca="false">IF(Tasks[[#This Row],[Task Name]]="","",MAX(1,N(Tasks[[#This Row],[Level]])))</f>
        <v/>
      </c>
      <c r="BF36" s="45" t="n">
        <f aca="false">ROW()-ROW(Tasks[[#Headers],[ID]])</f>
        <v>31</v>
      </c>
      <c r="BG36" s="45" t="n">
        <f aca="false">IF(OR(Tasks[[#This Row],[Task Name]]="",Tasks[[#This Row],[_Level]]&lt;=1),0,IFERROR(LOOKUP(2,1/(Tasks[[#Headers],[_Level]]:Tasks[[#This Row],[_Level]]=Tasks[[#This Row],[_Level]]-1),ROW(Tasks[[#Headers],[_Level]]:Tasks[[#This Row],[_Level]])),0))</f>
        <v>0</v>
      </c>
      <c r="BH36" s="45" t="n">
        <f aca="false">IFERROR(N(INDEX(Tasks[_Level],Tasks[[#This Row],[_Row]]+1)),0)</f>
        <v>0</v>
      </c>
      <c r="BI36" s="73" t="b">
        <f aca="false">AND(Tasks[[#This Row],[Task Name]]&lt;&gt;"",Tasks[[#This Row],[_NextLevel]]&gt;Tasks[[#This Row],[_Level]])</f>
        <v>0</v>
      </c>
      <c r="BJ36" s="45" t="n">
        <f aca="false">IF(Tasks[[#This Row],[_IsSummary]],COUNTIF(Tasks[WBS],Tasks[[#This Row],[WBS]]&amp;".*"),0)</f>
        <v>0</v>
      </c>
      <c r="BK36" s="45" t="n">
        <f aca="false">IF(AND(Tasks[[#This Row],[Task Name]]&lt;&gt;"",NOT(Tasks[[#This Row],[_IsSummary]])),1,0)</f>
        <v>0</v>
      </c>
      <c r="BL36" s="45" t="n">
        <f aca="false">IF(N(Tasks[[#This Row],[_Pred1UID]])=0,0,IFERROR(MATCH(Tasks[[#This Row],[_Pred1UID]],Tasks[UID],0),-1))</f>
        <v>0</v>
      </c>
      <c r="BM36" s="45" t="n">
        <f aca="false">IF(N(Tasks[[#This Row],[_Pred2UID]])=0,0,IFERROR(MATCH(Tasks[[#This Row],[_Pred2UID]],Tasks[UID],0),-1))</f>
        <v>0</v>
      </c>
      <c r="BN36" s="45" t="n">
        <f aca="false">IF(N(Tasks[[#This Row],[_Pred3UID]])=0,0,IFERROR(MATCH(Tasks[[#This Row],[_Pred3UID]],Tasks[UID],0),-1))</f>
        <v>0</v>
      </c>
      <c r="BO36" s="45" t="n">
        <f aca="false">IF(N(Tasks[[#This Row],[_Pred4UID]])=0,0,IFERROR(MATCH(Tasks[[#This Row],[_Pred4UID]],Tasks[UID],0),-1))</f>
        <v>0</v>
      </c>
      <c r="BP3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3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36" s="74" t="n">
        <f aca="false">IF(OR(Tasks[[#This Row],[_ConstraintCode]]=2,Tasks[[#This Row],[_ConstraintCode]]=3,Tasks[[#This Row],[_ConstraintCode]]=4,Tasks[[#This Row],[_ConstraintCode]]=6),Tasks[[#This Row],[_ConstraintStart]],0)</f>
        <v>0</v>
      </c>
      <c r="BS36" s="74" t="n">
        <f aca="false">IF(OR(Tasks[[#This Row],[_ConstraintCode]]=2,Tasks[[#This Row],[_ConstraintCode]]=3,Tasks[[#This Row],[_ConstraintCode]]=5,Tasks[[#This Row],[_ConstraintCode]]=7),Tasks[[#This Row],[_ConstraintStart]],2958465)</f>
        <v>2958465</v>
      </c>
      <c r="BT3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36" s="74" t="str">
        <f aca="false">IF(NOT(Tasks[[#This Row],[_IsLeaf]]=1),"",IF(N(Tasks[[#This Row],[Duration]])&lt;=0,Tasks[[#This Row],[_LeafCalcStart]],WORKDAY.INTL(Tasks[[#This Row],[_LeafCalcStart]],Tasks[[#This Row],[Duration]]-1,WorkWeek,Holidays)))</f>
        <v/>
      </c>
      <c r="BV3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3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36" s="45" t="str">
        <f aca="false">IF(Tasks[[#This Row],[Predecessors]]="","",TRIM(MID(SUBSTITUTE(SUBSTITUTE(SUBSTITUTE(UPPER(Tasks[[#This Row],[Predecessors]]),";",",")," ",""),",",REPT(" ",99)),1,99)))</f>
        <v/>
      </c>
      <c r="BY36" s="45" t="str">
        <f aca="false">IF(Tasks[[#This Row],[_Pred1Text]]="","",IFERROR(VALUE(LEFT(Tasks[[#This Row],[_Pred1Text]],MIN(FIND("F",Tasks[[#This Row],[_Pred1Text]]&amp;"F"),FIND("S",Tasks[[#This Row],[_Pred1Text]]&amp;"S"),FIND("+",Tasks[[#This Row],[_Pred1Text]]&amp;"+"),FIND("-",Tasks[[#This Row],[_Pred1Text]]&amp;"-"))-1)),""))</f>
        <v/>
      </c>
      <c r="BZ3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3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36" s="45" t="str">
        <f aca="false">IF(Tasks[[#This Row],[_Pred1Text]]="","",TRIM(MID(SUBSTITUTE(SUBSTITUTE(SUBSTITUTE(UPPER(Tasks[[#This Row],[Predecessors]]),";",",")," ",""),",",REPT(" ",99)),100,99)))</f>
        <v/>
      </c>
      <c r="CC36" s="45" t="str">
        <f aca="false">IF(Tasks[[#This Row],[_Pred2Text]]="","",IFERROR(VALUE(LEFT(Tasks[[#This Row],[_Pred2Text]],MIN(FIND("F",Tasks[[#This Row],[_Pred2Text]]&amp;"F"),FIND("S",Tasks[[#This Row],[_Pred2Text]]&amp;"S"),FIND("+",Tasks[[#This Row],[_Pred2Text]]&amp;"+"),FIND("-",Tasks[[#This Row],[_Pred2Text]]&amp;"-"))-1)),""))</f>
        <v/>
      </c>
      <c r="CD3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3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36" s="45" t="str">
        <f aca="false">IF(Tasks[[#This Row],[_Pred2Text]]="","",TRIM(MID(SUBSTITUTE(SUBSTITUTE(SUBSTITUTE(UPPER(Tasks[[#This Row],[Predecessors]]),";",",")," ",""),",",REPT(" ",99)),199,99)))</f>
        <v/>
      </c>
      <c r="CG36" s="45" t="str">
        <f aca="false">IF(Tasks[[#This Row],[_Pred3Text]]="","",IFERROR(VALUE(LEFT(Tasks[[#This Row],[_Pred3Text]],MIN(FIND("F",Tasks[[#This Row],[_Pred3Text]]&amp;"F"),FIND("S",Tasks[[#This Row],[_Pred3Text]]&amp;"S"),FIND("+",Tasks[[#This Row],[_Pred3Text]]&amp;"+"),FIND("-",Tasks[[#This Row],[_Pred3Text]]&amp;"-"))-1)),""))</f>
        <v/>
      </c>
      <c r="CH3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3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36" s="45" t="str">
        <f aca="false">IF(Tasks[[#This Row],[_Pred3Text]]="","",TRIM(MID(SUBSTITUTE(SUBSTITUTE(SUBSTITUTE(UPPER(Tasks[[#This Row],[Predecessors]]),";",",")," ",""),",",REPT(" ",99)),298,99)))</f>
        <v/>
      </c>
      <c r="CK36" s="45" t="str">
        <f aca="false">IF(Tasks[[#This Row],[_Pred4Text]]="","",IFERROR(VALUE(LEFT(Tasks[[#This Row],[_Pred4Text]],MIN(FIND("F",Tasks[[#This Row],[_Pred4Text]]&amp;"F"),FIND("S",Tasks[[#This Row],[_Pred4Text]]&amp;"S"),FIND("+",Tasks[[#This Row],[_Pred4Text]]&amp;"+"),FIND("-",Tasks[[#This Row],[_Pred4Text]]&amp;"-"))-1)),""))</f>
        <v/>
      </c>
      <c r="CL3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3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36" s="45" t="str">
        <f aca="false">IF(OR(Tasks[[#This Row],[Task Name]]="",Tasks[[#This Row],[Resources]]=""),"",TRIM(MID(SUBSTITUTE(Tasks[[#This Row],[Resources]],",",REPT(" ",99)),1,99)))</f>
        <v/>
      </c>
      <c r="CO36" s="45" t="str">
        <f aca="false">IF(Tasks[[#This Row],[_Res1Text]]="","",TRIM(MID(SUBSTITUTE(Tasks[[#This Row],[Resources]],",",REPT(" ",99)),100,99)))</f>
        <v/>
      </c>
      <c r="CP36" s="45" t="str">
        <f aca="false">IF(Tasks[[#This Row],[_Res2Text]]="","",TRIM(MID(SUBSTITUTE(Tasks[[#This Row],[Resources]],",",REPT(" ",99)),199,99)))</f>
        <v/>
      </c>
      <c r="CQ36" s="45" t="str">
        <f aca="false">IF(Tasks[[#This Row],[_Res3Text]]="","",TRIM(MID(SUBSTITUTE(Tasks[[#This Row],[Resources]],",",REPT(" ",99)),298,99)))</f>
        <v/>
      </c>
      <c r="CR3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3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6" s="45" t="n">
        <f aca="false">IF(NOT(Tasks[[#This Row],[_IsLeaf]]=1),0,(Tasks[[#This Row],[_Resource1]]&lt;&gt;"")+(Tasks[[#This Row],[_Res2]]&lt;&gt;"")+(Tasks[[#This Row],[_Res3]]&lt;&gt;"")+(Tasks[[#This Row],[_Res4]]&lt;&gt;""))</f>
        <v>0</v>
      </c>
      <c r="CU3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3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6" s="45" t="n">
        <f aca="false">IF(OR(NOT(Tasks[[#This Row],[_IsLeaf]]=1),Tasks[[#This Row],[_Res2]]=""),0,IF(ISNA(MATCH(Tasks[[#This Row],[_Res2]],res_Name,0)),0,N(Tasks[[#This Row],[Duration]])*HoursPerDay*IF(Tasks[[#This Row],[_Res2Units]]="",DefaultUnits,Tasks[[#This Row],[_Res2Units]])))</f>
        <v>0</v>
      </c>
      <c r="CX36" s="45" t="n">
        <f aca="false">IF(Tasks[[#This Row],[_Res2Work]]=0,0,Tasks[[#This Row],[_Res2Work]]*IFERROR(INDEX(res_Rate,MATCH(Tasks[[#This Row],[_Res2]],res_Name,0)),0))</f>
        <v>0</v>
      </c>
      <c r="CY36" s="45" t="n">
        <f aca="false">IF(AND(AND(Tasks[[#This Row],[_IsLeaf]]=1,Tasks[[#This Row],[_LeafTotalWork]]&gt;0),Tasks[[#This Row],[_Res2Work]]&gt;0),Tasks[[#This Row],[_Res2Work]]/(Tasks[[#This Row],[_FinishWorkday]]-Tasks[[#This Row],[_StartWorkday]]+1),0)</f>
        <v>0</v>
      </c>
      <c r="CZ36" s="45" t="n">
        <f aca="false">Tasks[[#This Row],[_Res2WorkPerWD]]*MAX(0,Tasks[[#This Row],[_StartWorkday]]-1)</f>
        <v>0</v>
      </c>
      <c r="DA36" s="45" t="n">
        <f aca="false">Tasks[[#This Row],[_Res2Work]]*Tasks[[#This Row],[_LeafProgress]]</f>
        <v>0</v>
      </c>
      <c r="DB36" s="45" t="n">
        <f aca="false">IF(Tasks[[#This Row],[_LeafTotalCost]]=0,0,Tasks[[#This Row],[_LeafAC]]*Tasks[[#This Row],[_Res2Cost]]/Tasks[[#This Row],[_LeafTotalCost]])</f>
        <v>0</v>
      </c>
      <c r="DC3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3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36" s="45" t="n">
        <f aca="false">IF(OR(NOT(Tasks[[#This Row],[_IsLeaf]]=1),Tasks[[#This Row],[_Res3]]=""),0,IF(ISNA(MATCH(Tasks[[#This Row],[_Res3]],res_Name,0)),0,N(Tasks[[#This Row],[Duration]])*HoursPerDay*IF(Tasks[[#This Row],[_Res3Units]]="",DefaultUnits,Tasks[[#This Row],[_Res3Units]])))</f>
        <v>0</v>
      </c>
      <c r="DF36" s="45" t="n">
        <f aca="false">IF(Tasks[[#This Row],[_Res3Work]]=0,0,Tasks[[#This Row],[_Res3Work]]*IFERROR(INDEX(res_Rate,MATCH(Tasks[[#This Row],[_Res3]],res_Name,0)),0))</f>
        <v>0</v>
      </c>
      <c r="DG36" s="45" t="n">
        <f aca="false">IF(AND(AND(Tasks[[#This Row],[_IsLeaf]]=1,Tasks[[#This Row],[_LeafTotalWork]]&gt;0),Tasks[[#This Row],[_Res3Work]]&gt;0),Tasks[[#This Row],[_Res3Work]]/(Tasks[[#This Row],[_FinishWorkday]]-Tasks[[#This Row],[_StartWorkday]]+1),0)</f>
        <v>0</v>
      </c>
      <c r="DH36" s="45" t="n">
        <f aca="false">Tasks[[#This Row],[_Res3WorkPerWD]]*MAX(0,Tasks[[#This Row],[_StartWorkday]]-1)</f>
        <v>0</v>
      </c>
      <c r="DI36" s="45" t="n">
        <f aca="false">Tasks[[#This Row],[_Res3Work]]*Tasks[[#This Row],[_LeafProgress]]</f>
        <v>0</v>
      </c>
      <c r="DJ36" s="45" t="n">
        <f aca="false">IF(Tasks[[#This Row],[_LeafTotalCost]]=0,0,Tasks[[#This Row],[_LeafAC]]*Tasks[[#This Row],[_Res3Cost]]/Tasks[[#This Row],[_LeafTotalCost]])</f>
        <v>0</v>
      </c>
      <c r="DK3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3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36" s="45" t="n">
        <f aca="false">IF(OR(NOT(Tasks[[#This Row],[_IsLeaf]]=1),Tasks[[#This Row],[_Res4]]=""),0,IF(ISNA(MATCH(Tasks[[#This Row],[_Res4]],res_Name,0)),0,N(Tasks[[#This Row],[Duration]])*HoursPerDay*IF(Tasks[[#This Row],[_Res4Units]]="",DefaultUnits,Tasks[[#This Row],[_Res4Units]])))</f>
        <v>0</v>
      </c>
      <c r="DN36" s="45" t="n">
        <f aca="false">IF(Tasks[[#This Row],[_Res4Work]]=0,0,Tasks[[#This Row],[_Res4Work]]*IFERROR(INDEX(res_Rate,MATCH(Tasks[[#This Row],[_Res4]],res_Name,0)),0))</f>
        <v>0</v>
      </c>
      <c r="DO36" s="45" t="n">
        <f aca="false">IF(AND(AND(Tasks[[#This Row],[_IsLeaf]]=1,Tasks[[#This Row],[_LeafTotalWork]]&gt;0),Tasks[[#This Row],[_Res4Work]]&gt;0),Tasks[[#This Row],[_Res4Work]]/(Tasks[[#This Row],[_FinishWorkday]]-Tasks[[#This Row],[_StartWorkday]]+1),0)</f>
        <v>0</v>
      </c>
      <c r="DP36" s="45" t="n">
        <f aca="false">Tasks[[#This Row],[_Res4WorkPerWD]]*MAX(0,Tasks[[#This Row],[_StartWorkday]]-1)</f>
        <v>0</v>
      </c>
      <c r="DQ36" s="45" t="n">
        <f aca="false">Tasks[[#This Row],[_Res4Work]]*Tasks[[#This Row],[_LeafProgress]]</f>
        <v>0</v>
      </c>
      <c r="DR36" s="45" t="n">
        <f aca="false">IF(Tasks[[#This Row],[_LeafTotalCost]]=0,0,Tasks[[#This Row],[_LeafAC]]*Tasks[[#This Row],[_Res4Cost]]/Tasks[[#This Row],[_LeafTotalCost]])</f>
        <v>0</v>
      </c>
      <c r="DS36" s="45" t="n">
        <f aca="false">IF(ISNUMBER(Tasks[[#This Row],[% Complete]]),Tasks[[#This Row],[% Complete]],IF(Tasks[[#This Row],[Stage]]="",0,IFERROR(INDEX(stg_Pct,MATCH(Tasks[[#This Row],[Stage]],stg_Name,0)),0)))</f>
        <v>0</v>
      </c>
      <c r="DT36" s="45" t="n">
        <f aca="false">IF(NOT(Tasks[[#This Row],[_IsLeaf]]=1),0,IF(N(Tasks[[#This Row],[Actual Finish]])&gt;0,1,MIN(1,Tasks[[#This Row],[_Pct]])))</f>
        <v>0</v>
      </c>
      <c r="DU36" s="45" t="n">
        <f aca="false">IF(OR(NOT(Tasks[[#This Row],[_IsLeaf]]=1),Tasks[[#This Row],[_Resource1]]=""),0,IF(ISNA(MATCH(Tasks[[#This Row],[_Resource1]],res_Name,0)),0,N(Tasks[[#This Row],[Duration]])*HoursPerDay*IF(Tasks[[#This Row],[_Units1]]="",DefaultUnits,Tasks[[#This Row],[_Units1]])))</f>
        <v>0</v>
      </c>
      <c r="DV36" s="45" t="n">
        <f aca="false">IF(Tasks[[#This Row],[_LeafWork]]=0,0,Tasks[[#This Row],[_LeafWork]]*IFERROR(INDEX(res_Rate,MATCH(Tasks[[#This Row],[_Resource1]],res_Name,0)),0))</f>
        <v>0</v>
      </c>
      <c r="DW36" s="45" t="n">
        <f aca="false">Tasks[[#This Row],[_LeafWork]]+Tasks[[#This Row],[_Res2Work]]+Tasks[[#This Row],[_Res3Work]]+Tasks[[#This Row],[_Res4Work]]</f>
        <v>0</v>
      </c>
      <c r="DX36" s="45" t="n">
        <f aca="false">Tasks[[#This Row],[_LeafCost]]+Tasks[[#This Row],[_Res2Cost]]+Tasks[[#This Row],[_Res3Cost]]+Tasks[[#This Row],[_Res4Cost]]</f>
        <v>0</v>
      </c>
      <c r="DY36" s="45" t="n">
        <f aca="false">IF(Tasks[[#This Row],[_LeafTotalCost]]=0,Tasks[[#This Row],[_LeafAC]],Tasks[[#This Row],[_LeafAC]]*Tasks[[#This Row],[_LeafCost]]/Tasks[[#This Row],[_LeafTotalCost]])</f>
        <v>0</v>
      </c>
      <c r="DZ3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3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3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3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3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3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3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3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36" s="45" t="n">
        <f aca="false">IF(NOT(Tasks[[#This Row],[_IsLeaf]]=1),0,MAX(_xlfn.MAXIFS(Tasks[_Row],Tasks[_Pred1UID],Tasks[[#This Row],[UID]]),_xlfn.MAXIFS(Tasks[_Row],Tasks[_Pred2UID],Tasks[[#This Row],[UID]]),_xlfn.MAXIFS(Tasks[_Row],Tasks[_Pred3UID],Tasks[[#This Row],[UID]]),_xlfn.MAXIFS(Tasks[_Row],Tasks[_Pred4UID],Tasks[[#This Row],[UID]])))</f>
        <v>0</v>
      </c>
      <c r="EI3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3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36" s="74" t="str">
        <f aca="false">IF(NOT(Tasks[[#This Row],[_IsLeaf]]=1),"",IF(N(Tasks[[#This Row],[Duration]])&lt;=0,Tasks[[#This Row],[_LeafLateFinish]],WORKDAY.INTL(Tasks[[#This Row],[_LeafLateFinish]],-(Tasks[[#This Row],[Duration]]-1),WorkWeek,Holidays)))</f>
        <v/>
      </c>
      <c r="EL3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36" s="73" t="b">
        <f aca="false">AND(Tasks[[#This Row],[_IsLeaf]]=1,Tasks[[#This Row],[_LeafProgress]]&lt;1,N(Tasks[[#This Row],[_LeafTotalSlack]])&lt;=CriticalSlackDays)</f>
        <v>0</v>
      </c>
      <c r="EN36" s="45" t="n">
        <f aca="false">IF(AND(Tasks[[#This Row],[_IsLeaf]]=1,Tasks[[#This Row],[_ConstraintCode]]=1,Tasks[[#This Row],[Mode]]&lt;&gt;"Manual",N(Tasks[[#This Row],[Actual Start]])=0),MAX(0,N(Tasks[[#This Row],[Free Slack]])),0)</f>
        <v>0</v>
      </c>
      <c r="EO36" s="74" t="str">
        <f aca="false">IF(NOT(Tasks[[#This Row],[_IsLeaf]]=1),"",IF(Tasks[[#This Row],[_AlapShift]]=0,Tasks[[#This Row],[_LeafCalcStart]],WORKDAY.INTL(Tasks[[#This Row],[_LeafCalcStart]],Tasks[[#This Row],[_AlapShift]],WorkWeek,Holidays)))</f>
        <v/>
      </c>
      <c r="EP36" s="74" t="str">
        <f aca="false">IF(NOT(Tasks[[#This Row],[_IsLeaf]]=1),"",IF(Tasks[[#This Row],[_AlapShift]]=0,Tasks[[#This Row],[_LeafCalcFinish]],WORKDAY.INTL(Tasks[[#This Row],[_LeafCalcFinish]],Tasks[[#This Row],[_AlapShift]],WorkWeek,Holidays)))</f>
        <v/>
      </c>
      <c r="EQ36" s="74" t="str">
        <f aca="false">IF(NOT(Tasks[[#This Row],[_IsLeaf]]=1),"",IF(Tasks[[#This Row],[_AlapShift]]=0,Tasks[[#This Row],[_LeafFcstStart]],WORKDAY.INTL(Tasks[[#This Row],[_LeafFcstStart]],Tasks[[#This Row],[_AlapShift]],WorkWeek,Holidays)))</f>
        <v/>
      </c>
      <c r="ER36" s="74" t="str">
        <f aca="false">IF(NOT(Tasks[[#This Row],[_IsLeaf]]=1),"",IF(Tasks[[#This Row],[_AlapShift]]=0,Tasks[[#This Row],[_LeafFcstFinish]],WORKDAY.INTL(Tasks[[#This Row],[_LeafFcstFinish]],Tasks[[#This Row],[_AlapShift]],WorkWeek,Holidays)))</f>
        <v/>
      </c>
      <c r="ES36" s="74" t="str">
        <f aca="false">IF(Tasks[[#This Row],[Task Name]]="","",IF(Tasks[[#This Row],[_IsSummary]],MIN(INDEX(Tasks[_ShownCalcStart],Tasks[[#This Row],[_Row]]+1):INDEX(Tasks[_ShownCalcStart],Tasks[[#This Row],[_Row]]+Tasks[[#This Row],[_Descendants]])),Tasks[[#This Row],[_ShownCalcStart]]))</f>
        <v/>
      </c>
      <c r="ET36" s="74" t="str">
        <f aca="false">IF(Tasks[[#This Row],[Task Name]]="","",IF(Tasks[[#This Row],[_IsSummary]],MAX(INDEX(Tasks[_ShownCalcFinish],Tasks[[#This Row],[_Row]]+1):INDEX(Tasks[_ShownCalcFinish],Tasks[[#This Row],[_Row]]+Tasks[[#This Row],[_Descendants]])),Tasks[[#This Row],[_ShownCalcFinish]]))</f>
        <v/>
      </c>
      <c r="EU3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3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3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3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3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3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3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3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3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3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3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3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36" s="45" t="n">
        <f aca="false">IF(AND(Tasks[[#This Row],[_IsLeaf]]=1,Tasks[[#This Row],[_LeafTotalWork]]&gt;0),NETWORKDAYS.INTL(ProjectStart,Tasks[[#This Row],[_ShownFcstStart]],WorkWeek,Holidays),0)</f>
        <v>0</v>
      </c>
      <c r="FH36" s="45" t="n">
        <f aca="false">IF(AND(Tasks[[#This Row],[_IsLeaf]]=1,Tasks[[#This Row],[_LeafTotalWork]]&gt;0),MAX(Tasks[[#This Row],[_StartWorkday]],NETWORKDAYS.INTL(ProjectStart,Tasks[[#This Row],[_ShownFcstFinish]],WorkWeek,Holidays)),0)</f>
        <v>0</v>
      </c>
      <c r="FI36" s="45" t="n">
        <f aca="false">IF(AND(Tasks[[#This Row],[_IsLeaf]]=1,Tasks[[#This Row],[_LeafTotalWork]]&gt;0),Tasks[[#This Row],[_LeafWork]]/(Tasks[[#This Row],[_FinishWorkday]]-Tasks[[#This Row],[_StartWorkday]]+1),0)</f>
        <v>0</v>
      </c>
      <c r="FJ36" s="45" t="n">
        <f aca="false">Tasks[[#This Row],[_WorkPerWorkday]]*(Tasks[[#This Row],[_StartWorkday]]-1)</f>
        <v>-0</v>
      </c>
      <c r="FK36" s="45" t="n">
        <f aca="false">IF(Tasks[[#This Row],[_IsLeaf]]=1,MAX(N(Tasks[[#This Row],[Duration]]),0.1),0)</f>
        <v>0</v>
      </c>
      <c r="FL36" s="45" t="n">
        <f aca="false">Tasks[[#This Row],[_WeightDur]]*Tasks[[#This Row],[_LeafProgress]]</f>
        <v>0</v>
      </c>
      <c r="FM3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36" s="45" t="str">
        <f aca="false">IF(AND(Tasks[[#This Row],[_IsLeaf]]=1,N(Tasks[[#This Row],[Duration]])=0,Tasks[[#This Row],[_LeafProgress]]&lt;1),Tasks[[#This Row],[_ShownFcstFinish]]+Tasks[[#This Row],[_Row]]/100000,"")</f>
        <v/>
      </c>
      <c r="FO3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36" s="45" t="n">
        <f aca="false">IF(NOT(Tasks[[#This Row],[_IsLeaf]]=1),0,IF(Tasks[[#This Row],[Baseline Cost]]="",Tasks[[#This Row],[_LeafTotalCost]],N(Tasks[[#This Row],[Baseline Cost]])))</f>
        <v>0</v>
      </c>
      <c r="FQ36" s="45" t="n">
        <f aca="false">Tasks[[#This Row],[_LeafBudget]]*Tasks[[#This Row],[_PlannedPct]]</f>
        <v>0</v>
      </c>
      <c r="FR36" s="45" t="n">
        <f aca="false">Tasks[[#This Row],[_LeafBudget]]*Tasks[[#This Row],[_LeafProgress]]</f>
        <v>0</v>
      </c>
      <c r="FS36" s="45" t="n">
        <f aca="false">IF(NOT(Tasks[[#This Row],[_IsLeaf]]=1),0,IF(Tasks[[#This Row],[Actual Cost]]="",Tasks[[#This Row],[_LeafTotalCost]]*Tasks[[#This Row],[_LeafProgress]],N(Tasks[[#This Row],[Actual Cost]])))</f>
        <v>0</v>
      </c>
      <c r="FT36" s="45" t="str">
        <f aca="false">IF(Tasks[[#This Row],[Task Name]]="","",LEFT(Tasks[[#This Row],[WBS]],FIND(".",Tasks[[#This Row],[WBS]]&amp;".")-1))</f>
        <v/>
      </c>
      <c r="FU36" s="45" t="str">
        <f aca="false">IF(AND(Tasks[[#This Row],[Task Name]]&lt;&gt;"",Tasks[[#This Row],[_Level]]=1),Tasks[[#This Row],[_Row]],"")</f>
        <v/>
      </c>
      <c r="FV36" s="45" t="str">
        <f aca="false">IF(AND(Tasks[[#This Row],[_IsLeaf]]=1,N(Tasks[[#This Row],[Duration]])=0),Tasks[[#This Row],[Planned Finish]]+Tasks[[#This Row],[_Row]]/100000,"")</f>
        <v/>
      </c>
      <c r="FW36" s="45" t="str">
        <f aca="false">IF(AND(Tasks[[#This Row],[_IsLeaf]]=1,Tasks[[#This Row],[_LeafProgress]]&lt;1,OR(N(Tasks[[#This Row],[Finish Var]])&gt;0,Tasks[[#This Row],[Status]]="Late Start")),MAX(0,Tasks[[#This Row],[Finish Var]])+1-Tasks[[#This Row],[_Row]]/1000000,"")</f>
        <v/>
      </c>
      <c r="FX36" s="45" t="str">
        <f aca="false">IF(AND(Tasks[[#This Row],[_IsLeaf]]=1,N(Tasks[[#This Row],[Actual Start]])=0,Tasks[[#This Row],[_ShownFcstStart]]&gt;=StatusDate,Tasks[[#This Row],[_ShownFcstStart]]&lt;=LookaheadEnd),Tasks[[#This Row],[_ShownFcstStart]]+Tasks[[#This Row],[_Row]]/100000,"")</f>
        <v/>
      </c>
      <c r="FY36" s="45" t="str">
        <f aca="false">IF(AND(Tasks[[#This Row],[_IsLeaf]]=1,Tasks[[#This Row],[_LeafProgress]]&lt;1,Tasks[[#This Row],[_ShownFcstFinish]]&gt;=StatusDate,Tasks[[#This Row],[_ShownFcstFinish]]&lt;=LookaheadEnd),Tasks[[#This Row],[_ShownFcstFinish]]+Tasks[[#This Row],[_Row]]/100000,"")</f>
        <v/>
      </c>
      <c r="FZ36" s="45" t="str">
        <f aca="false">IF(Tasks[[#This Row],[_LeafCritical]],Tasks[[#This Row],[_ShownFcstStart]]+Tasks[[#This Row],[_Row]]/100000,"")</f>
        <v/>
      </c>
      <c r="GA36" s="45" t="n">
        <f aca="false">Tasks[[#This Row],[_LeafWork]]*Tasks[[#This Row],[_LeafProgress]]</f>
        <v>0</v>
      </c>
      <c r="GB36" s="74" t="str">
        <f aca="false">IF(AND(Tasks[[#This Row],[_IsLeaf]]=1,Tasks[[#This Row],[_LeafProgress]]&gt;=1),IF(N(Tasks[[#This Row],[Actual Finish]])&gt;0,Tasks[[#This Row],[Actual Finish]],Tasks[[#This Row],[_ShownFcstFinish]]),"")</f>
        <v/>
      </c>
    </row>
    <row r="37" customFormat="false" ht="15" hidden="false" customHeight="false" outlineLevel="0" collapsed="false">
      <c r="A37" s="67" t="str">
        <f aca="false">IF(Tasks[[#This Row],[Task Name]]="","",COUNTA(Tasks[[#Headers],[Task Name]]:Tasks[[#This Row],[Task Name]])-1)</f>
        <v/>
      </c>
      <c r="B37" s="21" t="n">
        <v>32</v>
      </c>
      <c r="C3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21"/>
      <c r="E37" s="22"/>
      <c r="F37" s="21"/>
      <c r="G37" s="22"/>
      <c r="H37" s="22"/>
      <c r="I37" s="22"/>
      <c r="J37" s="7"/>
      <c r="K37" s="7"/>
      <c r="L37" s="22"/>
      <c r="M37" s="58" t="str">
        <f aca="false">IF(Tasks[[#This Row],[Task Name]]="","",IF(Tasks[[#This Row],[_IsSummary]],MIN(INDEX(Tasks[_ShownFcstStart],Tasks[[#This Row],[_Row]]+1):INDEX(Tasks[_ShownFcstStart],Tasks[[#This Row],[_Row]]+Tasks[[#This Row],[_Descendants]])),Tasks[[#This Row],[_ShownFcstStart]]))</f>
        <v/>
      </c>
      <c r="N37" s="58" t="str">
        <f aca="false">IF(Tasks[[#This Row],[Task Name]]="","",IF(Tasks[[#This Row],[_IsSummary]],MAX(INDEX(Tasks[_ShownFcstFinish],Tasks[[#This Row],[_Row]]+1):INDEX(Tasks[_ShownFcstFinish],Tasks[[#This Row],[_Row]]+Tasks[[#This Row],[_Descendants]])),Tasks[[#This Row],[_ShownFcstFinish]]))</f>
        <v/>
      </c>
      <c r="O37" s="20" t="str">
        <f aca="false">IF(Tasks[[#This Row],[Task Name]]="","",IF(Tasks[[#This Row],[Progress]]&gt;=1,"Complete",IF(OR(N(Tasks[[#This Row],[Actual Start]])&gt;0,Tasks[[#This Row],[Progress]]&gt;0),IF(Tasks[[#This Row],[Finish Var]]&gt;0,"Behind","In Progress"),IF(Tasks[[#This Row],[Planned Start]]&lt;StatusDate,"Late Start","Not Started"))))</f>
        <v/>
      </c>
      <c r="P37" s="20" t="str">
        <f aca="false">IF(Tasks[[#This Row],[Task Name]]="","",IF(IF(Tasks[[#This Row],[_IsSummary]],COUNTIF(INDEX(Tasks[_LeafCritical],Tasks[[#This Row],[_Row]]+1):INDEX(Tasks[_LeafCritical],Tasks[[#This Row],[_Row]]+Tasks[[#This Row],[_Descendants]]),TRUE())&gt;0,Tasks[[#This Row],[_LeafCritical]]),"Yes",""))</f>
        <v/>
      </c>
      <c r="Q3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37" s="67" t="str">
        <f aca="false">IF(Tasks[[#This Row],[Task Name]]="","",IF(Tasks[[#This Row],[_Level]]&lt;=OutlineShowLevel,"Yes","No"))</f>
        <v/>
      </c>
      <c r="S37" s="7"/>
      <c r="T37" s="21"/>
      <c r="U37" s="22"/>
      <c r="V37" s="7"/>
      <c r="W37" s="67" t="str">
        <f aca="false">IF(Tasks[[#This Row],[Task Name]]="","",IF(Tasks[[#This Row],[Finish]]&gt;=Tasks[[#This Row],[Planned Finish]],NETWORKDAYS.INTL(Tasks[[#This Row],[Planned Finish]],Tasks[[#This Row],[Finish]],WorkWeek,Holidays)-1,1-NETWORKDAYS.INTL(Tasks[[#This Row],[Finish]],Tasks[[#This Row],[Planned Finish]],WorkWeek,Holidays)))</f>
        <v/>
      </c>
      <c r="X37" s="58" t="str">
        <f aca="false">IF(Tasks[[#This Row],[Task Name]]="","",IF(N(Tasks[[#This Row],[Baseline Start]])&gt;0,Tasks[[#This Row],[Baseline Start]],Tasks[[#This Row],[_CalcStart]]))</f>
        <v/>
      </c>
      <c r="Y37" s="58" t="str">
        <f aca="false">IF(Tasks[[#This Row],[Task Name]]="","",IF(N(Tasks[[#This Row],[Baseline Finish]])&gt;0,Tasks[[#This Row],[Baseline Finish]],Tasks[[#This Row],[_CalcFinish]]))</f>
        <v/>
      </c>
      <c r="Z37" s="67" t="str">
        <f aca="false">IF(Tasks[[#This Row],[Task Name]]="","",IF(Tasks[[#This Row],[Start]]&gt;=Tasks[[#This Row],[Planned Start]],NETWORKDAYS.INTL(Tasks[[#This Row],[Planned Start]],Tasks[[#This Row],[Start]],WorkWeek,Holidays)-1,1-NETWORKDAYS.INTL(Tasks[[#This Row],[Start]],Tasks[[#This Row],[Planned Start]],WorkWeek,Holidays)))</f>
        <v/>
      </c>
      <c r="AA37" s="58" t="str">
        <f aca="false">IF(Tasks[[#This Row],[Task Name]]="","",IF(Tasks[[#This Row],[_IsSummary]],MIN(INDEX(Tasks[_LeafLateStart],Tasks[[#This Row],[_Row]]+1):INDEX(Tasks[_LeafLateStart],Tasks[[#This Row],[_Row]]+Tasks[[#This Row],[_Descendants]])),Tasks[[#This Row],[_LeafLateStart]]))</f>
        <v/>
      </c>
      <c r="AB37" s="58" t="str">
        <f aca="false">IF(Tasks[[#This Row],[Task Name]]="","",IF(Tasks[[#This Row],[_IsSummary]],MAX(INDEX(Tasks[_LeafLateFinish],Tasks[[#This Row],[_Row]]+1):INDEX(Tasks[_LeafLateFinish],Tasks[[#This Row],[_Row]]+Tasks[[#This Row],[_Descendants]])),Tasks[[#This Row],[_LeafLateFinish]]))</f>
        <v/>
      </c>
      <c r="AC37" s="67" t="str">
        <f aca="false">IF(Tasks[[#This Row],[Task Name]]="","",IF(Tasks[[#This Row],[_IsSummary]],MIN(INDEX(Tasks[_LeafTotalSlack],Tasks[[#This Row],[_Row]]+1):INDEX(Tasks[_LeafTotalSlack],Tasks[[#This Row],[_Row]]+Tasks[[#This Row],[_Descendants]])),Tasks[[#This Row],[_LeafTotalSlack]]))</f>
        <v/>
      </c>
      <c r="AD3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3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3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37" s="60"/>
      <c r="AH3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3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37" s="69" t="str">
        <f aca="false">IF(Tasks[[#This Row],[Task Name]]="","",IF(Tasks[[#This Row],[_IsSummary]],SUM(INDEX(Tasks[_LeafTotalWork],Tasks[[#This Row],[_Row]]+1):INDEX(Tasks[_LeafTotalWork],Tasks[[#This Row],[_Row]]+Tasks[[#This Row],[_Descendants]])),Tasks[[#This Row],[_LeafTotalWork]]))</f>
        <v/>
      </c>
      <c r="AK3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37" s="70" t="str">
        <f aca="false">IF(Tasks[[#This Row],[Task Name]]="","",IF(Tasks[[#This Row],[_IsSummary]],SUM(INDEX(Tasks[_LeafTotalCost],Tasks[[#This Row],[_Row]]+1):INDEX(Tasks[_LeafTotalCost],Tasks[[#This Row],[_Row]]+Tasks[[#This Row],[_Descendants]])),Tasks[[#This Row],[_LeafTotalCost]]))</f>
        <v/>
      </c>
      <c r="AM37" s="71"/>
      <c r="AN37" s="20" t="str">
        <f aca="false">IF(OR(Tasks[[#This Row],[Task Name]]="",Tasks[[#This Row],[Baseline Duration]]=""),"",Tasks[[#This Row],[BL Source Duration]]-N(Tasks[[#This Row],[Baseline Duration]]))</f>
        <v/>
      </c>
      <c r="AO37" s="69" t="str">
        <f aca="false">IF(OR(Tasks[[#This Row],[Task Name]]="",Tasks[[#This Row],[Baseline Work]]=""),"",Tasks[[#This Row],[Work]]-N(Tasks[[#This Row],[Baseline Work]]))</f>
        <v/>
      </c>
      <c r="AP37" s="70" t="str">
        <f aca="false">IF(OR(Tasks[[#This Row],[Task Name]]="",Tasks[[#This Row],[Baseline Cost]]=""),"",Tasks[[#This Row],[Cost]]-N(Tasks[[#This Row],[Baseline Cost]]))</f>
        <v/>
      </c>
      <c r="AQ37" s="58" t="str">
        <f aca="false">IF(Tasks[[#This Row],[Task Name]]="","",Tasks[[#This Row],[Start]])</f>
        <v/>
      </c>
      <c r="AR37" s="58" t="str">
        <f aca="false">IF(Tasks[[#This Row],[Task Name]]="","",Tasks[[#This Row],[Finish]])</f>
        <v/>
      </c>
      <c r="AS37" s="67" t="str">
        <f aca="false">IF(Tasks[[#This Row],[Task Name]]="","",IF(Tasks[[#This Row],[_IsSummary]],NETWORKDAYS.INTL(Tasks[[#This Row],[Start]],Tasks[[#This Row],[Finish]],WorkWeek,Holidays),N(Tasks[[#This Row],[Duration]])))</f>
        <v/>
      </c>
      <c r="AT37" s="69" t="str">
        <f aca="false">IF(Tasks[[#This Row],[Task Name]]="","",Tasks[[#This Row],[Work]])</f>
        <v/>
      </c>
      <c r="AU37" s="70" t="str">
        <f aca="false">IF(Tasks[[#This Row],[Task Name]]="","",Tasks[[#This Row],[Cost]])</f>
        <v/>
      </c>
      <c r="AV37" s="7"/>
      <c r="AW37" s="7"/>
      <c r="AX37" s="21"/>
      <c r="AY37" s="72"/>
      <c r="AZ37" s="71"/>
      <c r="BA37" s="70" t="str">
        <f aca="false">IF(Tasks[[#This Row],[Task Name]]="","",IF(Tasks[[#This Row],[_IsSummary]],SUM(INDEX(Tasks[_LeafEV],Tasks[[#This Row],[_Row]]+1):INDEX(Tasks[_LeafEV],Tasks[[#This Row],[_Row]]+Tasks[[#This Row],[_Descendants]])),Tasks[[#This Row],[_LeafEV]]))</f>
        <v/>
      </c>
      <c r="BB37" s="70" t="str">
        <f aca="false">IF(Tasks[[#This Row],[Task Name]]="","",IF(Tasks[[#This Row],[_IsSummary]],SUM(INDEX(Tasks[_LeafBudget],Tasks[[#This Row],[_Row]]+1):INDEX(Tasks[_LeafBudget],Tasks[[#This Row],[_Row]]+Tasks[[#This Row],[_Descendants]])),Tasks[[#This Row],[_LeafBudget]]))</f>
        <v/>
      </c>
      <c r="BC37" s="70" t="str">
        <f aca="false">IF(Tasks[[#This Row],[Task Name]]="","",IF(Tasks[[#This Row],[_IsSummary]],SUM(INDEX(Tasks[_LeafPV],Tasks[[#This Row],[_Row]]+1):INDEX(Tasks[_LeafPV],Tasks[[#This Row],[_Row]]+Tasks[[#This Row],[_Descendants]])),Tasks[[#This Row],[_LeafPV]]))</f>
        <v/>
      </c>
      <c r="BD37" s="70" t="str">
        <f aca="false">IF(Tasks[[#This Row],[Task Name]]="","",IF(Tasks[[#This Row],[_IsSummary]],SUM(INDEX(Tasks[_LeafAC],Tasks[[#This Row],[_Row]]+1):INDEX(Tasks[_LeafAC],Tasks[[#This Row],[_Row]]+Tasks[[#This Row],[_Descendants]])),Tasks[[#This Row],[_LeafAC]]))</f>
        <v/>
      </c>
      <c r="BE37" s="45" t="str">
        <f aca="false">IF(Tasks[[#This Row],[Task Name]]="","",MAX(1,N(Tasks[[#This Row],[Level]])))</f>
        <v/>
      </c>
      <c r="BF37" s="45" t="n">
        <f aca="false">ROW()-ROW(Tasks[[#Headers],[ID]])</f>
        <v>32</v>
      </c>
      <c r="BG37" s="45" t="n">
        <f aca="false">IF(OR(Tasks[[#This Row],[Task Name]]="",Tasks[[#This Row],[_Level]]&lt;=1),0,IFERROR(LOOKUP(2,1/(Tasks[[#Headers],[_Level]]:Tasks[[#This Row],[_Level]]=Tasks[[#This Row],[_Level]]-1),ROW(Tasks[[#Headers],[_Level]]:Tasks[[#This Row],[_Level]])),0))</f>
        <v>0</v>
      </c>
      <c r="BH37" s="45" t="n">
        <f aca="false">IFERROR(N(INDEX(Tasks[_Level],Tasks[[#This Row],[_Row]]+1)),0)</f>
        <v>0</v>
      </c>
      <c r="BI37" s="73" t="b">
        <f aca="false">AND(Tasks[[#This Row],[Task Name]]&lt;&gt;"",Tasks[[#This Row],[_NextLevel]]&gt;Tasks[[#This Row],[_Level]])</f>
        <v>0</v>
      </c>
      <c r="BJ37" s="45" t="n">
        <f aca="false">IF(Tasks[[#This Row],[_IsSummary]],COUNTIF(Tasks[WBS],Tasks[[#This Row],[WBS]]&amp;".*"),0)</f>
        <v>0</v>
      </c>
      <c r="BK37" s="45" t="n">
        <f aca="false">IF(AND(Tasks[[#This Row],[Task Name]]&lt;&gt;"",NOT(Tasks[[#This Row],[_IsSummary]])),1,0)</f>
        <v>0</v>
      </c>
      <c r="BL37" s="45" t="n">
        <f aca="false">IF(N(Tasks[[#This Row],[_Pred1UID]])=0,0,IFERROR(MATCH(Tasks[[#This Row],[_Pred1UID]],Tasks[UID],0),-1))</f>
        <v>0</v>
      </c>
      <c r="BM37" s="45" t="n">
        <f aca="false">IF(N(Tasks[[#This Row],[_Pred2UID]])=0,0,IFERROR(MATCH(Tasks[[#This Row],[_Pred2UID]],Tasks[UID],0),-1))</f>
        <v>0</v>
      </c>
      <c r="BN37" s="45" t="n">
        <f aca="false">IF(N(Tasks[[#This Row],[_Pred3UID]])=0,0,IFERROR(MATCH(Tasks[[#This Row],[_Pred3UID]],Tasks[UID],0),-1))</f>
        <v>0</v>
      </c>
      <c r="BO37" s="45" t="n">
        <f aca="false">IF(N(Tasks[[#This Row],[_Pred4UID]])=0,0,IFERROR(MATCH(Tasks[[#This Row],[_Pred4UID]],Tasks[UID],0),-1))</f>
        <v>0</v>
      </c>
      <c r="BP3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3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37" s="74" t="n">
        <f aca="false">IF(OR(Tasks[[#This Row],[_ConstraintCode]]=2,Tasks[[#This Row],[_ConstraintCode]]=3,Tasks[[#This Row],[_ConstraintCode]]=4,Tasks[[#This Row],[_ConstraintCode]]=6),Tasks[[#This Row],[_ConstraintStart]],0)</f>
        <v>0</v>
      </c>
      <c r="BS37" s="74" t="n">
        <f aca="false">IF(OR(Tasks[[#This Row],[_ConstraintCode]]=2,Tasks[[#This Row],[_ConstraintCode]]=3,Tasks[[#This Row],[_ConstraintCode]]=5,Tasks[[#This Row],[_ConstraintCode]]=7),Tasks[[#This Row],[_ConstraintStart]],2958465)</f>
        <v>2958465</v>
      </c>
      <c r="BT3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37" s="74" t="str">
        <f aca="false">IF(NOT(Tasks[[#This Row],[_IsLeaf]]=1),"",IF(N(Tasks[[#This Row],[Duration]])&lt;=0,Tasks[[#This Row],[_LeafCalcStart]],WORKDAY.INTL(Tasks[[#This Row],[_LeafCalcStart]],Tasks[[#This Row],[Duration]]-1,WorkWeek,Holidays)))</f>
        <v/>
      </c>
      <c r="BV3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3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37" s="45" t="str">
        <f aca="false">IF(Tasks[[#This Row],[Predecessors]]="","",TRIM(MID(SUBSTITUTE(SUBSTITUTE(SUBSTITUTE(UPPER(Tasks[[#This Row],[Predecessors]]),";",",")," ",""),",",REPT(" ",99)),1,99)))</f>
        <v/>
      </c>
      <c r="BY37" s="45" t="str">
        <f aca="false">IF(Tasks[[#This Row],[_Pred1Text]]="","",IFERROR(VALUE(LEFT(Tasks[[#This Row],[_Pred1Text]],MIN(FIND("F",Tasks[[#This Row],[_Pred1Text]]&amp;"F"),FIND("S",Tasks[[#This Row],[_Pred1Text]]&amp;"S"),FIND("+",Tasks[[#This Row],[_Pred1Text]]&amp;"+"),FIND("-",Tasks[[#This Row],[_Pred1Text]]&amp;"-"))-1)),""))</f>
        <v/>
      </c>
      <c r="BZ3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3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37" s="45" t="str">
        <f aca="false">IF(Tasks[[#This Row],[_Pred1Text]]="","",TRIM(MID(SUBSTITUTE(SUBSTITUTE(SUBSTITUTE(UPPER(Tasks[[#This Row],[Predecessors]]),";",",")," ",""),",",REPT(" ",99)),100,99)))</f>
        <v/>
      </c>
      <c r="CC37" s="45" t="str">
        <f aca="false">IF(Tasks[[#This Row],[_Pred2Text]]="","",IFERROR(VALUE(LEFT(Tasks[[#This Row],[_Pred2Text]],MIN(FIND("F",Tasks[[#This Row],[_Pred2Text]]&amp;"F"),FIND("S",Tasks[[#This Row],[_Pred2Text]]&amp;"S"),FIND("+",Tasks[[#This Row],[_Pred2Text]]&amp;"+"),FIND("-",Tasks[[#This Row],[_Pred2Text]]&amp;"-"))-1)),""))</f>
        <v/>
      </c>
      <c r="CD3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3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37" s="45" t="str">
        <f aca="false">IF(Tasks[[#This Row],[_Pred2Text]]="","",TRIM(MID(SUBSTITUTE(SUBSTITUTE(SUBSTITUTE(UPPER(Tasks[[#This Row],[Predecessors]]),";",",")," ",""),",",REPT(" ",99)),199,99)))</f>
        <v/>
      </c>
      <c r="CG37" s="45" t="str">
        <f aca="false">IF(Tasks[[#This Row],[_Pred3Text]]="","",IFERROR(VALUE(LEFT(Tasks[[#This Row],[_Pred3Text]],MIN(FIND("F",Tasks[[#This Row],[_Pred3Text]]&amp;"F"),FIND("S",Tasks[[#This Row],[_Pred3Text]]&amp;"S"),FIND("+",Tasks[[#This Row],[_Pred3Text]]&amp;"+"),FIND("-",Tasks[[#This Row],[_Pred3Text]]&amp;"-"))-1)),""))</f>
        <v/>
      </c>
      <c r="CH3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3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37" s="45" t="str">
        <f aca="false">IF(Tasks[[#This Row],[_Pred3Text]]="","",TRIM(MID(SUBSTITUTE(SUBSTITUTE(SUBSTITUTE(UPPER(Tasks[[#This Row],[Predecessors]]),";",",")," ",""),",",REPT(" ",99)),298,99)))</f>
        <v/>
      </c>
      <c r="CK37" s="45" t="str">
        <f aca="false">IF(Tasks[[#This Row],[_Pred4Text]]="","",IFERROR(VALUE(LEFT(Tasks[[#This Row],[_Pred4Text]],MIN(FIND("F",Tasks[[#This Row],[_Pred4Text]]&amp;"F"),FIND("S",Tasks[[#This Row],[_Pred4Text]]&amp;"S"),FIND("+",Tasks[[#This Row],[_Pred4Text]]&amp;"+"),FIND("-",Tasks[[#This Row],[_Pred4Text]]&amp;"-"))-1)),""))</f>
        <v/>
      </c>
      <c r="CL3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3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37" s="45" t="str">
        <f aca="false">IF(OR(Tasks[[#This Row],[Task Name]]="",Tasks[[#This Row],[Resources]]=""),"",TRIM(MID(SUBSTITUTE(Tasks[[#This Row],[Resources]],",",REPT(" ",99)),1,99)))</f>
        <v/>
      </c>
      <c r="CO37" s="45" t="str">
        <f aca="false">IF(Tasks[[#This Row],[_Res1Text]]="","",TRIM(MID(SUBSTITUTE(Tasks[[#This Row],[Resources]],",",REPT(" ",99)),100,99)))</f>
        <v/>
      </c>
      <c r="CP37" s="45" t="str">
        <f aca="false">IF(Tasks[[#This Row],[_Res2Text]]="","",TRIM(MID(SUBSTITUTE(Tasks[[#This Row],[Resources]],",",REPT(" ",99)),199,99)))</f>
        <v/>
      </c>
      <c r="CQ37" s="45" t="str">
        <f aca="false">IF(Tasks[[#This Row],[_Res3Text]]="","",TRIM(MID(SUBSTITUTE(Tasks[[#This Row],[Resources]],",",REPT(" ",99)),298,99)))</f>
        <v/>
      </c>
      <c r="CR3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3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7" s="45" t="n">
        <f aca="false">IF(NOT(Tasks[[#This Row],[_IsLeaf]]=1),0,(Tasks[[#This Row],[_Resource1]]&lt;&gt;"")+(Tasks[[#This Row],[_Res2]]&lt;&gt;"")+(Tasks[[#This Row],[_Res3]]&lt;&gt;"")+(Tasks[[#This Row],[_Res4]]&lt;&gt;""))</f>
        <v>0</v>
      </c>
      <c r="CU3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3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7" s="45" t="n">
        <f aca="false">IF(OR(NOT(Tasks[[#This Row],[_IsLeaf]]=1),Tasks[[#This Row],[_Res2]]=""),0,IF(ISNA(MATCH(Tasks[[#This Row],[_Res2]],res_Name,0)),0,N(Tasks[[#This Row],[Duration]])*HoursPerDay*IF(Tasks[[#This Row],[_Res2Units]]="",DefaultUnits,Tasks[[#This Row],[_Res2Units]])))</f>
        <v>0</v>
      </c>
      <c r="CX37" s="45" t="n">
        <f aca="false">IF(Tasks[[#This Row],[_Res2Work]]=0,0,Tasks[[#This Row],[_Res2Work]]*IFERROR(INDEX(res_Rate,MATCH(Tasks[[#This Row],[_Res2]],res_Name,0)),0))</f>
        <v>0</v>
      </c>
      <c r="CY37" s="45" t="n">
        <f aca="false">IF(AND(AND(Tasks[[#This Row],[_IsLeaf]]=1,Tasks[[#This Row],[_LeafTotalWork]]&gt;0),Tasks[[#This Row],[_Res2Work]]&gt;0),Tasks[[#This Row],[_Res2Work]]/(Tasks[[#This Row],[_FinishWorkday]]-Tasks[[#This Row],[_StartWorkday]]+1),0)</f>
        <v>0</v>
      </c>
      <c r="CZ37" s="45" t="n">
        <f aca="false">Tasks[[#This Row],[_Res2WorkPerWD]]*MAX(0,Tasks[[#This Row],[_StartWorkday]]-1)</f>
        <v>0</v>
      </c>
      <c r="DA37" s="45" t="n">
        <f aca="false">Tasks[[#This Row],[_Res2Work]]*Tasks[[#This Row],[_LeafProgress]]</f>
        <v>0</v>
      </c>
      <c r="DB37" s="45" t="n">
        <f aca="false">IF(Tasks[[#This Row],[_LeafTotalCost]]=0,0,Tasks[[#This Row],[_LeafAC]]*Tasks[[#This Row],[_Res2Cost]]/Tasks[[#This Row],[_LeafTotalCost]])</f>
        <v>0</v>
      </c>
      <c r="DC3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3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37" s="45" t="n">
        <f aca="false">IF(OR(NOT(Tasks[[#This Row],[_IsLeaf]]=1),Tasks[[#This Row],[_Res3]]=""),0,IF(ISNA(MATCH(Tasks[[#This Row],[_Res3]],res_Name,0)),0,N(Tasks[[#This Row],[Duration]])*HoursPerDay*IF(Tasks[[#This Row],[_Res3Units]]="",DefaultUnits,Tasks[[#This Row],[_Res3Units]])))</f>
        <v>0</v>
      </c>
      <c r="DF37" s="45" t="n">
        <f aca="false">IF(Tasks[[#This Row],[_Res3Work]]=0,0,Tasks[[#This Row],[_Res3Work]]*IFERROR(INDEX(res_Rate,MATCH(Tasks[[#This Row],[_Res3]],res_Name,0)),0))</f>
        <v>0</v>
      </c>
      <c r="DG37" s="45" t="n">
        <f aca="false">IF(AND(AND(Tasks[[#This Row],[_IsLeaf]]=1,Tasks[[#This Row],[_LeafTotalWork]]&gt;0),Tasks[[#This Row],[_Res3Work]]&gt;0),Tasks[[#This Row],[_Res3Work]]/(Tasks[[#This Row],[_FinishWorkday]]-Tasks[[#This Row],[_StartWorkday]]+1),0)</f>
        <v>0</v>
      </c>
      <c r="DH37" s="45" t="n">
        <f aca="false">Tasks[[#This Row],[_Res3WorkPerWD]]*MAX(0,Tasks[[#This Row],[_StartWorkday]]-1)</f>
        <v>0</v>
      </c>
      <c r="DI37" s="45" t="n">
        <f aca="false">Tasks[[#This Row],[_Res3Work]]*Tasks[[#This Row],[_LeafProgress]]</f>
        <v>0</v>
      </c>
      <c r="DJ37" s="45" t="n">
        <f aca="false">IF(Tasks[[#This Row],[_LeafTotalCost]]=0,0,Tasks[[#This Row],[_LeafAC]]*Tasks[[#This Row],[_Res3Cost]]/Tasks[[#This Row],[_LeafTotalCost]])</f>
        <v>0</v>
      </c>
      <c r="DK3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3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37" s="45" t="n">
        <f aca="false">IF(OR(NOT(Tasks[[#This Row],[_IsLeaf]]=1),Tasks[[#This Row],[_Res4]]=""),0,IF(ISNA(MATCH(Tasks[[#This Row],[_Res4]],res_Name,0)),0,N(Tasks[[#This Row],[Duration]])*HoursPerDay*IF(Tasks[[#This Row],[_Res4Units]]="",DefaultUnits,Tasks[[#This Row],[_Res4Units]])))</f>
        <v>0</v>
      </c>
      <c r="DN37" s="45" t="n">
        <f aca="false">IF(Tasks[[#This Row],[_Res4Work]]=0,0,Tasks[[#This Row],[_Res4Work]]*IFERROR(INDEX(res_Rate,MATCH(Tasks[[#This Row],[_Res4]],res_Name,0)),0))</f>
        <v>0</v>
      </c>
      <c r="DO37" s="45" t="n">
        <f aca="false">IF(AND(AND(Tasks[[#This Row],[_IsLeaf]]=1,Tasks[[#This Row],[_LeafTotalWork]]&gt;0),Tasks[[#This Row],[_Res4Work]]&gt;0),Tasks[[#This Row],[_Res4Work]]/(Tasks[[#This Row],[_FinishWorkday]]-Tasks[[#This Row],[_StartWorkday]]+1),0)</f>
        <v>0</v>
      </c>
      <c r="DP37" s="45" t="n">
        <f aca="false">Tasks[[#This Row],[_Res4WorkPerWD]]*MAX(0,Tasks[[#This Row],[_StartWorkday]]-1)</f>
        <v>0</v>
      </c>
      <c r="DQ37" s="45" t="n">
        <f aca="false">Tasks[[#This Row],[_Res4Work]]*Tasks[[#This Row],[_LeafProgress]]</f>
        <v>0</v>
      </c>
      <c r="DR37" s="45" t="n">
        <f aca="false">IF(Tasks[[#This Row],[_LeafTotalCost]]=0,0,Tasks[[#This Row],[_LeafAC]]*Tasks[[#This Row],[_Res4Cost]]/Tasks[[#This Row],[_LeafTotalCost]])</f>
        <v>0</v>
      </c>
      <c r="DS37" s="45" t="n">
        <f aca="false">IF(ISNUMBER(Tasks[[#This Row],[% Complete]]),Tasks[[#This Row],[% Complete]],IF(Tasks[[#This Row],[Stage]]="",0,IFERROR(INDEX(stg_Pct,MATCH(Tasks[[#This Row],[Stage]],stg_Name,0)),0)))</f>
        <v>0</v>
      </c>
      <c r="DT37" s="45" t="n">
        <f aca="false">IF(NOT(Tasks[[#This Row],[_IsLeaf]]=1),0,IF(N(Tasks[[#This Row],[Actual Finish]])&gt;0,1,MIN(1,Tasks[[#This Row],[_Pct]])))</f>
        <v>0</v>
      </c>
      <c r="DU37" s="45" t="n">
        <f aca="false">IF(OR(NOT(Tasks[[#This Row],[_IsLeaf]]=1),Tasks[[#This Row],[_Resource1]]=""),0,IF(ISNA(MATCH(Tasks[[#This Row],[_Resource1]],res_Name,0)),0,N(Tasks[[#This Row],[Duration]])*HoursPerDay*IF(Tasks[[#This Row],[_Units1]]="",DefaultUnits,Tasks[[#This Row],[_Units1]])))</f>
        <v>0</v>
      </c>
      <c r="DV37" s="45" t="n">
        <f aca="false">IF(Tasks[[#This Row],[_LeafWork]]=0,0,Tasks[[#This Row],[_LeafWork]]*IFERROR(INDEX(res_Rate,MATCH(Tasks[[#This Row],[_Resource1]],res_Name,0)),0))</f>
        <v>0</v>
      </c>
      <c r="DW37" s="45" t="n">
        <f aca="false">Tasks[[#This Row],[_LeafWork]]+Tasks[[#This Row],[_Res2Work]]+Tasks[[#This Row],[_Res3Work]]+Tasks[[#This Row],[_Res4Work]]</f>
        <v>0</v>
      </c>
      <c r="DX37" s="45" t="n">
        <f aca="false">Tasks[[#This Row],[_LeafCost]]+Tasks[[#This Row],[_Res2Cost]]+Tasks[[#This Row],[_Res3Cost]]+Tasks[[#This Row],[_Res4Cost]]</f>
        <v>0</v>
      </c>
      <c r="DY37" s="45" t="n">
        <f aca="false">IF(Tasks[[#This Row],[_LeafTotalCost]]=0,Tasks[[#This Row],[_LeafAC]],Tasks[[#This Row],[_LeafAC]]*Tasks[[#This Row],[_LeafCost]]/Tasks[[#This Row],[_LeafTotalCost]])</f>
        <v>0</v>
      </c>
      <c r="DZ3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3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3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3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3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3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3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3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37" s="45" t="n">
        <f aca="false">IF(NOT(Tasks[[#This Row],[_IsLeaf]]=1),0,MAX(_xlfn.MAXIFS(Tasks[_Row],Tasks[_Pred1UID],Tasks[[#This Row],[UID]]),_xlfn.MAXIFS(Tasks[_Row],Tasks[_Pred2UID],Tasks[[#This Row],[UID]]),_xlfn.MAXIFS(Tasks[_Row],Tasks[_Pred3UID],Tasks[[#This Row],[UID]]),_xlfn.MAXIFS(Tasks[_Row],Tasks[_Pred4UID],Tasks[[#This Row],[UID]])))</f>
        <v>0</v>
      </c>
      <c r="EI3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3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37" s="74" t="str">
        <f aca="false">IF(NOT(Tasks[[#This Row],[_IsLeaf]]=1),"",IF(N(Tasks[[#This Row],[Duration]])&lt;=0,Tasks[[#This Row],[_LeafLateFinish]],WORKDAY.INTL(Tasks[[#This Row],[_LeafLateFinish]],-(Tasks[[#This Row],[Duration]]-1),WorkWeek,Holidays)))</f>
        <v/>
      </c>
      <c r="EL3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37" s="73" t="b">
        <f aca="false">AND(Tasks[[#This Row],[_IsLeaf]]=1,Tasks[[#This Row],[_LeafProgress]]&lt;1,N(Tasks[[#This Row],[_LeafTotalSlack]])&lt;=CriticalSlackDays)</f>
        <v>0</v>
      </c>
      <c r="EN37" s="45" t="n">
        <f aca="false">IF(AND(Tasks[[#This Row],[_IsLeaf]]=1,Tasks[[#This Row],[_ConstraintCode]]=1,Tasks[[#This Row],[Mode]]&lt;&gt;"Manual",N(Tasks[[#This Row],[Actual Start]])=0),MAX(0,N(Tasks[[#This Row],[Free Slack]])),0)</f>
        <v>0</v>
      </c>
      <c r="EO37" s="74" t="str">
        <f aca="false">IF(NOT(Tasks[[#This Row],[_IsLeaf]]=1),"",IF(Tasks[[#This Row],[_AlapShift]]=0,Tasks[[#This Row],[_LeafCalcStart]],WORKDAY.INTL(Tasks[[#This Row],[_LeafCalcStart]],Tasks[[#This Row],[_AlapShift]],WorkWeek,Holidays)))</f>
        <v/>
      </c>
      <c r="EP37" s="74" t="str">
        <f aca="false">IF(NOT(Tasks[[#This Row],[_IsLeaf]]=1),"",IF(Tasks[[#This Row],[_AlapShift]]=0,Tasks[[#This Row],[_LeafCalcFinish]],WORKDAY.INTL(Tasks[[#This Row],[_LeafCalcFinish]],Tasks[[#This Row],[_AlapShift]],WorkWeek,Holidays)))</f>
        <v/>
      </c>
      <c r="EQ37" s="74" t="str">
        <f aca="false">IF(NOT(Tasks[[#This Row],[_IsLeaf]]=1),"",IF(Tasks[[#This Row],[_AlapShift]]=0,Tasks[[#This Row],[_LeafFcstStart]],WORKDAY.INTL(Tasks[[#This Row],[_LeafFcstStart]],Tasks[[#This Row],[_AlapShift]],WorkWeek,Holidays)))</f>
        <v/>
      </c>
      <c r="ER37" s="74" t="str">
        <f aca="false">IF(NOT(Tasks[[#This Row],[_IsLeaf]]=1),"",IF(Tasks[[#This Row],[_AlapShift]]=0,Tasks[[#This Row],[_LeafFcstFinish]],WORKDAY.INTL(Tasks[[#This Row],[_LeafFcstFinish]],Tasks[[#This Row],[_AlapShift]],WorkWeek,Holidays)))</f>
        <v/>
      </c>
      <c r="ES37" s="74" t="str">
        <f aca="false">IF(Tasks[[#This Row],[Task Name]]="","",IF(Tasks[[#This Row],[_IsSummary]],MIN(INDEX(Tasks[_ShownCalcStart],Tasks[[#This Row],[_Row]]+1):INDEX(Tasks[_ShownCalcStart],Tasks[[#This Row],[_Row]]+Tasks[[#This Row],[_Descendants]])),Tasks[[#This Row],[_ShownCalcStart]]))</f>
        <v/>
      </c>
      <c r="ET37" s="74" t="str">
        <f aca="false">IF(Tasks[[#This Row],[Task Name]]="","",IF(Tasks[[#This Row],[_IsSummary]],MAX(INDEX(Tasks[_ShownCalcFinish],Tasks[[#This Row],[_Row]]+1):INDEX(Tasks[_ShownCalcFinish],Tasks[[#This Row],[_Row]]+Tasks[[#This Row],[_Descendants]])),Tasks[[#This Row],[_ShownCalcFinish]]))</f>
        <v/>
      </c>
      <c r="EU3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3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3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3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3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3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3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3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3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3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3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3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37" s="45" t="n">
        <f aca="false">IF(AND(Tasks[[#This Row],[_IsLeaf]]=1,Tasks[[#This Row],[_LeafTotalWork]]&gt;0),NETWORKDAYS.INTL(ProjectStart,Tasks[[#This Row],[_ShownFcstStart]],WorkWeek,Holidays),0)</f>
        <v>0</v>
      </c>
      <c r="FH37" s="45" t="n">
        <f aca="false">IF(AND(Tasks[[#This Row],[_IsLeaf]]=1,Tasks[[#This Row],[_LeafTotalWork]]&gt;0),MAX(Tasks[[#This Row],[_StartWorkday]],NETWORKDAYS.INTL(ProjectStart,Tasks[[#This Row],[_ShownFcstFinish]],WorkWeek,Holidays)),0)</f>
        <v>0</v>
      </c>
      <c r="FI37" s="45" t="n">
        <f aca="false">IF(AND(Tasks[[#This Row],[_IsLeaf]]=1,Tasks[[#This Row],[_LeafTotalWork]]&gt;0),Tasks[[#This Row],[_LeafWork]]/(Tasks[[#This Row],[_FinishWorkday]]-Tasks[[#This Row],[_StartWorkday]]+1),0)</f>
        <v>0</v>
      </c>
      <c r="FJ37" s="45" t="n">
        <f aca="false">Tasks[[#This Row],[_WorkPerWorkday]]*(Tasks[[#This Row],[_StartWorkday]]-1)</f>
        <v>-0</v>
      </c>
      <c r="FK37" s="45" t="n">
        <f aca="false">IF(Tasks[[#This Row],[_IsLeaf]]=1,MAX(N(Tasks[[#This Row],[Duration]]),0.1),0)</f>
        <v>0</v>
      </c>
      <c r="FL37" s="45" t="n">
        <f aca="false">Tasks[[#This Row],[_WeightDur]]*Tasks[[#This Row],[_LeafProgress]]</f>
        <v>0</v>
      </c>
      <c r="FM3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37" s="45" t="str">
        <f aca="false">IF(AND(Tasks[[#This Row],[_IsLeaf]]=1,N(Tasks[[#This Row],[Duration]])=0,Tasks[[#This Row],[_LeafProgress]]&lt;1),Tasks[[#This Row],[_ShownFcstFinish]]+Tasks[[#This Row],[_Row]]/100000,"")</f>
        <v/>
      </c>
      <c r="FO3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37" s="45" t="n">
        <f aca="false">IF(NOT(Tasks[[#This Row],[_IsLeaf]]=1),0,IF(Tasks[[#This Row],[Baseline Cost]]="",Tasks[[#This Row],[_LeafTotalCost]],N(Tasks[[#This Row],[Baseline Cost]])))</f>
        <v>0</v>
      </c>
      <c r="FQ37" s="45" t="n">
        <f aca="false">Tasks[[#This Row],[_LeafBudget]]*Tasks[[#This Row],[_PlannedPct]]</f>
        <v>0</v>
      </c>
      <c r="FR37" s="45" t="n">
        <f aca="false">Tasks[[#This Row],[_LeafBudget]]*Tasks[[#This Row],[_LeafProgress]]</f>
        <v>0</v>
      </c>
      <c r="FS37" s="45" t="n">
        <f aca="false">IF(NOT(Tasks[[#This Row],[_IsLeaf]]=1),0,IF(Tasks[[#This Row],[Actual Cost]]="",Tasks[[#This Row],[_LeafTotalCost]]*Tasks[[#This Row],[_LeafProgress]],N(Tasks[[#This Row],[Actual Cost]])))</f>
        <v>0</v>
      </c>
      <c r="FT37" s="45" t="str">
        <f aca="false">IF(Tasks[[#This Row],[Task Name]]="","",LEFT(Tasks[[#This Row],[WBS]],FIND(".",Tasks[[#This Row],[WBS]]&amp;".")-1))</f>
        <v/>
      </c>
      <c r="FU37" s="45" t="str">
        <f aca="false">IF(AND(Tasks[[#This Row],[Task Name]]&lt;&gt;"",Tasks[[#This Row],[_Level]]=1),Tasks[[#This Row],[_Row]],"")</f>
        <v/>
      </c>
      <c r="FV37" s="45" t="str">
        <f aca="false">IF(AND(Tasks[[#This Row],[_IsLeaf]]=1,N(Tasks[[#This Row],[Duration]])=0),Tasks[[#This Row],[Planned Finish]]+Tasks[[#This Row],[_Row]]/100000,"")</f>
        <v/>
      </c>
      <c r="FW37" s="45" t="str">
        <f aca="false">IF(AND(Tasks[[#This Row],[_IsLeaf]]=1,Tasks[[#This Row],[_LeafProgress]]&lt;1,OR(N(Tasks[[#This Row],[Finish Var]])&gt;0,Tasks[[#This Row],[Status]]="Late Start")),MAX(0,Tasks[[#This Row],[Finish Var]])+1-Tasks[[#This Row],[_Row]]/1000000,"")</f>
        <v/>
      </c>
      <c r="FX37" s="45" t="str">
        <f aca="false">IF(AND(Tasks[[#This Row],[_IsLeaf]]=1,N(Tasks[[#This Row],[Actual Start]])=0,Tasks[[#This Row],[_ShownFcstStart]]&gt;=StatusDate,Tasks[[#This Row],[_ShownFcstStart]]&lt;=LookaheadEnd),Tasks[[#This Row],[_ShownFcstStart]]+Tasks[[#This Row],[_Row]]/100000,"")</f>
        <v/>
      </c>
      <c r="FY37" s="45" t="str">
        <f aca="false">IF(AND(Tasks[[#This Row],[_IsLeaf]]=1,Tasks[[#This Row],[_LeafProgress]]&lt;1,Tasks[[#This Row],[_ShownFcstFinish]]&gt;=StatusDate,Tasks[[#This Row],[_ShownFcstFinish]]&lt;=LookaheadEnd),Tasks[[#This Row],[_ShownFcstFinish]]+Tasks[[#This Row],[_Row]]/100000,"")</f>
        <v/>
      </c>
      <c r="FZ37" s="45" t="str">
        <f aca="false">IF(Tasks[[#This Row],[_LeafCritical]],Tasks[[#This Row],[_ShownFcstStart]]+Tasks[[#This Row],[_Row]]/100000,"")</f>
        <v/>
      </c>
      <c r="GA37" s="45" t="n">
        <f aca="false">Tasks[[#This Row],[_LeafWork]]*Tasks[[#This Row],[_LeafProgress]]</f>
        <v>0</v>
      </c>
      <c r="GB37" s="74" t="str">
        <f aca="false">IF(AND(Tasks[[#This Row],[_IsLeaf]]=1,Tasks[[#This Row],[_LeafProgress]]&gt;=1),IF(N(Tasks[[#This Row],[Actual Finish]])&gt;0,Tasks[[#This Row],[Actual Finish]],Tasks[[#This Row],[_ShownFcstFinish]]),"")</f>
        <v/>
      </c>
    </row>
    <row r="38" customFormat="false" ht="15" hidden="false" customHeight="false" outlineLevel="0" collapsed="false">
      <c r="A38" s="67" t="str">
        <f aca="false">IF(Tasks[[#This Row],[Task Name]]="","",COUNTA(Tasks[[#Headers],[Task Name]]:Tasks[[#This Row],[Task Name]])-1)</f>
        <v/>
      </c>
      <c r="B38" s="21" t="n">
        <v>33</v>
      </c>
      <c r="C3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21"/>
      <c r="E38" s="22"/>
      <c r="F38" s="21"/>
      <c r="G38" s="22"/>
      <c r="H38" s="22"/>
      <c r="I38" s="22"/>
      <c r="J38" s="7"/>
      <c r="K38" s="7"/>
      <c r="L38" s="22"/>
      <c r="M38" s="58" t="str">
        <f aca="false">IF(Tasks[[#This Row],[Task Name]]="","",IF(Tasks[[#This Row],[_IsSummary]],MIN(INDEX(Tasks[_ShownFcstStart],Tasks[[#This Row],[_Row]]+1):INDEX(Tasks[_ShownFcstStart],Tasks[[#This Row],[_Row]]+Tasks[[#This Row],[_Descendants]])),Tasks[[#This Row],[_ShownFcstStart]]))</f>
        <v/>
      </c>
      <c r="N38" s="58" t="str">
        <f aca="false">IF(Tasks[[#This Row],[Task Name]]="","",IF(Tasks[[#This Row],[_IsSummary]],MAX(INDEX(Tasks[_ShownFcstFinish],Tasks[[#This Row],[_Row]]+1):INDEX(Tasks[_ShownFcstFinish],Tasks[[#This Row],[_Row]]+Tasks[[#This Row],[_Descendants]])),Tasks[[#This Row],[_ShownFcstFinish]]))</f>
        <v/>
      </c>
      <c r="O38" s="20" t="str">
        <f aca="false">IF(Tasks[[#This Row],[Task Name]]="","",IF(Tasks[[#This Row],[Progress]]&gt;=1,"Complete",IF(OR(N(Tasks[[#This Row],[Actual Start]])&gt;0,Tasks[[#This Row],[Progress]]&gt;0),IF(Tasks[[#This Row],[Finish Var]]&gt;0,"Behind","In Progress"),IF(Tasks[[#This Row],[Planned Start]]&lt;StatusDate,"Late Start","Not Started"))))</f>
        <v/>
      </c>
      <c r="P38" s="20" t="str">
        <f aca="false">IF(Tasks[[#This Row],[Task Name]]="","",IF(IF(Tasks[[#This Row],[_IsSummary]],COUNTIF(INDEX(Tasks[_LeafCritical],Tasks[[#This Row],[_Row]]+1):INDEX(Tasks[_LeafCritical],Tasks[[#This Row],[_Row]]+Tasks[[#This Row],[_Descendants]]),TRUE())&gt;0,Tasks[[#This Row],[_LeafCritical]]),"Yes",""))</f>
        <v/>
      </c>
      <c r="Q3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38" s="67" t="str">
        <f aca="false">IF(Tasks[[#This Row],[Task Name]]="","",IF(Tasks[[#This Row],[_Level]]&lt;=OutlineShowLevel,"Yes","No"))</f>
        <v/>
      </c>
      <c r="S38" s="7"/>
      <c r="T38" s="21"/>
      <c r="U38" s="22"/>
      <c r="V38" s="7"/>
      <c r="W38" s="67" t="str">
        <f aca="false">IF(Tasks[[#This Row],[Task Name]]="","",IF(Tasks[[#This Row],[Finish]]&gt;=Tasks[[#This Row],[Planned Finish]],NETWORKDAYS.INTL(Tasks[[#This Row],[Planned Finish]],Tasks[[#This Row],[Finish]],WorkWeek,Holidays)-1,1-NETWORKDAYS.INTL(Tasks[[#This Row],[Finish]],Tasks[[#This Row],[Planned Finish]],WorkWeek,Holidays)))</f>
        <v/>
      </c>
      <c r="X38" s="58" t="str">
        <f aca="false">IF(Tasks[[#This Row],[Task Name]]="","",IF(N(Tasks[[#This Row],[Baseline Start]])&gt;0,Tasks[[#This Row],[Baseline Start]],Tasks[[#This Row],[_CalcStart]]))</f>
        <v/>
      </c>
      <c r="Y38" s="58" t="str">
        <f aca="false">IF(Tasks[[#This Row],[Task Name]]="","",IF(N(Tasks[[#This Row],[Baseline Finish]])&gt;0,Tasks[[#This Row],[Baseline Finish]],Tasks[[#This Row],[_CalcFinish]]))</f>
        <v/>
      </c>
      <c r="Z38" s="67" t="str">
        <f aca="false">IF(Tasks[[#This Row],[Task Name]]="","",IF(Tasks[[#This Row],[Start]]&gt;=Tasks[[#This Row],[Planned Start]],NETWORKDAYS.INTL(Tasks[[#This Row],[Planned Start]],Tasks[[#This Row],[Start]],WorkWeek,Holidays)-1,1-NETWORKDAYS.INTL(Tasks[[#This Row],[Start]],Tasks[[#This Row],[Planned Start]],WorkWeek,Holidays)))</f>
        <v/>
      </c>
      <c r="AA38" s="58" t="str">
        <f aca="false">IF(Tasks[[#This Row],[Task Name]]="","",IF(Tasks[[#This Row],[_IsSummary]],MIN(INDEX(Tasks[_LeafLateStart],Tasks[[#This Row],[_Row]]+1):INDEX(Tasks[_LeafLateStart],Tasks[[#This Row],[_Row]]+Tasks[[#This Row],[_Descendants]])),Tasks[[#This Row],[_LeafLateStart]]))</f>
        <v/>
      </c>
      <c r="AB38" s="58" t="str">
        <f aca="false">IF(Tasks[[#This Row],[Task Name]]="","",IF(Tasks[[#This Row],[_IsSummary]],MAX(INDEX(Tasks[_LeafLateFinish],Tasks[[#This Row],[_Row]]+1):INDEX(Tasks[_LeafLateFinish],Tasks[[#This Row],[_Row]]+Tasks[[#This Row],[_Descendants]])),Tasks[[#This Row],[_LeafLateFinish]]))</f>
        <v/>
      </c>
      <c r="AC38" s="67" t="str">
        <f aca="false">IF(Tasks[[#This Row],[Task Name]]="","",IF(Tasks[[#This Row],[_IsSummary]],MIN(INDEX(Tasks[_LeafTotalSlack],Tasks[[#This Row],[_Row]]+1):INDEX(Tasks[_LeafTotalSlack],Tasks[[#This Row],[_Row]]+Tasks[[#This Row],[_Descendants]])),Tasks[[#This Row],[_LeafTotalSlack]]))</f>
        <v/>
      </c>
      <c r="AD3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3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3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38" s="60"/>
      <c r="AH3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3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38" s="69" t="str">
        <f aca="false">IF(Tasks[[#This Row],[Task Name]]="","",IF(Tasks[[#This Row],[_IsSummary]],SUM(INDEX(Tasks[_LeafTotalWork],Tasks[[#This Row],[_Row]]+1):INDEX(Tasks[_LeafTotalWork],Tasks[[#This Row],[_Row]]+Tasks[[#This Row],[_Descendants]])),Tasks[[#This Row],[_LeafTotalWork]]))</f>
        <v/>
      </c>
      <c r="AK3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38" s="70" t="str">
        <f aca="false">IF(Tasks[[#This Row],[Task Name]]="","",IF(Tasks[[#This Row],[_IsSummary]],SUM(INDEX(Tasks[_LeafTotalCost],Tasks[[#This Row],[_Row]]+1):INDEX(Tasks[_LeafTotalCost],Tasks[[#This Row],[_Row]]+Tasks[[#This Row],[_Descendants]])),Tasks[[#This Row],[_LeafTotalCost]]))</f>
        <v/>
      </c>
      <c r="AM38" s="71"/>
      <c r="AN38" s="20" t="str">
        <f aca="false">IF(OR(Tasks[[#This Row],[Task Name]]="",Tasks[[#This Row],[Baseline Duration]]=""),"",Tasks[[#This Row],[BL Source Duration]]-N(Tasks[[#This Row],[Baseline Duration]]))</f>
        <v/>
      </c>
      <c r="AO38" s="69" t="str">
        <f aca="false">IF(OR(Tasks[[#This Row],[Task Name]]="",Tasks[[#This Row],[Baseline Work]]=""),"",Tasks[[#This Row],[Work]]-N(Tasks[[#This Row],[Baseline Work]]))</f>
        <v/>
      </c>
      <c r="AP38" s="70" t="str">
        <f aca="false">IF(OR(Tasks[[#This Row],[Task Name]]="",Tasks[[#This Row],[Baseline Cost]]=""),"",Tasks[[#This Row],[Cost]]-N(Tasks[[#This Row],[Baseline Cost]]))</f>
        <v/>
      </c>
      <c r="AQ38" s="58" t="str">
        <f aca="false">IF(Tasks[[#This Row],[Task Name]]="","",Tasks[[#This Row],[Start]])</f>
        <v/>
      </c>
      <c r="AR38" s="58" t="str">
        <f aca="false">IF(Tasks[[#This Row],[Task Name]]="","",Tasks[[#This Row],[Finish]])</f>
        <v/>
      </c>
      <c r="AS38" s="67" t="str">
        <f aca="false">IF(Tasks[[#This Row],[Task Name]]="","",IF(Tasks[[#This Row],[_IsSummary]],NETWORKDAYS.INTL(Tasks[[#This Row],[Start]],Tasks[[#This Row],[Finish]],WorkWeek,Holidays),N(Tasks[[#This Row],[Duration]])))</f>
        <v/>
      </c>
      <c r="AT38" s="69" t="str">
        <f aca="false">IF(Tasks[[#This Row],[Task Name]]="","",Tasks[[#This Row],[Work]])</f>
        <v/>
      </c>
      <c r="AU38" s="70" t="str">
        <f aca="false">IF(Tasks[[#This Row],[Task Name]]="","",Tasks[[#This Row],[Cost]])</f>
        <v/>
      </c>
      <c r="AV38" s="7"/>
      <c r="AW38" s="7"/>
      <c r="AX38" s="21"/>
      <c r="AY38" s="72"/>
      <c r="AZ38" s="71"/>
      <c r="BA38" s="70" t="str">
        <f aca="false">IF(Tasks[[#This Row],[Task Name]]="","",IF(Tasks[[#This Row],[_IsSummary]],SUM(INDEX(Tasks[_LeafEV],Tasks[[#This Row],[_Row]]+1):INDEX(Tasks[_LeafEV],Tasks[[#This Row],[_Row]]+Tasks[[#This Row],[_Descendants]])),Tasks[[#This Row],[_LeafEV]]))</f>
        <v/>
      </c>
      <c r="BB38" s="70" t="str">
        <f aca="false">IF(Tasks[[#This Row],[Task Name]]="","",IF(Tasks[[#This Row],[_IsSummary]],SUM(INDEX(Tasks[_LeafBudget],Tasks[[#This Row],[_Row]]+1):INDEX(Tasks[_LeafBudget],Tasks[[#This Row],[_Row]]+Tasks[[#This Row],[_Descendants]])),Tasks[[#This Row],[_LeafBudget]]))</f>
        <v/>
      </c>
      <c r="BC38" s="70" t="str">
        <f aca="false">IF(Tasks[[#This Row],[Task Name]]="","",IF(Tasks[[#This Row],[_IsSummary]],SUM(INDEX(Tasks[_LeafPV],Tasks[[#This Row],[_Row]]+1):INDEX(Tasks[_LeafPV],Tasks[[#This Row],[_Row]]+Tasks[[#This Row],[_Descendants]])),Tasks[[#This Row],[_LeafPV]]))</f>
        <v/>
      </c>
      <c r="BD38" s="70" t="str">
        <f aca="false">IF(Tasks[[#This Row],[Task Name]]="","",IF(Tasks[[#This Row],[_IsSummary]],SUM(INDEX(Tasks[_LeafAC],Tasks[[#This Row],[_Row]]+1):INDEX(Tasks[_LeafAC],Tasks[[#This Row],[_Row]]+Tasks[[#This Row],[_Descendants]])),Tasks[[#This Row],[_LeafAC]]))</f>
        <v/>
      </c>
      <c r="BE38" s="45" t="str">
        <f aca="false">IF(Tasks[[#This Row],[Task Name]]="","",MAX(1,N(Tasks[[#This Row],[Level]])))</f>
        <v/>
      </c>
      <c r="BF38" s="45" t="n">
        <f aca="false">ROW()-ROW(Tasks[[#Headers],[ID]])</f>
        <v>33</v>
      </c>
      <c r="BG38" s="45" t="n">
        <f aca="false">IF(OR(Tasks[[#This Row],[Task Name]]="",Tasks[[#This Row],[_Level]]&lt;=1),0,IFERROR(LOOKUP(2,1/(Tasks[[#Headers],[_Level]]:Tasks[[#This Row],[_Level]]=Tasks[[#This Row],[_Level]]-1),ROW(Tasks[[#Headers],[_Level]]:Tasks[[#This Row],[_Level]])),0))</f>
        <v>0</v>
      </c>
      <c r="BH38" s="45" t="n">
        <f aca="false">IFERROR(N(INDEX(Tasks[_Level],Tasks[[#This Row],[_Row]]+1)),0)</f>
        <v>0</v>
      </c>
      <c r="BI38" s="73" t="b">
        <f aca="false">AND(Tasks[[#This Row],[Task Name]]&lt;&gt;"",Tasks[[#This Row],[_NextLevel]]&gt;Tasks[[#This Row],[_Level]])</f>
        <v>0</v>
      </c>
      <c r="BJ38" s="45" t="n">
        <f aca="false">IF(Tasks[[#This Row],[_IsSummary]],COUNTIF(Tasks[WBS],Tasks[[#This Row],[WBS]]&amp;".*"),0)</f>
        <v>0</v>
      </c>
      <c r="BK38" s="45" t="n">
        <f aca="false">IF(AND(Tasks[[#This Row],[Task Name]]&lt;&gt;"",NOT(Tasks[[#This Row],[_IsSummary]])),1,0)</f>
        <v>0</v>
      </c>
      <c r="BL38" s="45" t="n">
        <f aca="false">IF(N(Tasks[[#This Row],[_Pred1UID]])=0,0,IFERROR(MATCH(Tasks[[#This Row],[_Pred1UID]],Tasks[UID],0),-1))</f>
        <v>0</v>
      </c>
      <c r="BM38" s="45" t="n">
        <f aca="false">IF(N(Tasks[[#This Row],[_Pred2UID]])=0,0,IFERROR(MATCH(Tasks[[#This Row],[_Pred2UID]],Tasks[UID],0),-1))</f>
        <v>0</v>
      </c>
      <c r="BN38" s="45" t="n">
        <f aca="false">IF(N(Tasks[[#This Row],[_Pred3UID]])=0,0,IFERROR(MATCH(Tasks[[#This Row],[_Pred3UID]],Tasks[UID],0),-1))</f>
        <v>0</v>
      </c>
      <c r="BO38" s="45" t="n">
        <f aca="false">IF(N(Tasks[[#This Row],[_Pred4UID]])=0,0,IFERROR(MATCH(Tasks[[#This Row],[_Pred4UID]],Tasks[UID],0),-1))</f>
        <v>0</v>
      </c>
      <c r="BP3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3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38" s="74" t="n">
        <f aca="false">IF(OR(Tasks[[#This Row],[_ConstraintCode]]=2,Tasks[[#This Row],[_ConstraintCode]]=3,Tasks[[#This Row],[_ConstraintCode]]=4,Tasks[[#This Row],[_ConstraintCode]]=6),Tasks[[#This Row],[_ConstraintStart]],0)</f>
        <v>0</v>
      </c>
      <c r="BS38" s="74" t="n">
        <f aca="false">IF(OR(Tasks[[#This Row],[_ConstraintCode]]=2,Tasks[[#This Row],[_ConstraintCode]]=3,Tasks[[#This Row],[_ConstraintCode]]=5,Tasks[[#This Row],[_ConstraintCode]]=7),Tasks[[#This Row],[_ConstraintStart]],2958465)</f>
        <v>2958465</v>
      </c>
      <c r="BT3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38" s="74" t="str">
        <f aca="false">IF(NOT(Tasks[[#This Row],[_IsLeaf]]=1),"",IF(N(Tasks[[#This Row],[Duration]])&lt;=0,Tasks[[#This Row],[_LeafCalcStart]],WORKDAY.INTL(Tasks[[#This Row],[_LeafCalcStart]],Tasks[[#This Row],[Duration]]-1,WorkWeek,Holidays)))</f>
        <v/>
      </c>
      <c r="BV3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3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38" s="45" t="str">
        <f aca="false">IF(Tasks[[#This Row],[Predecessors]]="","",TRIM(MID(SUBSTITUTE(SUBSTITUTE(SUBSTITUTE(UPPER(Tasks[[#This Row],[Predecessors]]),";",",")," ",""),",",REPT(" ",99)),1,99)))</f>
        <v/>
      </c>
      <c r="BY38" s="45" t="str">
        <f aca="false">IF(Tasks[[#This Row],[_Pred1Text]]="","",IFERROR(VALUE(LEFT(Tasks[[#This Row],[_Pred1Text]],MIN(FIND("F",Tasks[[#This Row],[_Pred1Text]]&amp;"F"),FIND("S",Tasks[[#This Row],[_Pred1Text]]&amp;"S"),FIND("+",Tasks[[#This Row],[_Pred1Text]]&amp;"+"),FIND("-",Tasks[[#This Row],[_Pred1Text]]&amp;"-"))-1)),""))</f>
        <v/>
      </c>
      <c r="BZ3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3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38" s="45" t="str">
        <f aca="false">IF(Tasks[[#This Row],[_Pred1Text]]="","",TRIM(MID(SUBSTITUTE(SUBSTITUTE(SUBSTITUTE(UPPER(Tasks[[#This Row],[Predecessors]]),";",",")," ",""),",",REPT(" ",99)),100,99)))</f>
        <v/>
      </c>
      <c r="CC38" s="45" t="str">
        <f aca="false">IF(Tasks[[#This Row],[_Pred2Text]]="","",IFERROR(VALUE(LEFT(Tasks[[#This Row],[_Pred2Text]],MIN(FIND("F",Tasks[[#This Row],[_Pred2Text]]&amp;"F"),FIND("S",Tasks[[#This Row],[_Pred2Text]]&amp;"S"),FIND("+",Tasks[[#This Row],[_Pred2Text]]&amp;"+"),FIND("-",Tasks[[#This Row],[_Pred2Text]]&amp;"-"))-1)),""))</f>
        <v/>
      </c>
      <c r="CD3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3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38" s="45" t="str">
        <f aca="false">IF(Tasks[[#This Row],[_Pred2Text]]="","",TRIM(MID(SUBSTITUTE(SUBSTITUTE(SUBSTITUTE(UPPER(Tasks[[#This Row],[Predecessors]]),";",",")," ",""),",",REPT(" ",99)),199,99)))</f>
        <v/>
      </c>
      <c r="CG38" s="45" t="str">
        <f aca="false">IF(Tasks[[#This Row],[_Pred3Text]]="","",IFERROR(VALUE(LEFT(Tasks[[#This Row],[_Pred3Text]],MIN(FIND("F",Tasks[[#This Row],[_Pred3Text]]&amp;"F"),FIND("S",Tasks[[#This Row],[_Pred3Text]]&amp;"S"),FIND("+",Tasks[[#This Row],[_Pred3Text]]&amp;"+"),FIND("-",Tasks[[#This Row],[_Pred3Text]]&amp;"-"))-1)),""))</f>
        <v/>
      </c>
      <c r="CH3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3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38" s="45" t="str">
        <f aca="false">IF(Tasks[[#This Row],[_Pred3Text]]="","",TRIM(MID(SUBSTITUTE(SUBSTITUTE(SUBSTITUTE(UPPER(Tasks[[#This Row],[Predecessors]]),";",",")," ",""),",",REPT(" ",99)),298,99)))</f>
        <v/>
      </c>
      <c r="CK38" s="45" t="str">
        <f aca="false">IF(Tasks[[#This Row],[_Pred4Text]]="","",IFERROR(VALUE(LEFT(Tasks[[#This Row],[_Pred4Text]],MIN(FIND("F",Tasks[[#This Row],[_Pred4Text]]&amp;"F"),FIND("S",Tasks[[#This Row],[_Pred4Text]]&amp;"S"),FIND("+",Tasks[[#This Row],[_Pred4Text]]&amp;"+"),FIND("-",Tasks[[#This Row],[_Pred4Text]]&amp;"-"))-1)),""))</f>
        <v/>
      </c>
      <c r="CL3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3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38" s="45" t="str">
        <f aca="false">IF(OR(Tasks[[#This Row],[Task Name]]="",Tasks[[#This Row],[Resources]]=""),"",TRIM(MID(SUBSTITUTE(Tasks[[#This Row],[Resources]],",",REPT(" ",99)),1,99)))</f>
        <v/>
      </c>
      <c r="CO38" s="45" t="str">
        <f aca="false">IF(Tasks[[#This Row],[_Res1Text]]="","",TRIM(MID(SUBSTITUTE(Tasks[[#This Row],[Resources]],",",REPT(" ",99)),100,99)))</f>
        <v/>
      </c>
      <c r="CP38" s="45" t="str">
        <f aca="false">IF(Tasks[[#This Row],[_Res2Text]]="","",TRIM(MID(SUBSTITUTE(Tasks[[#This Row],[Resources]],",",REPT(" ",99)),199,99)))</f>
        <v/>
      </c>
      <c r="CQ38" s="45" t="str">
        <f aca="false">IF(Tasks[[#This Row],[_Res3Text]]="","",TRIM(MID(SUBSTITUTE(Tasks[[#This Row],[Resources]],",",REPT(" ",99)),298,99)))</f>
        <v/>
      </c>
      <c r="CR3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3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8" s="45" t="n">
        <f aca="false">IF(NOT(Tasks[[#This Row],[_IsLeaf]]=1),0,(Tasks[[#This Row],[_Resource1]]&lt;&gt;"")+(Tasks[[#This Row],[_Res2]]&lt;&gt;"")+(Tasks[[#This Row],[_Res3]]&lt;&gt;"")+(Tasks[[#This Row],[_Res4]]&lt;&gt;""))</f>
        <v>0</v>
      </c>
      <c r="CU3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3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8" s="45" t="n">
        <f aca="false">IF(OR(NOT(Tasks[[#This Row],[_IsLeaf]]=1),Tasks[[#This Row],[_Res2]]=""),0,IF(ISNA(MATCH(Tasks[[#This Row],[_Res2]],res_Name,0)),0,N(Tasks[[#This Row],[Duration]])*HoursPerDay*IF(Tasks[[#This Row],[_Res2Units]]="",DefaultUnits,Tasks[[#This Row],[_Res2Units]])))</f>
        <v>0</v>
      </c>
      <c r="CX38" s="45" t="n">
        <f aca="false">IF(Tasks[[#This Row],[_Res2Work]]=0,0,Tasks[[#This Row],[_Res2Work]]*IFERROR(INDEX(res_Rate,MATCH(Tasks[[#This Row],[_Res2]],res_Name,0)),0))</f>
        <v>0</v>
      </c>
      <c r="CY38" s="45" t="n">
        <f aca="false">IF(AND(AND(Tasks[[#This Row],[_IsLeaf]]=1,Tasks[[#This Row],[_LeafTotalWork]]&gt;0),Tasks[[#This Row],[_Res2Work]]&gt;0),Tasks[[#This Row],[_Res2Work]]/(Tasks[[#This Row],[_FinishWorkday]]-Tasks[[#This Row],[_StartWorkday]]+1),0)</f>
        <v>0</v>
      </c>
      <c r="CZ38" s="45" t="n">
        <f aca="false">Tasks[[#This Row],[_Res2WorkPerWD]]*MAX(0,Tasks[[#This Row],[_StartWorkday]]-1)</f>
        <v>0</v>
      </c>
      <c r="DA38" s="45" t="n">
        <f aca="false">Tasks[[#This Row],[_Res2Work]]*Tasks[[#This Row],[_LeafProgress]]</f>
        <v>0</v>
      </c>
      <c r="DB38" s="45" t="n">
        <f aca="false">IF(Tasks[[#This Row],[_LeafTotalCost]]=0,0,Tasks[[#This Row],[_LeafAC]]*Tasks[[#This Row],[_Res2Cost]]/Tasks[[#This Row],[_LeafTotalCost]])</f>
        <v>0</v>
      </c>
      <c r="DC3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3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38" s="45" t="n">
        <f aca="false">IF(OR(NOT(Tasks[[#This Row],[_IsLeaf]]=1),Tasks[[#This Row],[_Res3]]=""),0,IF(ISNA(MATCH(Tasks[[#This Row],[_Res3]],res_Name,0)),0,N(Tasks[[#This Row],[Duration]])*HoursPerDay*IF(Tasks[[#This Row],[_Res3Units]]="",DefaultUnits,Tasks[[#This Row],[_Res3Units]])))</f>
        <v>0</v>
      </c>
      <c r="DF38" s="45" t="n">
        <f aca="false">IF(Tasks[[#This Row],[_Res3Work]]=0,0,Tasks[[#This Row],[_Res3Work]]*IFERROR(INDEX(res_Rate,MATCH(Tasks[[#This Row],[_Res3]],res_Name,0)),0))</f>
        <v>0</v>
      </c>
      <c r="DG38" s="45" t="n">
        <f aca="false">IF(AND(AND(Tasks[[#This Row],[_IsLeaf]]=1,Tasks[[#This Row],[_LeafTotalWork]]&gt;0),Tasks[[#This Row],[_Res3Work]]&gt;0),Tasks[[#This Row],[_Res3Work]]/(Tasks[[#This Row],[_FinishWorkday]]-Tasks[[#This Row],[_StartWorkday]]+1),0)</f>
        <v>0</v>
      </c>
      <c r="DH38" s="45" t="n">
        <f aca="false">Tasks[[#This Row],[_Res3WorkPerWD]]*MAX(0,Tasks[[#This Row],[_StartWorkday]]-1)</f>
        <v>0</v>
      </c>
      <c r="DI38" s="45" t="n">
        <f aca="false">Tasks[[#This Row],[_Res3Work]]*Tasks[[#This Row],[_LeafProgress]]</f>
        <v>0</v>
      </c>
      <c r="DJ38" s="45" t="n">
        <f aca="false">IF(Tasks[[#This Row],[_LeafTotalCost]]=0,0,Tasks[[#This Row],[_LeafAC]]*Tasks[[#This Row],[_Res3Cost]]/Tasks[[#This Row],[_LeafTotalCost]])</f>
        <v>0</v>
      </c>
      <c r="DK3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3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38" s="45" t="n">
        <f aca="false">IF(OR(NOT(Tasks[[#This Row],[_IsLeaf]]=1),Tasks[[#This Row],[_Res4]]=""),0,IF(ISNA(MATCH(Tasks[[#This Row],[_Res4]],res_Name,0)),0,N(Tasks[[#This Row],[Duration]])*HoursPerDay*IF(Tasks[[#This Row],[_Res4Units]]="",DefaultUnits,Tasks[[#This Row],[_Res4Units]])))</f>
        <v>0</v>
      </c>
      <c r="DN38" s="45" t="n">
        <f aca="false">IF(Tasks[[#This Row],[_Res4Work]]=0,0,Tasks[[#This Row],[_Res4Work]]*IFERROR(INDEX(res_Rate,MATCH(Tasks[[#This Row],[_Res4]],res_Name,0)),0))</f>
        <v>0</v>
      </c>
      <c r="DO38" s="45" t="n">
        <f aca="false">IF(AND(AND(Tasks[[#This Row],[_IsLeaf]]=1,Tasks[[#This Row],[_LeafTotalWork]]&gt;0),Tasks[[#This Row],[_Res4Work]]&gt;0),Tasks[[#This Row],[_Res4Work]]/(Tasks[[#This Row],[_FinishWorkday]]-Tasks[[#This Row],[_StartWorkday]]+1),0)</f>
        <v>0</v>
      </c>
      <c r="DP38" s="45" t="n">
        <f aca="false">Tasks[[#This Row],[_Res4WorkPerWD]]*MAX(0,Tasks[[#This Row],[_StartWorkday]]-1)</f>
        <v>0</v>
      </c>
      <c r="DQ38" s="45" t="n">
        <f aca="false">Tasks[[#This Row],[_Res4Work]]*Tasks[[#This Row],[_LeafProgress]]</f>
        <v>0</v>
      </c>
      <c r="DR38" s="45" t="n">
        <f aca="false">IF(Tasks[[#This Row],[_LeafTotalCost]]=0,0,Tasks[[#This Row],[_LeafAC]]*Tasks[[#This Row],[_Res4Cost]]/Tasks[[#This Row],[_LeafTotalCost]])</f>
        <v>0</v>
      </c>
      <c r="DS38" s="45" t="n">
        <f aca="false">IF(ISNUMBER(Tasks[[#This Row],[% Complete]]),Tasks[[#This Row],[% Complete]],IF(Tasks[[#This Row],[Stage]]="",0,IFERROR(INDEX(stg_Pct,MATCH(Tasks[[#This Row],[Stage]],stg_Name,0)),0)))</f>
        <v>0</v>
      </c>
      <c r="DT38" s="45" t="n">
        <f aca="false">IF(NOT(Tasks[[#This Row],[_IsLeaf]]=1),0,IF(N(Tasks[[#This Row],[Actual Finish]])&gt;0,1,MIN(1,Tasks[[#This Row],[_Pct]])))</f>
        <v>0</v>
      </c>
      <c r="DU38" s="45" t="n">
        <f aca="false">IF(OR(NOT(Tasks[[#This Row],[_IsLeaf]]=1),Tasks[[#This Row],[_Resource1]]=""),0,IF(ISNA(MATCH(Tasks[[#This Row],[_Resource1]],res_Name,0)),0,N(Tasks[[#This Row],[Duration]])*HoursPerDay*IF(Tasks[[#This Row],[_Units1]]="",DefaultUnits,Tasks[[#This Row],[_Units1]])))</f>
        <v>0</v>
      </c>
      <c r="DV38" s="45" t="n">
        <f aca="false">IF(Tasks[[#This Row],[_LeafWork]]=0,0,Tasks[[#This Row],[_LeafWork]]*IFERROR(INDEX(res_Rate,MATCH(Tasks[[#This Row],[_Resource1]],res_Name,0)),0))</f>
        <v>0</v>
      </c>
      <c r="DW38" s="45" t="n">
        <f aca="false">Tasks[[#This Row],[_LeafWork]]+Tasks[[#This Row],[_Res2Work]]+Tasks[[#This Row],[_Res3Work]]+Tasks[[#This Row],[_Res4Work]]</f>
        <v>0</v>
      </c>
      <c r="DX38" s="45" t="n">
        <f aca="false">Tasks[[#This Row],[_LeafCost]]+Tasks[[#This Row],[_Res2Cost]]+Tasks[[#This Row],[_Res3Cost]]+Tasks[[#This Row],[_Res4Cost]]</f>
        <v>0</v>
      </c>
      <c r="DY38" s="45" t="n">
        <f aca="false">IF(Tasks[[#This Row],[_LeafTotalCost]]=0,Tasks[[#This Row],[_LeafAC]],Tasks[[#This Row],[_LeafAC]]*Tasks[[#This Row],[_LeafCost]]/Tasks[[#This Row],[_LeafTotalCost]])</f>
        <v>0</v>
      </c>
      <c r="DZ3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3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3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3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3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3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3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3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38" s="45" t="n">
        <f aca="false">IF(NOT(Tasks[[#This Row],[_IsLeaf]]=1),0,MAX(_xlfn.MAXIFS(Tasks[_Row],Tasks[_Pred1UID],Tasks[[#This Row],[UID]]),_xlfn.MAXIFS(Tasks[_Row],Tasks[_Pred2UID],Tasks[[#This Row],[UID]]),_xlfn.MAXIFS(Tasks[_Row],Tasks[_Pred3UID],Tasks[[#This Row],[UID]]),_xlfn.MAXIFS(Tasks[_Row],Tasks[_Pred4UID],Tasks[[#This Row],[UID]])))</f>
        <v>0</v>
      </c>
      <c r="EI3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3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38" s="74" t="str">
        <f aca="false">IF(NOT(Tasks[[#This Row],[_IsLeaf]]=1),"",IF(N(Tasks[[#This Row],[Duration]])&lt;=0,Tasks[[#This Row],[_LeafLateFinish]],WORKDAY.INTL(Tasks[[#This Row],[_LeafLateFinish]],-(Tasks[[#This Row],[Duration]]-1),WorkWeek,Holidays)))</f>
        <v/>
      </c>
      <c r="EL3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38" s="73" t="b">
        <f aca="false">AND(Tasks[[#This Row],[_IsLeaf]]=1,Tasks[[#This Row],[_LeafProgress]]&lt;1,N(Tasks[[#This Row],[_LeafTotalSlack]])&lt;=CriticalSlackDays)</f>
        <v>0</v>
      </c>
      <c r="EN38" s="45" t="n">
        <f aca="false">IF(AND(Tasks[[#This Row],[_IsLeaf]]=1,Tasks[[#This Row],[_ConstraintCode]]=1,Tasks[[#This Row],[Mode]]&lt;&gt;"Manual",N(Tasks[[#This Row],[Actual Start]])=0),MAX(0,N(Tasks[[#This Row],[Free Slack]])),0)</f>
        <v>0</v>
      </c>
      <c r="EO38" s="74" t="str">
        <f aca="false">IF(NOT(Tasks[[#This Row],[_IsLeaf]]=1),"",IF(Tasks[[#This Row],[_AlapShift]]=0,Tasks[[#This Row],[_LeafCalcStart]],WORKDAY.INTL(Tasks[[#This Row],[_LeafCalcStart]],Tasks[[#This Row],[_AlapShift]],WorkWeek,Holidays)))</f>
        <v/>
      </c>
      <c r="EP38" s="74" t="str">
        <f aca="false">IF(NOT(Tasks[[#This Row],[_IsLeaf]]=1),"",IF(Tasks[[#This Row],[_AlapShift]]=0,Tasks[[#This Row],[_LeafCalcFinish]],WORKDAY.INTL(Tasks[[#This Row],[_LeafCalcFinish]],Tasks[[#This Row],[_AlapShift]],WorkWeek,Holidays)))</f>
        <v/>
      </c>
      <c r="EQ38" s="74" t="str">
        <f aca="false">IF(NOT(Tasks[[#This Row],[_IsLeaf]]=1),"",IF(Tasks[[#This Row],[_AlapShift]]=0,Tasks[[#This Row],[_LeafFcstStart]],WORKDAY.INTL(Tasks[[#This Row],[_LeafFcstStart]],Tasks[[#This Row],[_AlapShift]],WorkWeek,Holidays)))</f>
        <v/>
      </c>
      <c r="ER38" s="74" t="str">
        <f aca="false">IF(NOT(Tasks[[#This Row],[_IsLeaf]]=1),"",IF(Tasks[[#This Row],[_AlapShift]]=0,Tasks[[#This Row],[_LeafFcstFinish]],WORKDAY.INTL(Tasks[[#This Row],[_LeafFcstFinish]],Tasks[[#This Row],[_AlapShift]],WorkWeek,Holidays)))</f>
        <v/>
      </c>
      <c r="ES38" s="74" t="str">
        <f aca="false">IF(Tasks[[#This Row],[Task Name]]="","",IF(Tasks[[#This Row],[_IsSummary]],MIN(INDEX(Tasks[_ShownCalcStart],Tasks[[#This Row],[_Row]]+1):INDEX(Tasks[_ShownCalcStart],Tasks[[#This Row],[_Row]]+Tasks[[#This Row],[_Descendants]])),Tasks[[#This Row],[_ShownCalcStart]]))</f>
        <v/>
      </c>
      <c r="ET38" s="74" t="str">
        <f aca="false">IF(Tasks[[#This Row],[Task Name]]="","",IF(Tasks[[#This Row],[_IsSummary]],MAX(INDEX(Tasks[_ShownCalcFinish],Tasks[[#This Row],[_Row]]+1):INDEX(Tasks[_ShownCalcFinish],Tasks[[#This Row],[_Row]]+Tasks[[#This Row],[_Descendants]])),Tasks[[#This Row],[_ShownCalcFinish]]))</f>
        <v/>
      </c>
      <c r="EU3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3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3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3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3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3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3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3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3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3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3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3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38" s="45" t="n">
        <f aca="false">IF(AND(Tasks[[#This Row],[_IsLeaf]]=1,Tasks[[#This Row],[_LeafTotalWork]]&gt;0),NETWORKDAYS.INTL(ProjectStart,Tasks[[#This Row],[_ShownFcstStart]],WorkWeek,Holidays),0)</f>
        <v>0</v>
      </c>
      <c r="FH38" s="45" t="n">
        <f aca="false">IF(AND(Tasks[[#This Row],[_IsLeaf]]=1,Tasks[[#This Row],[_LeafTotalWork]]&gt;0),MAX(Tasks[[#This Row],[_StartWorkday]],NETWORKDAYS.INTL(ProjectStart,Tasks[[#This Row],[_ShownFcstFinish]],WorkWeek,Holidays)),0)</f>
        <v>0</v>
      </c>
      <c r="FI38" s="45" t="n">
        <f aca="false">IF(AND(Tasks[[#This Row],[_IsLeaf]]=1,Tasks[[#This Row],[_LeafTotalWork]]&gt;0),Tasks[[#This Row],[_LeafWork]]/(Tasks[[#This Row],[_FinishWorkday]]-Tasks[[#This Row],[_StartWorkday]]+1),0)</f>
        <v>0</v>
      </c>
      <c r="FJ38" s="45" t="n">
        <f aca="false">Tasks[[#This Row],[_WorkPerWorkday]]*(Tasks[[#This Row],[_StartWorkday]]-1)</f>
        <v>-0</v>
      </c>
      <c r="FK38" s="45" t="n">
        <f aca="false">IF(Tasks[[#This Row],[_IsLeaf]]=1,MAX(N(Tasks[[#This Row],[Duration]]),0.1),0)</f>
        <v>0</v>
      </c>
      <c r="FL38" s="45" t="n">
        <f aca="false">Tasks[[#This Row],[_WeightDur]]*Tasks[[#This Row],[_LeafProgress]]</f>
        <v>0</v>
      </c>
      <c r="FM3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38" s="45" t="str">
        <f aca="false">IF(AND(Tasks[[#This Row],[_IsLeaf]]=1,N(Tasks[[#This Row],[Duration]])=0,Tasks[[#This Row],[_LeafProgress]]&lt;1),Tasks[[#This Row],[_ShownFcstFinish]]+Tasks[[#This Row],[_Row]]/100000,"")</f>
        <v/>
      </c>
      <c r="FO3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38" s="45" t="n">
        <f aca="false">IF(NOT(Tasks[[#This Row],[_IsLeaf]]=1),0,IF(Tasks[[#This Row],[Baseline Cost]]="",Tasks[[#This Row],[_LeafTotalCost]],N(Tasks[[#This Row],[Baseline Cost]])))</f>
        <v>0</v>
      </c>
      <c r="FQ38" s="45" t="n">
        <f aca="false">Tasks[[#This Row],[_LeafBudget]]*Tasks[[#This Row],[_PlannedPct]]</f>
        <v>0</v>
      </c>
      <c r="FR38" s="45" t="n">
        <f aca="false">Tasks[[#This Row],[_LeafBudget]]*Tasks[[#This Row],[_LeafProgress]]</f>
        <v>0</v>
      </c>
      <c r="FS38" s="45" t="n">
        <f aca="false">IF(NOT(Tasks[[#This Row],[_IsLeaf]]=1),0,IF(Tasks[[#This Row],[Actual Cost]]="",Tasks[[#This Row],[_LeafTotalCost]]*Tasks[[#This Row],[_LeafProgress]],N(Tasks[[#This Row],[Actual Cost]])))</f>
        <v>0</v>
      </c>
      <c r="FT38" s="45" t="str">
        <f aca="false">IF(Tasks[[#This Row],[Task Name]]="","",LEFT(Tasks[[#This Row],[WBS]],FIND(".",Tasks[[#This Row],[WBS]]&amp;".")-1))</f>
        <v/>
      </c>
      <c r="FU38" s="45" t="str">
        <f aca="false">IF(AND(Tasks[[#This Row],[Task Name]]&lt;&gt;"",Tasks[[#This Row],[_Level]]=1),Tasks[[#This Row],[_Row]],"")</f>
        <v/>
      </c>
      <c r="FV38" s="45" t="str">
        <f aca="false">IF(AND(Tasks[[#This Row],[_IsLeaf]]=1,N(Tasks[[#This Row],[Duration]])=0),Tasks[[#This Row],[Planned Finish]]+Tasks[[#This Row],[_Row]]/100000,"")</f>
        <v/>
      </c>
      <c r="FW38" s="45" t="str">
        <f aca="false">IF(AND(Tasks[[#This Row],[_IsLeaf]]=1,Tasks[[#This Row],[_LeafProgress]]&lt;1,OR(N(Tasks[[#This Row],[Finish Var]])&gt;0,Tasks[[#This Row],[Status]]="Late Start")),MAX(0,Tasks[[#This Row],[Finish Var]])+1-Tasks[[#This Row],[_Row]]/1000000,"")</f>
        <v/>
      </c>
      <c r="FX38" s="45" t="str">
        <f aca="false">IF(AND(Tasks[[#This Row],[_IsLeaf]]=1,N(Tasks[[#This Row],[Actual Start]])=0,Tasks[[#This Row],[_ShownFcstStart]]&gt;=StatusDate,Tasks[[#This Row],[_ShownFcstStart]]&lt;=LookaheadEnd),Tasks[[#This Row],[_ShownFcstStart]]+Tasks[[#This Row],[_Row]]/100000,"")</f>
        <v/>
      </c>
      <c r="FY38" s="45" t="str">
        <f aca="false">IF(AND(Tasks[[#This Row],[_IsLeaf]]=1,Tasks[[#This Row],[_LeafProgress]]&lt;1,Tasks[[#This Row],[_ShownFcstFinish]]&gt;=StatusDate,Tasks[[#This Row],[_ShownFcstFinish]]&lt;=LookaheadEnd),Tasks[[#This Row],[_ShownFcstFinish]]+Tasks[[#This Row],[_Row]]/100000,"")</f>
        <v/>
      </c>
      <c r="FZ38" s="45" t="str">
        <f aca="false">IF(Tasks[[#This Row],[_LeafCritical]],Tasks[[#This Row],[_ShownFcstStart]]+Tasks[[#This Row],[_Row]]/100000,"")</f>
        <v/>
      </c>
      <c r="GA38" s="45" t="n">
        <f aca="false">Tasks[[#This Row],[_LeafWork]]*Tasks[[#This Row],[_LeafProgress]]</f>
        <v>0</v>
      </c>
      <c r="GB38" s="74" t="str">
        <f aca="false">IF(AND(Tasks[[#This Row],[_IsLeaf]]=1,Tasks[[#This Row],[_LeafProgress]]&gt;=1),IF(N(Tasks[[#This Row],[Actual Finish]])&gt;0,Tasks[[#This Row],[Actual Finish]],Tasks[[#This Row],[_ShownFcstFinish]]),"")</f>
        <v/>
      </c>
    </row>
    <row r="39" customFormat="false" ht="15" hidden="false" customHeight="false" outlineLevel="0" collapsed="false">
      <c r="A39" s="67" t="str">
        <f aca="false">IF(Tasks[[#This Row],[Task Name]]="","",COUNTA(Tasks[[#Headers],[Task Name]]:Tasks[[#This Row],[Task Name]])-1)</f>
        <v/>
      </c>
      <c r="B39" s="21" t="n">
        <v>34</v>
      </c>
      <c r="C3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21"/>
      <c r="E39" s="22"/>
      <c r="F39" s="21"/>
      <c r="G39" s="22"/>
      <c r="H39" s="22"/>
      <c r="I39" s="22"/>
      <c r="J39" s="7"/>
      <c r="K39" s="7"/>
      <c r="L39" s="22"/>
      <c r="M39" s="58" t="str">
        <f aca="false">IF(Tasks[[#This Row],[Task Name]]="","",IF(Tasks[[#This Row],[_IsSummary]],MIN(INDEX(Tasks[_ShownFcstStart],Tasks[[#This Row],[_Row]]+1):INDEX(Tasks[_ShownFcstStart],Tasks[[#This Row],[_Row]]+Tasks[[#This Row],[_Descendants]])),Tasks[[#This Row],[_ShownFcstStart]]))</f>
        <v/>
      </c>
      <c r="N39" s="58" t="str">
        <f aca="false">IF(Tasks[[#This Row],[Task Name]]="","",IF(Tasks[[#This Row],[_IsSummary]],MAX(INDEX(Tasks[_ShownFcstFinish],Tasks[[#This Row],[_Row]]+1):INDEX(Tasks[_ShownFcstFinish],Tasks[[#This Row],[_Row]]+Tasks[[#This Row],[_Descendants]])),Tasks[[#This Row],[_ShownFcstFinish]]))</f>
        <v/>
      </c>
      <c r="O39" s="20" t="str">
        <f aca="false">IF(Tasks[[#This Row],[Task Name]]="","",IF(Tasks[[#This Row],[Progress]]&gt;=1,"Complete",IF(OR(N(Tasks[[#This Row],[Actual Start]])&gt;0,Tasks[[#This Row],[Progress]]&gt;0),IF(Tasks[[#This Row],[Finish Var]]&gt;0,"Behind","In Progress"),IF(Tasks[[#This Row],[Planned Start]]&lt;StatusDate,"Late Start","Not Started"))))</f>
        <v/>
      </c>
      <c r="P39" s="20" t="str">
        <f aca="false">IF(Tasks[[#This Row],[Task Name]]="","",IF(IF(Tasks[[#This Row],[_IsSummary]],COUNTIF(INDEX(Tasks[_LeafCritical],Tasks[[#This Row],[_Row]]+1):INDEX(Tasks[_LeafCritical],Tasks[[#This Row],[_Row]]+Tasks[[#This Row],[_Descendants]]),TRUE())&gt;0,Tasks[[#This Row],[_LeafCritical]]),"Yes",""))</f>
        <v/>
      </c>
      <c r="Q3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39" s="67" t="str">
        <f aca="false">IF(Tasks[[#This Row],[Task Name]]="","",IF(Tasks[[#This Row],[_Level]]&lt;=OutlineShowLevel,"Yes","No"))</f>
        <v/>
      </c>
      <c r="S39" s="7"/>
      <c r="T39" s="21"/>
      <c r="U39" s="22"/>
      <c r="V39" s="7"/>
      <c r="W39" s="67" t="str">
        <f aca="false">IF(Tasks[[#This Row],[Task Name]]="","",IF(Tasks[[#This Row],[Finish]]&gt;=Tasks[[#This Row],[Planned Finish]],NETWORKDAYS.INTL(Tasks[[#This Row],[Planned Finish]],Tasks[[#This Row],[Finish]],WorkWeek,Holidays)-1,1-NETWORKDAYS.INTL(Tasks[[#This Row],[Finish]],Tasks[[#This Row],[Planned Finish]],WorkWeek,Holidays)))</f>
        <v/>
      </c>
      <c r="X39" s="58" t="str">
        <f aca="false">IF(Tasks[[#This Row],[Task Name]]="","",IF(N(Tasks[[#This Row],[Baseline Start]])&gt;0,Tasks[[#This Row],[Baseline Start]],Tasks[[#This Row],[_CalcStart]]))</f>
        <v/>
      </c>
      <c r="Y39" s="58" t="str">
        <f aca="false">IF(Tasks[[#This Row],[Task Name]]="","",IF(N(Tasks[[#This Row],[Baseline Finish]])&gt;0,Tasks[[#This Row],[Baseline Finish]],Tasks[[#This Row],[_CalcFinish]]))</f>
        <v/>
      </c>
      <c r="Z39" s="67" t="str">
        <f aca="false">IF(Tasks[[#This Row],[Task Name]]="","",IF(Tasks[[#This Row],[Start]]&gt;=Tasks[[#This Row],[Planned Start]],NETWORKDAYS.INTL(Tasks[[#This Row],[Planned Start]],Tasks[[#This Row],[Start]],WorkWeek,Holidays)-1,1-NETWORKDAYS.INTL(Tasks[[#This Row],[Start]],Tasks[[#This Row],[Planned Start]],WorkWeek,Holidays)))</f>
        <v/>
      </c>
      <c r="AA39" s="58" t="str">
        <f aca="false">IF(Tasks[[#This Row],[Task Name]]="","",IF(Tasks[[#This Row],[_IsSummary]],MIN(INDEX(Tasks[_LeafLateStart],Tasks[[#This Row],[_Row]]+1):INDEX(Tasks[_LeafLateStart],Tasks[[#This Row],[_Row]]+Tasks[[#This Row],[_Descendants]])),Tasks[[#This Row],[_LeafLateStart]]))</f>
        <v/>
      </c>
      <c r="AB39" s="58" t="str">
        <f aca="false">IF(Tasks[[#This Row],[Task Name]]="","",IF(Tasks[[#This Row],[_IsSummary]],MAX(INDEX(Tasks[_LeafLateFinish],Tasks[[#This Row],[_Row]]+1):INDEX(Tasks[_LeafLateFinish],Tasks[[#This Row],[_Row]]+Tasks[[#This Row],[_Descendants]])),Tasks[[#This Row],[_LeafLateFinish]]))</f>
        <v/>
      </c>
      <c r="AC39" s="67" t="str">
        <f aca="false">IF(Tasks[[#This Row],[Task Name]]="","",IF(Tasks[[#This Row],[_IsSummary]],MIN(INDEX(Tasks[_LeafTotalSlack],Tasks[[#This Row],[_Row]]+1):INDEX(Tasks[_LeafTotalSlack],Tasks[[#This Row],[_Row]]+Tasks[[#This Row],[_Descendants]])),Tasks[[#This Row],[_LeafTotalSlack]]))</f>
        <v/>
      </c>
      <c r="AD3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3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3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39" s="60"/>
      <c r="AH3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3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39" s="69" t="str">
        <f aca="false">IF(Tasks[[#This Row],[Task Name]]="","",IF(Tasks[[#This Row],[_IsSummary]],SUM(INDEX(Tasks[_LeafTotalWork],Tasks[[#This Row],[_Row]]+1):INDEX(Tasks[_LeafTotalWork],Tasks[[#This Row],[_Row]]+Tasks[[#This Row],[_Descendants]])),Tasks[[#This Row],[_LeafTotalWork]]))</f>
        <v/>
      </c>
      <c r="AK3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39" s="70" t="str">
        <f aca="false">IF(Tasks[[#This Row],[Task Name]]="","",IF(Tasks[[#This Row],[_IsSummary]],SUM(INDEX(Tasks[_LeafTotalCost],Tasks[[#This Row],[_Row]]+1):INDEX(Tasks[_LeafTotalCost],Tasks[[#This Row],[_Row]]+Tasks[[#This Row],[_Descendants]])),Tasks[[#This Row],[_LeafTotalCost]]))</f>
        <v/>
      </c>
      <c r="AM39" s="71"/>
      <c r="AN39" s="20" t="str">
        <f aca="false">IF(OR(Tasks[[#This Row],[Task Name]]="",Tasks[[#This Row],[Baseline Duration]]=""),"",Tasks[[#This Row],[BL Source Duration]]-N(Tasks[[#This Row],[Baseline Duration]]))</f>
        <v/>
      </c>
      <c r="AO39" s="69" t="str">
        <f aca="false">IF(OR(Tasks[[#This Row],[Task Name]]="",Tasks[[#This Row],[Baseline Work]]=""),"",Tasks[[#This Row],[Work]]-N(Tasks[[#This Row],[Baseline Work]]))</f>
        <v/>
      </c>
      <c r="AP39" s="70" t="str">
        <f aca="false">IF(OR(Tasks[[#This Row],[Task Name]]="",Tasks[[#This Row],[Baseline Cost]]=""),"",Tasks[[#This Row],[Cost]]-N(Tasks[[#This Row],[Baseline Cost]]))</f>
        <v/>
      </c>
      <c r="AQ39" s="58" t="str">
        <f aca="false">IF(Tasks[[#This Row],[Task Name]]="","",Tasks[[#This Row],[Start]])</f>
        <v/>
      </c>
      <c r="AR39" s="58" t="str">
        <f aca="false">IF(Tasks[[#This Row],[Task Name]]="","",Tasks[[#This Row],[Finish]])</f>
        <v/>
      </c>
      <c r="AS39" s="67" t="str">
        <f aca="false">IF(Tasks[[#This Row],[Task Name]]="","",IF(Tasks[[#This Row],[_IsSummary]],NETWORKDAYS.INTL(Tasks[[#This Row],[Start]],Tasks[[#This Row],[Finish]],WorkWeek,Holidays),N(Tasks[[#This Row],[Duration]])))</f>
        <v/>
      </c>
      <c r="AT39" s="69" t="str">
        <f aca="false">IF(Tasks[[#This Row],[Task Name]]="","",Tasks[[#This Row],[Work]])</f>
        <v/>
      </c>
      <c r="AU39" s="70" t="str">
        <f aca="false">IF(Tasks[[#This Row],[Task Name]]="","",Tasks[[#This Row],[Cost]])</f>
        <v/>
      </c>
      <c r="AV39" s="7"/>
      <c r="AW39" s="7"/>
      <c r="AX39" s="21"/>
      <c r="AY39" s="72"/>
      <c r="AZ39" s="71"/>
      <c r="BA39" s="70" t="str">
        <f aca="false">IF(Tasks[[#This Row],[Task Name]]="","",IF(Tasks[[#This Row],[_IsSummary]],SUM(INDEX(Tasks[_LeafEV],Tasks[[#This Row],[_Row]]+1):INDEX(Tasks[_LeafEV],Tasks[[#This Row],[_Row]]+Tasks[[#This Row],[_Descendants]])),Tasks[[#This Row],[_LeafEV]]))</f>
        <v/>
      </c>
      <c r="BB39" s="70" t="str">
        <f aca="false">IF(Tasks[[#This Row],[Task Name]]="","",IF(Tasks[[#This Row],[_IsSummary]],SUM(INDEX(Tasks[_LeafBudget],Tasks[[#This Row],[_Row]]+1):INDEX(Tasks[_LeafBudget],Tasks[[#This Row],[_Row]]+Tasks[[#This Row],[_Descendants]])),Tasks[[#This Row],[_LeafBudget]]))</f>
        <v/>
      </c>
      <c r="BC39" s="70" t="str">
        <f aca="false">IF(Tasks[[#This Row],[Task Name]]="","",IF(Tasks[[#This Row],[_IsSummary]],SUM(INDEX(Tasks[_LeafPV],Tasks[[#This Row],[_Row]]+1):INDEX(Tasks[_LeafPV],Tasks[[#This Row],[_Row]]+Tasks[[#This Row],[_Descendants]])),Tasks[[#This Row],[_LeafPV]]))</f>
        <v/>
      </c>
      <c r="BD39" s="70" t="str">
        <f aca="false">IF(Tasks[[#This Row],[Task Name]]="","",IF(Tasks[[#This Row],[_IsSummary]],SUM(INDEX(Tasks[_LeafAC],Tasks[[#This Row],[_Row]]+1):INDEX(Tasks[_LeafAC],Tasks[[#This Row],[_Row]]+Tasks[[#This Row],[_Descendants]])),Tasks[[#This Row],[_LeafAC]]))</f>
        <v/>
      </c>
      <c r="BE39" s="45" t="str">
        <f aca="false">IF(Tasks[[#This Row],[Task Name]]="","",MAX(1,N(Tasks[[#This Row],[Level]])))</f>
        <v/>
      </c>
      <c r="BF39" s="45" t="n">
        <f aca="false">ROW()-ROW(Tasks[[#Headers],[ID]])</f>
        <v>34</v>
      </c>
      <c r="BG39" s="45" t="n">
        <f aca="false">IF(OR(Tasks[[#This Row],[Task Name]]="",Tasks[[#This Row],[_Level]]&lt;=1),0,IFERROR(LOOKUP(2,1/(Tasks[[#Headers],[_Level]]:Tasks[[#This Row],[_Level]]=Tasks[[#This Row],[_Level]]-1),ROW(Tasks[[#Headers],[_Level]]:Tasks[[#This Row],[_Level]])),0))</f>
        <v>0</v>
      </c>
      <c r="BH39" s="45" t="n">
        <f aca="false">IFERROR(N(INDEX(Tasks[_Level],Tasks[[#This Row],[_Row]]+1)),0)</f>
        <v>0</v>
      </c>
      <c r="BI39" s="73" t="b">
        <f aca="false">AND(Tasks[[#This Row],[Task Name]]&lt;&gt;"",Tasks[[#This Row],[_NextLevel]]&gt;Tasks[[#This Row],[_Level]])</f>
        <v>0</v>
      </c>
      <c r="BJ39" s="45" t="n">
        <f aca="false">IF(Tasks[[#This Row],[_IsSummary]],COUNTIF(Tasks[WBS],Tasks[[#This Row],[WBS]]&amp;".*"),0)</f>
        <v>0</v>
      </c>
      <c r="BK39" s="45" t="n">
        <f aca="false">IF(AND(Tasks[[#This Row],[Task Name]]&lt;&gt;"",NOT(Tasks[[#This Row],[_IsSummary]])),1,0)</f>
        <v>0</v>
      </c>
      <c r="BL39" s="45" t="n">
        <f aca="false">IF(N(Tasks[[#This Row],[_Pred1UID]])=0,0,IFERROR(MATCH(Tasks[[#This Row],[_Pred1UID]],Tasks[UID],0),-1))</f>
        <v>0</v>
      </c>
      <c r="BM39" s="45" t="n">
        <f aca="false">IF(N(Tasks[[#This Row],[_Pred2UID]])=0,0,IFERROR(MATCH(Tasks[[#This Row],[_Pred2UID]],Tasks[UID],0),-1))</f>
        <v>0</v>
      </c>
      <c r="BN39" s="45" t="n">
        <f aca="false">IF(N(Tasks[[#This Row],[_Pred3UID]])=0,0,IFERROR(MATCH(Tasks[[#This Row],[_Pred3UID]],Tasks[UID],0),-1))</f>
        <v>0</v>
      </c>
      <c r="BO39" s="45" t="n">
        <f aca="false">IF(N(Tasks[[#This Row],[_Pred4UID]])=0,0,IFERROR(MATCH(Tasks[[#This Row],[_Pred4UID]],Tasks[UID],0),-1))</f>
        <v>0</v>
      </c>
      <c r="BP3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3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39" s="74" t="n">
        <f aca="false">IF(OR(Tasks[[#This Row],[_ConstraintCode]]=2,Tasks[[#This Row],[_ConstraintCode]]=3,Tasks[[#This Row],[_ConstraintCode]]=4,Tasks[[#This Row],[_ConstraintCode]]=6),Tasks[[#This Row],[_ConstraintStart]],0)</f>
        <v>0</v>
      </c>
      <c r="BS39" s="74" t="n">
        <f aca="false">IF(OR(Tasks[[#This Row],[_ConstraintCode]]=2,Tasks[[#This Row],[_ConstraintCode]]=3,Tasks[[#This Row],[_ConstraintCode]]=5,Tasks[[#This Row],[_ConstraintCode]]=7),Tasks[[#This Row],[_ConstraintStart]],2958465)</f>
        <v>2958465</v>
      </c>
      <c r="BT3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39" s="74" t="str">
        <f aca="false">IF(NOT(Tasks[[#This Row],[_IsLeaf]]=1),"",IF(N(Tasks[[#This Row],[Duration]])&lt;=0,Tasks[[#This Row],[_LeafCalcStart]],WORKDAY.INTL(Tasks[[#This Row],[_LeafCalcStart]],Tasks[[#This Row],[Duration]]-1,WorkWeek,Holidays)))</f>
        <v/>
      </c>
      <c r="BV3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3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39" s="45" t="str">
        <f aca="false">IF(Tasks[[#This Row],[Predecessors]]="","",TRIM(MID(SUBSTITUTE(SUBSTITUTE(SUBSTITUTE(UPPER(Tasks[[#This Row],[Predecessors]]),";",",")," ",""),",",REPT(" ",99)),1,99)))</f>
        <v/>
      </c>
      <c r="BY39" s="45" t="str">
        <f aca="false">IF(Tasks[[#This Row],[_Pred1Text]]="","",IFERROR(VALUE(LEFT(Tasks[[#This Row],[_Pred1Text]],MIN(FIND("F",Tasks[[#This Row],[_Pred1Text]]&amp;"F"),FIND("S",Tasks[[#This Row],[_Pred1Text]]&amp;"S"),FIND("+",Tasks[[#This Row],[_Pred1Text]]&amp;"+"),FIND("-",Tasks[[#This Row],[_Pred1Text]]&amp;"-"))-1)),""))</f>
        <v/>
      </c>
      <c r="BZ3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3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39" s="45" t="str">
        <f aca="false">IF(Tasks[[#This Row],[_Pred1Text]]="","",TRIM(MID(SUBSTITUTE(SUBSTITUTE(SUBSTITUTE(UPPER(Tasks[[#This Row],[Predecessors]]),";",",")," ",""),",",REPT(" ",99)),100,99)))</f>
        <v/>
      </c>
      <c r="CC39" s="45" t="str">
        <f aca="false">IF(Tasks[[#This Row],[_Pred2Text]]="","",IFERROR(VALUE(LEFT(Tasks[[#This Row],[_Pred2Text]],MIN(FIND("F",Tasks[[#This Row],[_Pred2Text]]&amp;"F"),FIND("S",Tasks[[#This Row],[_Pred2Text]]&amp;"S"),FIND("+",Tasks[[#This Row],[_Pred2Text]]&amp;"+"),FIND("-",Tasks[[#This Row],[_Pred2Text]]&amp;"-"))-1)),""))</f>
        <v/>
      </c>
      <c r="CD3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3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39" s="45" t="str">
        <f aca="false">IF(Tasks[[#This Row],[_Pred2Text]]="","",TRIM(MID(SUBSTITUTE(SUBSTITUTE(SUBSTITUTE(UPPER(Tasks[[#This Row],[Predecessors]]),";",",")," ",""),",",REPT(" ",99)),199,99)))</f>
        <v/>
      </c>
      <c r="CG39" s="45" t="str">
        <f aca="false">IF(Tasks[[#This Row],[_Pred3Text]]="","",IFERROR(VALUE(LEFT(Tasks[[#This Row],[_Pred3Text]],MIN(FIND("F",Tasks[[#This Row],[_Pred3Text]]&amp;"F"),FIND("S",Tasks[[#This Row],[_Pred3Text]]&amp;"S"),FIND("+",Tasks[[#This Row],[_Pred3Text]]&amp;"+"),FIND("-",Tasks[[#This Row],[_Pred3Text]]&amp;"-"))-1)),""))</f>
        <v/>
      </c>
      <c r="CH3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3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39" s="45" t="str">
        <f aca="false">IF(Tasks[[#This Row],[_Pred3Text]]="","",TRIM(MID(SUBSTITUTE(SUBSTITUTE(SUBSTITUTE(UPPER(Tasks[[#This Row],[Predecessors]]),";",",")," ",""),",",REPT(" ",99)),298,99)))</f>
        <v/>
      </c>
      <c r="CK39" s="45" t="str">
        <f aca="false">IF(Tasks[[#This Row],[_Pred4Text]]="","",IFERROR(VALUE(LEFT(Tasks[[#This Row],[_Pred4Text]],MIN(FIND("F",Tasks[[#This Row],[_Pred4Text]]&amp;"F"),FIND("S",Tasks[[#This Row],[_Pred4Text]]&amp;"S"),FIND("+",Tasks[[#This Row],[_Pred4Text]]&amp;"+"),FIND("-",Tasks[[#This Row],[_Pred4Text]]&amp;"-"))-1)),""))</f>
        <v/>
      </c>
      <c r="CL3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3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39" s="45" t="str">
        <f aca="false">IF(OR(Tasks[[#This Row],[Task Name]]="",Tasks[[#This Row],[Resources]]=""),"",TRIM(MID(SUBSTITUTE(Tasks[[#This Row],[Resources]],",",REPT(" ",99)),1,99)))</f>
        <v/>
      </c>
      <c r="CO39" s="45" t="str">
        <f aca="false">IF(Tasks[[#This Row],[_Res1Text]]="","",TRIM(MID(SUBSTITUTE(Tasks[[#This Row],[Resources]],",",REPT(" ",99)),100,99)))</f>
        <v/>
      </c>
      <c r="CP39" s="45" t="str">
        <f aca="false">IF(Tasks[[#This Row],[_Res2Text]]="","",TRIM(MID(SUBSTITUTE(Tasks[[#This Row],[Resources]],",",REPT(" ",99)),199,99)))</f>
        <v/>
      </c>
      <c r="CQ39" s="45" t="str">
        <f aca="false">IF(Tasks[[#This Row],[_Res3Text]]="","",TRIM(MID(SUBSTITUTE(Tasks[[#This Row],[Resources]],",",REPT(" ",99)),298,99)))</f>
        <v/>
      </c>
      <c r="CR3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3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9" s="45" t="n">
        <f aca="false">IF(NOT(Tasks[[#This Row],[_IsLeaf]]=1),0,(Tasks[[#This Row],[_Resource1]]&lt;&gt;"")+(Tasks[[#This Row],[_Res2]]&lt;&gt;"")+(Tasks[[#This Row],[_Res3]]&lt;&gt;"")+(Tasks[[#This Row],[_Res4]]&lt;&gt;""))</f>
        <v>0</v>
      </c>
      <c r="CU3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3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9" s="45" t="n">
        <f aca="false">IF(OR(NOT(Tasks[[#This Row],[_IsLeaf]]=1),Tasks[[#This Row],[_Res2]]=""),0,IF(ISNA(MATCH(Tasks[[#This Row],[_Res2]],res_Name,0)),0,N(Tasks[[#This Row],[Duration]])*HoursPerDay*IF(Tasks[[#This Row],[_Res2Units]]="",DefaultUnits,Tasks[[#This Row],[_Res2Units]])))</f>
        <v>0</v>
      </c>
      <c r="CX39" s="45" t="n">
        <f aca="false">IF(Tasks[[#This Row],[_Res2Work]]=0,0,Tasks[[#This Row],[_Res2Work]]*IFERROR(INDEX(res_Rate,MATCH(Tasks[[#This Row],[_Res2]],res_Name,0)),0))</f>
        <v>0</v>
      </c>
      <c r="CY39" s="45" t="n">
        <f aca="false">IF(AND(AND(Tasks[[#This Row],[_IsLeaf]]=1,Tasks[[#This Row],[_LeafTotalWork]]&gt;0),Tasks[[#This Row],[_Res2Work]]&gt;0),Tasks[[#This Row],[_Res2Work]]/(Tasks[[#This Row],[_FinishWorkday]]-Tasks[[#This Row],[_StartWorkday]]+1),0)</f>
        <v>0</v>
      </c>
      <c r="CZ39" s="45" t="n">
        <f aca="false">Tasks[[#This Row],[_Res2WorkPerWD]]*MAX(0,Tasks[[#This Row],[_StartWorkday]]-1)</f>
        <v>0</v>
      </c>
      <c r="DA39" s="45" t="n">
        <f aca="false">Tasks[[#This Row],[_Res2Work]]*Tasks[[#This Row],[_LeafProgress]]</f>
        <v>0</v>
      </c>
      <c r="DB39" s="45" t="n">
        <f aca="false">IF(Tasks[[#This Row],[_LeafTotalCost]]=0,0,Tasks[[#This Row],[_LeafAC]]*Tasks[[#This Row],[_Res2Cost]]/Tasks[[#This Row],[_LeafTotalCost]])</f>
        <v>0</v>
      </c>
      <c r="DC3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3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39" s="45" t="n">
        <f aca="false">IF(OR(NOT(Tasks[[#This Row],[_IsLeaf]]=1),Tasks[[#This Row],[_Res3]]=""),0,IF(ISNA(MATCH(Tasks[[#This Row],[_Res3]],res_Name,0)),0,N(Tasks[[#This Row],[Duration]])*HoursPerDay*IF(Tasks[[#This Row],[_Res3Units]]="",DefaultUnits,Tasks[[#This Row],[_Res3Units]])))</f>
        <v>0</v>
      </c>
      <c r="DF39" s="45" t="n">
        <f aca="false">IF(Tasks[[#This Row],[_Res3Work]]=0,0,Tasks[[#This Row],[_Res3Work]]*IFERROR(INDEX(res_Rate,MATCH(Tasks[[#This Row],[_Res3]],res_Name,0)),0))</f>
        <v>0</v>
      </c>
      <c r="DG39" s="45" t="n">
        <f aca="false">IF(AND(AND(Tasks[[#This Row],[_IsLeaf]]=1,Tasks[[#This Row],[_LeafTotalWork]]&gt;0),Tasks[[#This Row],[_Res3Work]]&gt;0),Tasks[[#This Row],[_Res3Work]]/(Tasks[[#This Row],[_FinishWorkday]]-Tasks[[#This Row],[_StartWorkday]]+1),0)</f>
        <v>0</v>
      </c>
      <c r="DH39" s="45" t="n">
        <f aca="false">Tasks[[#This Row],[_Res3WorkPerWD]]*MAX(0,Tasks[[#This Row],[_StartWorkday]]-1)</f>
        <v>0</v>
      </c>
      <c r="DI39" s="45" t="n">
        <f aca="false">Tasks[[#This Row],[_Res3Work]]*Tasks[[#This Row],[_LeafProgress]]</f>
        <v>0</v>
      </c>
      <c r="DJ39" s="45" t="n">
        <f aca="false">IF(Tasks[[#This Row],[_LeafTotalCost]]=0,0,Tasks[[#This Row],[_LeafAC]]*Tasks[[#This Row],[_Res3Cost]]/Tasks[[#This Row],[_LeafTotalCost]])</f>
        <v>0</v>
      </c>
      <c r="DK3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3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39" s="45" t="n">
        <f aca="false">IF(OR(NOT(Tasks[[#This Row],[_IsLeaf]]=1),Tasks[[#This Row],[_Res4]]=""),0,IF(ISNA(MATCH(Tasks[[#This Row],[_Res4]],res_Name,0)),0,N(Tasks[[#This Row],[Duration]])*HoursPerDay*IF(Tasks[[#This Row],[_Res4Units]]="",DefaultUnits,Tasks[[#This Row],[_Res4Units]])))</f>
        <v>0</v>
      </c>
      <c r="DN39" s="45" t="n">
        <f aca="false">IF(Tasks[[#This Row],[_Res4Work]]=0,0,Tasks[[#This Row],[_Res4Work]]*IFERROR(INDEX(res_Rate,MATCH(Tasks[[#This Row],[_Res4]],res_Name,0)),0))</f>
        <v>0</v>
      </c>
      <c r="DO39" s="45" t="n">
        <f aca="false">IF(AND(AND(Tasks[[#This Row],[_IsLeaf]]=1,Tasks[[#This Row],[_LeafTotalWork]]&gt;0),Tasks[[#This Row],[_Res4Work]]&gt;0),Tasks[[#This Row],[_Res4Work]]/(Tasks[[#This Row],[_FinishWorkday]]-Tasks[[#This Row],[_StartWorkday]]+1),0)</f>
        <v>0</v>
      </c>
      <c r="DP39" s="45" t="n">
        <f aca="false">Tasks[[#This Row],[_Res4WorkPerWD]]*MAX(0,Tasks[[#This Row],[_StartWorkday]]-1)</f>
        <v>0</v>
      </c>
      <c r="DQ39" s="45" t="n">
        <f aca="false">Tasks[[#This Row],[_Res4Work]]*Tasks[[#This Row],[_LeafProgress]]</f>
        <v>0</v>
      </c>
      <c r="DR39" s="45" t="n">
        <f aca="false">IF(Tasks[[#This Row],[_LeafTotalCost]]=0,0,Tasks[[#This Row],[_LeafAC]]*Tasks[[#This Row],[_Res4Cost]]/Tasks[[#This Row],[_LeafTotalCost]])</f>
        <v>0</v>
      </c>
      <c r="DS39" s="45" t="n">
        <f aca="false">IF(ISNUMBER(Tasks[[#This Row],[% Complete]]),Tasks[[#This Row],[% Complete]],IF(Tasks[[#This Row],[Stage]]="",0,IFERROR(INDEX(stg_Pct,MATCH(Tasks[[#This Row],[Stage]],stg_Name,0)),0)))</f>
        <v>0</v>
      </c>
      <c r="DT39" s="45" t="n">
        <f aca="false">IF(NOT(Tasks[[#This Row],[_IsLeaf]]=1),0,IF(N(Tasks[[#This Row],[Actual Finish]])&gt;0,1,MIN(1,Tasks[[#This Row],[_Pct]])))</f>
        <v>0</v>
      </c>
      <c r="DU39" s="45" t="n">
        <f aca="false">IF(OR(NOT(Tasks[[#This Row],[_IsLeaf]]=1),Tasks[[#This Row],[_Resource1]]=""),0,IF(ISNA(MATCH(Tasks[[#This Row],[_Resource1]],res_Name,0)),0,N(Tasks[[#This Row],[Duration]])*HoursPerDay*IF(Tasks[[#This Row],[_Units1]]="",DefaultUnits,Tasks[[#This Row],[_Units1]])))</f>
        <v>0</v>
      </c>
      <c r="DV39" s="45" t="n">
        <f aca="false">IF(Tasks[[#This Row],[_LeafWork]]=0,0,Tasks[[#This Row],[_LeafWork]]*IFERROR(INDEX(res_Rate,MATCH(Tasks[[#This Row],[_Resource1]],res_Name,0)),0))</f>
        <v>0</v>
      </c>
      <c r="DW39" s="45" t="n">
        <f aca="false">Tasks[[#This Row],[_LeafWork]]+Tasks[[#This Row],[_Res2Work]]+Tasks[[#This Row],[_Res3Work]]+Tasks[[#This Row],[_Res4Work]]</f>
        <v>0</v>
      </c>
      <c r="DX39" s="45" t="n">
        <f aca="false">Tasks[[#This Row],[_LeafCost]]+Tasks[[#This Row],[_Res2Cost]]+Tasks[[#This Row],[_Res3Cost]]+Tasks[[#This Row],[_Res4Cost]]</f>
        <v>0</v>
      </c>
      <c r="DY39" s="45" t="n">
        <f aca="false">IF(Tasks[[#This Row],[_LeafTotalCost]]=0,Tasks[[#This Row],[_LeafAC]],Tasks[[#This Row],[_LeafAC]]*Tasks[[#This Row],[_LeafCost]]/Tasks[[#This Row],[_LeafTotalCost]])</f>
        <v>0</v>
      </c>
      <c r="DZ3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3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3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3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3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3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3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3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39" s="45" t="n">
        <f aca="false">IF(NOT(Tasks[[#This Row],[_IsLeaf]]=1),0,MAX(_xlfn.MAXIFS(Tasks[_Row],Tasks[_Pred1UID],Tasks[[#This Row],[UID]]),_xlfn.MAXIFS(Tasks[_Row],Tasks[_Pred2UID],Tasks[[#This Row],[UID]]),_xlfn.MAXIFS(Tasks[_Row],Tasks[_Pred3UID],Tasks[[#This Row],[UID]]),_xlfn.MAXIFS(Tasks[_Row],Tasks[_Pred4UID],Tasks[[#This Row],[UID]])))</f>
        <v>0</v>
      </c>
      <c r="EI3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3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39" s="74" t="str">
        <f aca="false">IF(NOT(Tasks[[#This Row],[_IsLeaf]]=1),"",IF(N(Tasks[[#This Row],[Duration]])&lt;=0,Tasks[[#This Row],[_LeafLateFinish]],WORKDAY.INTL(Tasks[[#This Row],[_LeafLateFinish]],-(Tasks[[#This Row],[Duration]]-1),WorkWeek,Holidays)))</f>
        <v/>
      </c>
      <c r="EL3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39" s="73" t="b">
        <f aca="false">AND(Tasks[[#This Row],[_IsLeaf]]=1,Tasks[[#This Row],[_LeafProgress]]&lt;1,N(Tasks[[#This Row],[_LeafTotalSlack]])&lt;=CriticalSlackDays)</f>
        <v>0</v>
      </c>
      <c r="EN39" s="45" t="n">
        <f aca="false">IF(AND(Tasks[[#This Row],[_IsLeaf]]=1,Tasks[[#This Row],[_ConstraintCode]]=1,Tasks[[#This Row],[Mode]]&lt;&gt;"Manual",N(Tasks[[#This Row],[Actual Start]])=0),MAX(0,N(Tasks[[#This Row],[Free Slack]])),0)</f>
        <v>0</v>
      </c>
      <c r="EO39" s="74" t="str">
        <f aca="false">IF(NOT(Tasks[[#This Row],[_IsLeaf]]=1),"",IF(Tasks[[#This Row],[_AlapShift]]=0,Tasks[[#This Row],[_LeafCalcStart]],WORKDAY.INTL(Tasks[[#This Row],[_LeafCalcStart]],Tasks[[#This Row],[_AlapShift]],WorkWeek,Holidays)))</f>
        <v/>
      </c>
      <c r="EP39" s="74" t="str">
        <f aca="false">IF(NOT(Tasks[[#This Row],[_IsLeaf]]=1),"",IF(Tasks[[#This Row],[_AlapShift]]=0,Tasks[[#This Row],[_LeafCalcFinish]],WORKDAY.INTL(Tasks[[#This Row],[_LeafCalcFinish]],Tasks[[#This Row],[_AlapShift]],WorkWeek,Holidays)))</f>
        <v/>
      </c>
      <c r="EQ39" s="74" t="str">
        <f aca="false">IF(NOT(Tasks[[#This Row],[_IsLeaf]]=1),"",IF(Tasks[[#This Row],[_AlapShift]]=0,Tasks[[#This Row],[_LeafFcstStart]],WORKDAY.INTL(Tasks[[#This Row],[_LeafFcstStart]],Tasks[[#This Row],[_AlapShift]],WorkWeek,Holidays)))</f>
        <v/>
      </c>
      <c r="ER39" s="74" t="str">
        <f aca="false">IF(NOT(Tasks[[#This Row],[_IsLeaf]]=1),"",IF(Tasks[[#This Row],[_AlapShift]]=0,Tasks[[#This Row],[_LeafFcstFinish]],WORKDAY.INTL(Tasks[[#This Row],[_LeafFcstFinish]],Tasks[[#This Row],[_AlapShift]],WorkWeek,Holidays)))</f>
        <v/>
      </c>
      <c r="ES39" s="74" t="str">
        <f aca="false">IF(Tasks[[#This Row],[Task Name]]="","",IF(Tasks[[#This Row],[_IsSummary]],MIN(INDEX(Tasks[_ShownCalcStart],Tasks[[#This Row],[_Row]]+1):INDEX(Tasks[_ShownCalcStart],Tasks[[#This Row],[_Row]]+Tasks[[#This Row],[_Descendants]])),Tasks[[#This Row],[_ShownCalcStart]]))</f>
        <v/>
      </c>
      <c r="ET39" s="74" t="str">
        <f aca="false">IF(Tasks[[#This Row],[Task Name]]="","",IF(Tasks[[#This Row],[_IsSummary]],MAX(INDEX(Tasks[_ShownCalcFinish],Tasks[[#This Row],[_Row]]+1):INDEX(Tasks[_ShownCalcFinish],Tasks[[#This Row],[_Row]]+Tasks[[#This Row],[_Descendants]])),Tasks[[#This Row],[_ShownCalcFinish]]))</f>
        <v/>
      </c>
      <c r="EU3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3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3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3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3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3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3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3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3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3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3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3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39" s="45" t="n">
        <f aca="false">IF(AND(Tasks[[#This Row],[_IsLeaf]]=1,Tasks[[#This Row],[_LeafTotalWork]]&gt;0),NETWORKDAYS.INTL(ProjectStart,Tasks[[#This Row],[_ShownFcstStart]],WorkWeek,Holidays),0)</f>
        <v>0</v>
      </c>
      <c r="FH39" s="45" t="n">
        <f aca="false">IF(AND(Tasks[[#This Row],[_IsLeaf]]=1,Tasks[[#This Row],[_LeafTotalWork]]&gt;0),MAX(Tasks[[#This Row],[_StartWorkday]],NETWORKDAYS.INTL(ProjectStart,Tasks[[#This Row],[_ShownFcstFinish]],WorkWeek,Holidays)),0)</f>
        <v>0</v>
      </c>
      <c r="FI39" s="45" t="n">
        <f aca="false">IF(AND(Tasks[[#This Row],[_IsLeaf]]=1,Tasks[[#This Row],[_LeafTotalWork]]&gt;0),Tasks[[#This Row],[_LeafWork]]/(Tasks[[#This Row],[_FinishWorkday]]-Tasks[[#This Row],[_StartWorkday]]+1),0)</f>
        <v>0</v>
      </c>
      <c r="FJ39" s="45" t="n">
        <f aca="false">Tasks[[#This Row],[_WorkPerWorkday]]*(Tasks[[#This Row],[_StartWorkday]]-1)</f>
        <v>-0</v>
      </c>
      <c r="FK39" s="45" t="n">
        <f aca="false">IF(Tasks[[#This Row],[_IsLeaf]]=1,MAX(N(Tasks[[#This Row],[Duration]]),0.1),0)</f>
        <v>0</v>
      </c>
      <c r="FL39" s="45" t="n">
        <f aca="false">Tasks[[#This Row],[_WeightDur]]*Tasks[[#This Row],[_LeafProgress]]</f>
        <v>0</v>
      </c>
      <c r="FM3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39" s="45" t="str">
        <f aca="false">IF(AND(Tasks[[#This Row],[_IsLeaf]]=1,N(Tasks[[#This Row],[Duration]])=0,Tasks[[#This Row],[_LeafProgress]]&lt;1),Tasks[[#This Row],[_ShownFcstFinish]]+Tasks[[#This Row],[_Row]]/100000,"")</f>
        <v/>
      </c>
      <c r="FO3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39" s="45" t="n">
        <f aca="false">IF(NOT(Tasks[[#This Row],[_IsLeaf]]=1),0,IF(Tasks[[#This Row],[Baseline Cost]]="",Tasks[[#This Row],[_LeafTotalCost]],N(Tasks[[#This Row],[Baseline Cost]])))</f>
        <v>0</v>
      </c>
      <c r="FQ39" s="45" t="n">
        <f aca="false">Tasks[[#This Row],[_LeafBudget]]*Tasks[[#This Row],[_PlannedPct]]</f>
        <v>0</v>
      </c>
      <c r="FR39" s="45" t="n">
        <f aca="false">Tasks[[#This Row],[_LeafBudget]]*Tasks[[#This Row],[_LeafProgress]]</f>
        <v>0</v>
      </c>
      <c r="FS39" s="45" t="n">
        <f aca="false">IF(NOT(Tasks[[#This Row],[_IsLeaf]]=1),0,IF(Tasks[[#This Row],[Actual Cost]]="",Tasks[[#This Row],[_LeafTotalCost]]*Tasks[[#This Row],[_LeafProgress]],N(Tasks[[#This Row],[Actual Cost]])))</f>
        <v>0</v>
      </c>
      <c r="FT39" s="45" t="str">
        <f aca="false">IF(Tasks[[#This Row],[Task Name]]="","",LEFT(Tasks[[#This Row],[WBS]],FIND(".",Tasks[[#This Row],[WBS]]&amp;".")-1))</f>
        <v/>
      </c>
      <c r="FU39" s="45" t="str">
        <f aca="false">IF(AND(Tasks[[#This Row],[Task Name]]&lt;&gt;"",Tasks[[#This Row],[_Level]]=1),Tasks[[#This Row],[_Row]],"")</f>
        <v/>
      </c>
      <c r="FV39" s="45" t="str">
        <f aca="false">IF(AND(Tasks[[#This Row],[_IsLeaf]]=1,N(Tasks[[#This Row],[Duration]])=0),Tasks[[#This Row],[Planned Finish]]+Tasks[[#This Row],[_Row]]/100000,"")</f>
        <v/>
      </c>
      <c r="FW39" s="45" t="str">
        <f aca="false">IF(AND(Tasks[[#This Row],[_IsLeaf]]=1,Tasks[[#This Row],[_LeafProgress]]&lt;1,OR(N(Tasks[[#This Row],[Finish Var]])&gt;0,Tasks[[#This Row],[Status]]="Late Start")),MAX(0,Tasks[[#This Row],[Finish Var]])+1-Tasks[[#This Row],[_Row]]/1000000,"")</f>
        <v/>
      </c>
      <c r="FX39" s="45" t="str">
        <f aca="false">IF(AND(Tasks[[#This Row],[_IsLeaf]]=1,N(Tasks[[#This Row],[Actual Start]])=0,Tasks[[#This Row],[_ShownFcstStart]]&gt;=StatusDate,Tasks[[#This Row],[_ShownFcstStart]]&lt;=LookaheadEnd),Tasks[[#This Row],[_ShownFcstStart]]+Tasks[[#This Row],[_Row]]/100000,"")</f>
        <v/>
      </c>
      <c r="FY39" s="45" t="str">
        <f aca="false">IF(AND(Tasks[[#This Row],[_IsLeaf]]=1,Tasks[[#This Row],[_LeafProgress]]&lt;1,Tasks[[#This Row],[_ShownFcstFinish]]&gt;=StatusDate,Tasks[[#This Row],[_ShownFcstFinish]]&lt;=LookaheadEnd),Tasks[[#This Row],[_ShownFcstFinish]]+Tasks[[#This Row],[_Row]]/100000,"")</f>
        <v/>
      </c>
      <c r="FZ39" s="45" t="str">
        <f aca="false">IF(Tasks[[#This Row],[_LeafCritical]],Tasks[[#This Row],[_ShownFcstStart]]+Tasks[[#This Row],[_Row]]/100000,"")</f>
        <v/>
      </c>
      <c r="GA39" s="45" t="n">
        <f aca="false">Tasks[[#This Row],[_LeafWork]]*Tasks[[#This Row],[_LeafProgress]]</f>
        <v>0</v>
      </c>
      <c r="GB39" s="74" t="str">
        <f aca="false">IF(AND(Tasks[[#This Row],[_IsLeaf]]=1,Tasks[[#This Row],[_LeafProgress]]&gt;=1),IF(N(Tasks[[#This Row],[Actual Finish]])&gt;0,Tasks[[#This Row],[Actual Finish]],Tasks[[#This Row],[_ShownFcstFinish]]),"")</f>
        <v/>
      </c>
    </row>
    <row r="40" customFormat="false" ht="15" hidden="false" customHeight="false" outlineLevel="0" collapsed="false">
      <c r="A40" s="67" t="str">
        <f aca="false">IF(Tasks[[#This Row],[Task Name]]="","",COUNTA(Tasks[[#Headers],[Task Name]]:Tasks[[#This Row],[Task Name]])-1)</f>
        <v/>
      </c>
      <c r="B40" s="21" t="n">
        <v>35</v>
      </c>
      <c r="C4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21"/>
      <c r="E40" s="22"/>
      <c r="F40" s="21"/>
      <c r="G40" s="22"/>
      <c r="H40" s="22"/>
      <c r="I40" s="22"/>
      <c r="J40" s="7"/>
      <c r="K40" s="7"/>
      <c r="L40" s="22"/>
      <c r="M40" s="58" t="str">
        <f aca="false">IF(Tasks[[#This Row],[Task Name]]="","",IF(Tasks[[#This Row],[_IsSummary]],MIN(INDEX(Tasks[_ShownFcstStart],Tasks[[#This Row],[_Row]]+1):INDEX(Tasks[_ShownFcstStart],Tasks[[#This Row],[_Row]]+Tasks[[#This Row],[_Descendants]])),Tasks[[#This Row],[_ShownFcstStart]]))</f>
        <v/>
      </c>
      <c r="N40" s="58" t="str">
        <f aca="false">IF(Tasks[[#This Row],[Task Name]]="","",IF(Tasks[[#This Row],[_IsSummary]],MAX(INDEX(Tasks[_ShownFcstFinish],Tasks[[#This Row],[_Row]]+1):INDEX(Tasks[_ShownFcstFinish],Tasks[[#This Row],[_Row]]+Tasks[[#This Row],[_Descendants]])),Tasks[[#This Row],[_ShownFcstFinish]]))</f>
        <v/>
      </c>
      <c r="O40" s="20" t="str">
        <f aca="false">IF(Tasks[[#This Row],[Task Name]]="","",IF(Tasks[[#This Row],[Progress]]&gt;=1,"Complete",IF(OR(N(Tasks[[#This Row],[Actual Start]])&gt;0,Tasks[[#This Row],[Progress]]&gt;0),IF(Tasks[[#This Row],[Finish Var]]&gt;0,"Behind","In Progress"),IF(Tasks[[#This Row],[Planned Start]]&lt;StatusDate,"Late Start","Not Started"))))</f>
        <v/>
      </c>
      <c r="P40" s="20" t="str">
        <f aca="false">IF(Tasks[[#This Row],[Task Name]]="","",IF(IF(Tasks[[#This Row],[_IsSummary]],COUNTIF(INDEX(Tasks[_LeafCritical],Tasks[[#This Row],[_Row]]+1):INDEX(Tasks[_LeafCritical],Tasks[[#This Row],[_Row]]+Tasks[[#This Row],[_Descendants]]),TRUE())&gt;0,Tasks[[#This Row],[_LeafCritical]]),"Yes",""))</f>
        <v/>
      </c>
      <c r="Q4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40" s="67" t="str">
        <f aca="false">IF(Tasks[[#This Row],[Task Name]]="","",IF(Tasks[[#This Row],[_Level]]&lt;=OutlineShowLevel,"Yes","No"))</f>
        <v/>
      </c>
      <c r="S40" s="7"/>
      <c r="T40" s="21"/>
      <c r="U40" s="22"/>
      <c r="V40" s="7"/>
      <c r="W40" s="67" t="str">
        <f aca="false">IF(Tasks[[#This Row],[Task Name]]="","",IF(Tasks[[#This Row],[Finish]]&gt;=Tasks[[#This Row],[Planned Finish]],NETWORKDAYS.INTL(Tasks[[#This Row],[Planned Finish]],Tasks[[#This Row],[Finish]],WorkWeek,Holidays)-1,1-NETWORKDAYS.INTL(Tasks[[#This Row],[Finish]],Tasks[[#This Row],[Planned Finish]],WorkWeek,Holidays)))</f>
        <v/>
      </c>
      <c r="X40" s="58" t="str">
        <f aca="false">IF(Tasks[[#This Row],[Task Name]]="","",IF(N(Tasks[[#This Row],[Baseline Start]])&gt;0,Tasks[[#This Row],[Baseline Start]],Tasks[[#This Row],[_CalcStart]]))</f>
        <v/>
      </c>
      <c r="Y40" s="58" t="str">
        <f aca="false">IF(Tasks[[#This Row],[Task Name]]="","",IF(N(Tasks[[#This Row],[Baseline Finish]])&gt;0,Tasks[[#This Row],[Baseline Finish]],Tasks[[#This Row],[_CalcFinish]]))</f>
        <v/>
      </c>
      <c r="Z40" s="67" t="str">
        <f aca="false">IF(Tasks[[#This Row],[Task Name]]="","",IF(Tasks[[#This Row],[Start]]&gt;=Tasks[[#This Row],[Planned Start]],NETWORKDAYS.INTL(Tasks[[#This Row],[Planned Start]],Tasks[[#This Row],[Start]],WorkWeek,Holidays)-1,1-NETWORKDAYS.INTL(Tasks[[#This Row],[Start]],Tasks[[#This Row],[Planned Start]],WorkWeek,Holidays)))</f>
        <v/>
      </c>
      <c r="AA40" s="58" t="str">
        <f aca="false">IF(Tasks[[#This Row],[Task Name]]="","",IF(Tasks[[#This Row],[_IsSummary]],MIN(INDEX(Tasks[_LeafLateStart],Tasks[[#This Row],[_Row]]+1):INDEX(Tasks[_LeafLateStart],Tasks[[#This Row],[_Row]]+Tasks[[#This Row],[_Descendants]])),Tasks[[#This Row],[_LeafLateStart]]))</f>
        <v/>
      </c>
      <c r="AB40" s="58" t="str">
        <f aca="false">IF(Tasks[[#This Row],[Task Name]]="","",IF(Tasks[[#This Row],[_IsSummary]],MAX(INDEX(Tasks[_LeafLateFinish],Tasks[[#This Row],[_Row]]+1):INDEX(Tasks[_LeafLateFinish],Tasks[[#This Row],[_Row]]+Tasks[[#This Row],[_Descendants]])),Tasks[[#This Row],[_LeafLateFinish]]))</f>
        <v/>
      </c>
      <c r="AC40" s="67" t="str">
        <f aca="false">IF(Tasks[[#This Row],[Task Name]]="","",IF(Tasks[[#This Row],[_IsSummary]],MIN(INDEX(Tasks[_LeafTotalSlack],Tasks[[#This Row],[_Row]]+1):INDEX(Tasks[_LeafTotalSlack],Tasks[[#This Row],[_Row]]+Tasks[[#This Row],[_Descendants]])),Tasks[[#This Row],[_LeafTotalSlack]]))</f>
        <v/>
      </c>
      <c r="AD4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4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4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40" s="60"/>
      <c r="AH4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4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40" s="69" t="str">
        <f aca="false">IF(Tasks[[#This Row],[Task Name]]="","",IF(Tasks[[#This Row],[_IsSummary]],SUM(INDEX(Tasks[_LeafTotalWork],Tasks[[#This Row],[_Row]]+1):INDEX(Tasks[_LeafTotalWork],Tasks[[#This Row],[_Row]]+Tasks[[#This Row],[_Descendants]])),Tasks[[#This Row],[_LeafTotalWork]]))</f>
        <v/>
      </c>
      <c r="AK4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40" s="70" t="str">
        <f aca="false">IF(Tasks[[#This Row],[Task Name]]="","",IF(Tasks[[#This Row],[_IsSummary]],SUM(INDEX(Tasks[_LeafTotalCost],Tasks[[#This Row],[_Row]]+1):INDEX(Tasks[_LeafTotalCost],Tasks[[#This Row],[_Row]]+Tasks[[#This Row],[_Descendants]])),Tasks[[#This Row],[_LeafTotalCost]]))</f>
        <v/>
      </c>
      <c r="AM40" s="71"/>
      <c r="AN40" s="20" t="str">
        <f aca="false">IF(OR(Tasks[[#This Row],[Task Name]]="",Tasks[[#This Row],[Baseline Duration]]=""),"",Tasks[[#This Row],[BL Source Duration]]-N(Tasks[[#This Row],[Baseline Duration]]))</f>
        <v/>
      </c>
      <c r="AO40" s="69" t="str">
        <f aca="false">IF(OR(Tasks[[#This Row],[Task Name]]="",Tasks[[#This Row],[Baseline Work]]=""),"",Tasks[[#This Row],[Work]]-N(Tasks[[#This Row],[Baseline Work]]))</f>
        <v/>
      </c>
      <c r="AP40" s="70" t="str">
        <f aca="false">IF(OR(Tasks[[#This Row],[Task Name]]="",Tasks[[#This Row],[Baseline Cost]]=""),"",Tasks[[#This Row],[Cost]]-N(Tasks[[#This Row],[Baseline Cost]]))</f>
        <v/>
      </c>
      <c r="AQ40" s="58" t="str">
        <f aca="false">IF(Tasks[[#This Row],[Task Name]]="","",Tasks[[#This Row],[Start]])</f>
        <v/>
      </c>
      <c r="AR40" s="58" t="str">
        <f aca="false">IF(Tasks[[#This Row],[Task Name]]="","",Tasks[[#This Row],[Finish]])</f>
        <v/>
      </c>
      <c r="AS40" s="67" t="str">
        <f aca="false">IF(Tasks[[#This Row],[Task Name]]="","",IF(Tasks[[#This Row],[_IsSummary]],NETWORKDAYS.INTL(Tasks[[#This Row],[Start]],Tasks[[#This Row],[Finish]],WorkWeek,Holidays),N(Tasks[[#This Row],[Duration]])))</f>
        <v/>
      </c>
      <c r="AT40" s="69" t="str">
        <f aca="false">IF(Tasks[[#This Row],[Task Name]]="","",Tasks[[#This Row],[Work]])</f>
        <v/>
      </c>
      <c r="AU40" s="70" t="str">
        <f aca="false">IF(Tasks[[#This Row],[Task Name]]="","",Tasks[[#This Row],[Cost]])</f>
        <v/>
      </c>
      <c r="AV40" s="7"/>
      <c r="AW40" s="7"/>
      <c r="AX40" s="21"/>
      <c r="AY40" s="72"/>
      <c r="AZ40" s="71"/>
      <c r="BA40" s="70" t="str">
        <f aca="false">IF(Tasks[[#This Row],[Task Name]]="","",IF(Tasks[[#This Row],[_IsSummary]],SUM(INDEX(Tasks[_LeafEV],Tasks[[#This Row],[_Row]]+1):INDEX(Tasks[_LeafEV],Tasks[[#This Row],[_Row]]+Tasks[[#This Row],[_Descendants]])),Tasks[[#This Row],[_LeafEV]]))</f>
        <v/>
      </c>
      <c r="BB40" s="70" t="str">
        <f aca="false">IF(Tasks[[#This Row],[Task Name]]="","",IF(Tasks[[#This Row],[_IsSummary]],SUM(INDEX(Tasks[_LeafBudget],Tasks[[#This Row],[_Row]]+1):INDEX(Tasks[_LeafBudget],Tasks[[#This Row],[_Row]]+Tasks[[#This Row],[_Descendants]])),Tasks[[#This Row],[_LeafBudget]]))</f>
        <v/>
      </c>
      <c r="BC40" s="70" t="str">
        <f aca="false">IF(Tasks[[#This Row],[Task Name]]="","",IF(Tasks[[#This Row],[_IsSummary]],SUM(INDEX(Tasks[_LeafPV],Tasks[[#This Row],[_Row]]+1):INDEX(Tasks[_LeafPV],Tasks[[#This Row],[_Row]]+Tasks[[#This Row],[_Descendants]])),Tasks[[#This Row],[_LeafPV]]))</f>
        <v/>
      </c>
      <c r="BD40" s="70" t="str">
        <f aca="false">IF(Tasks[[#This Row],[Task Name]]="","",IF(Tasks[[#This Row],[_IsSummary]],SUM(INDEX(Tasks[_LeafAC],Tasks[[#This Row],[_Row]]+1):INDEX(Tasks[_LeafAC],Tasks[[#This Row],[_Row]]+Tasks[[#This Row],[_Descendants]])),Tasks[[#This Row],[_LeafAC]]))</f>
        <v/>
      </c>
      <c r="BE40" s="45" t="str">
        <f aca="false">IF(Tasks[[#This Row],[Task Name]]="","",MAX(1,N(Tasks[[#This Row],[Level]])))</f>
        <v/>
      </c>
      <c r="BF40" s="45" t="n">
        <f aca="false">ROW()-ROW(Tasks[[#Headers],[ID]])</f>
        <v>35</v>
      </c>
      <c r="BG40" s="45" t="n">
        <f aca="false">IF(OR(Tasks[[#This Row],[Task Name]]="",Tasks[[#This Row],[_Level]]&lt;=1),0,IFERROR(LOOKUP(2,1/(Tasks[[#Headers],[_Level]]:Tasks[[#This Row],[_Level]]=Tasks[[#This Row],[_Level]]-1),ROW(Tasks[[#Headers],[_Level]]:Tasks[[#This Row],[_Level]])),0))</f>
        <v>0</v>
      </c>
      <c r="BH40" s="45" t="n">
        <f aca="false">IFERROR(N(INDEX(Tasks[_Level],Tasks[[#This Row],[_Row]]+1)),0)</f>
        <v>0</v>
      </c>
      <c r="BI40" s="73" t="b">
        <f aca="false">AND(Tasks[[#This Row],[Task Name]]&lt;&gt;"",Tasks[[#This Row],[_NextLevel]]&gt;Tasks[[#This Row],[_Level]])</f>
        <v>0</v>
      </c>
      <c r="BJ40" s="45" t="n">
        <f aca="false">IF(Tasks[[#This Row],[_IsSummary]],COUNTIF(Tasks[WBS],Tasks[[#This Row],[WBS]]&amp;".*"),0)</f>
        <v>0</v>
      </c>
      <c r="BK40" s="45" t="n">
        <f aca="false">IF(AND(Tasks[[#This Row],[Task Name]]&lt;&gt;"",NOT(Tasks[[#This Row],[_IsSummary]])),1,0)</f>
        <v>0</v>
      </c>
      <c r="BL40" s="45" t="n">
        <f aca="false">IF(N(Tasks[[#This Row],[_Pred1UID]])=0,0,IFERROR(MATCH(Tasks[[#This Row],[_Pred1UID]],Tasks[UID],0),-1))</f>
        <v>0</v>
      </c>
      <c r="BM40" s="45" t="n">
        <f aca="false">IF(N(Tasks[[#This Row],[_Pred2UID]])=0,0,IFERROR(MATCH(Tasks[[#This Row],[_Pred2UID]],Tasks[UID],0),-1))</f>
        <v>0</v>
      </c>
      <c r="BN40" s="45" t="n">
        <f aca="false">IF(N(Tasks[[#This Row],[_Pred3UID]])=0,0,IFERROR(MATCH(Tasks[[#This Row],[_Pred3UID]],Tasks[UID],0),-1))</f>
        <v>0</v>
      </c>
      <c r="BO40" s="45" t="n">
        <f aca="false">IF(N(Tasks[[#This Row],[_Pred4UID]])=0,0,IFERROR(MATCH(Tasks[[#This Row],[_Pred4UID]],Tasks[UID],0),-1))</f>
        <v>0</v>
      </c>
      <c r="BP4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4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40" s="74" t="n">
        <f aca="false">IF(OR(Tasks[[#This Row],[_ConstraintCode]]=2,Tasks[[#This Row],[_ConstraintCode]]=3,Tasks[[#This Row],[_ConstraintCode]]=4,Tasks[[#This Row],[_ConstraintCode]]=6),Tasks[[#This Row],[_ConstraintStart]],0)</f>
        <v>0</v>
      </c>
      <c r="BS40" s="74" t="n">
        <f aca="false">IF(OR(Tasks[[#This Row],[_ConstraintCode]]=2,Tasks[[#This Row],[_ConstraintCode]]=3,Tasks[[#This Row],[_ConstraintCode]]=5,Tasks[[#This Row],[_ConstraintCode]]=7),Tasks[[#This Row],[_ConstraintStart]],2958465)</f>
        <v>2958465</v>
      </c>
      <c r="BT4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40" s="74" t="str">
        <f aca="false">IF(NOT(Tasks[[#This Row],[_IsLeaf]]=1),"",IF(N(Tasks[[#This Row],[Duration]])&lt;=0,Tasks[[#This Row],[_LeafCalcStart]],WORKDAY.INTL(Tasks[[#This Row],[_LeafCalcStart]],Tasks[[#This Row],[Duration]]-1,WorkWeek,Holidays)))</f>
        <v/>
      </c>
      <c r="BV4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4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40" s="45" t="str">
        <f aca="false">IF(Tasks[[#This Row],[Predecessors]]="","",TRIM(MID(SUBSTITUTE(SUBSTITUTE(SUBSTITUTE(UPPER(Tasks[[#This Row],[Predecessors]]),";",",")," ",""),",",REPT(" ",99)),1,99)))</f>
        <v/>
      </c>
      <c r="BY40" s="45" t="str">
        <f aca="false">IF(Tasks[[#This Row],[_Pred1Text]]="","",IFERROR(VALUE(LEFT(Tasks[[#This Row],[_Pred1Text]],MIN(FIND("F",Tasks[[#This Row],[_Pred1Text]]&amp;"F"),FIND("S",Tasks[[#This Row],[_Pred1Text]]&amp;"S"),FIND("+",Tasks[[#This Row],[_Pred1Text]]&amp;"+"),FIND("-",Tasks[[#This Row],[_Pred1Text]]&amp;"-"))-1)),""))</f>
        <v/>
      </c>
      <c r="BZ4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4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40" s="45" t="str">
        <f aca="false">IF(Tasks[[#This Row],[_Pred1Text]]="","",TRIM(MID(SUBSTITUTE(SUBSTITUTE(SUBSTITUTE(UPPER(Tasks[[#This Row],[Predecessors]]),";",",")," ",""),",",REPT(" ",99)),100,99)))</f>
        <v/>
      </c>
      <c r="CC40" s="45" t="str">
        <f aca="false">IF(Tasks[[#This Row],[_Pred2Text]]="","",IFERROR(VALUE(LEFT(Tasks[[#This Row],[_Pred2Text]],MIN(FIND("F",Tasks[[#This Row],[_Pred2Text]]&amp;"F"),FIND("S",Tasks[[#This Row],[_Pred2Text]]&amp;"S"),FIND("+",Tasks[[#This Row],[_Pred2Text]]&amp;"+"),FIND("-",Tasks[[#This Row],[_Pred2Text]]&amp;"-"))-1)),""))</f>
        <v/>
      </c>
      <c r="CD4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4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40" s="45" t="str">
        <f aca="false">IF(Tasks[[#This Row],[_Pred2Text]]="","",TRIM(MID(SUBSTITUTE(SUBSTITUTE(SUBSTITUTE(UPPER(Tasks[[#This Row],[Predecessors]]),";",",")," ",""),",",REPT(" ",99)),199,99)))</f>
        <v/>
      </c>
      <c r="CG40" s="45" t="str">
        <f aca="false">IF(Tasks[[#This Row],[_Pred3Text]]="","",IFERROR(VALUE(LEFT(Tasks[[#This Row],[_Pred3Text]],MIN(FIND("F",Tasks[[#This Row],[_Pred3Text]]&amp;"F"),FIND("S",Tasks[[#This Row],[_Pred3Text]]&amp;"S"),FIND("+",Tasks[[#This Row],[_Pred3Text]]&amp;"+"),FIND("-",Tasks[[#This Row],[_Pred3Text]]&amp;"-"))-1)),""))</f>
        <v/>
      </c>
      <c r="CH4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4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40" s="45" t="str">
        <f aca="false">IF(Tasks[[#This Row],[_Pred3Text]]="","",TRIM(MID(SUBSTITUTE(SUBSTITUTE(SUBSTITUTE(UPPER(Tasks[[#This Row],[Predecessors]]),";",",")," ",""),",",REPT(" ",99)),298,99)))</f>
        <v/>
      </c>
      <c r="CK40" s="45" t="str">
        <f aca="false">IF(Tasks[[#This Row],[_Pred4Text]]="","",IFERROR(VALUE(LEFT(Tasks[[#This Row],[_Pred4Text]],MIN(FIND("F",Tasks[[#This Row],[_Pred4Text]]&amp;"F"),FIND("S",Tasks[[#This Row],[_Pred4Text]]&amp;"S"),FIND("+",Tasks[[#This Row],[_Pred4Text]]&amp;"+"),FIND("-",Tasks[[#This Row],[_Pred4Text]]&amp;"-"))-1)),""))</f>
        <v/>
      </c>
      <c r="CL4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4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40" s="45" t="str">
        <f aca="false">IF(OR(Tasks[[#This Row],[Task Name]]="",Tasks[[#This Row],[Resources]]=""),"",TRIM(MID(SUBSTITUTE(Tasks[[#This Row],[Resources]],",",REPT(" ",99)),1,99)))</f>
        <v/>
      </c>
      <c r="CO40" s="45" t="str">
        <f aca="false">IF(Tasks[[#This Row],[_Res1Text]]="","",TRIM(MID(SUBSTITUTE(Tasks[[#This Row],[Resources]],",",REPT(" ",99)),100,99)))</f>
        <v/>
      </c>
      <c r="CP40" s="45" t="str">
        <f aca="false">IF(Tasks[[#This Row],[_Res2Text]]="","",TRIM(MID(SUBSTITUTE(Tasks[[#This Row],[Resources]],",",REPT(" ",99)),199,99)))</f>
        <v/>
      </c>
      <c r="CQ40" s="45" t="str">
        <f aca="false">IF(Tasks[[#This Row],[_Res3Text]]="","",TRIM(MID(SUBSTITUTE(Tasks[[#This Row],[Resources]],",",REPT(" ",99)),298,99)))</f>
        <v/>
      </c>
      <c r="CR4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4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0" s="45" t="n">
        <f aca="false">IF(NOT(Tasks[[#This Row],[_IsLeaf]]=1),0,(Tasks[[#This Row],[_Resource1]]&lt;&gt;"")+(Tasks[[#This Row],[_Res2]]&lt;&gt;"")+(Tasks[[#This Row],[_Res3]]&lt;&gt;"")+(Tasks[[#This Row],[_Res4]]&lt;&gt;""))</f>
        <v>0</v>
      </c>
      <c r="CU4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4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0" s="45" t="n">
        <f aca="false">IF(OR(NOT(Tasks[[#This Row],[_IsLeaf]]=1),Tasks[[#This Row],[_Res2]]=""),0,IF(ISNA(MATCH(Tasks[[#This Row],[_Res2]],res_Name,0)),0,N(Tasks[[#This Row],[Duration]])*HoursPerDay*IF(Tasks[[#This Row],[_Res2Units]]="",DefaultUnits,Tasks[[#This Row],[_Res2Units]])))</f>
        <v>0</v>
      </c>
      <c r="CX40" s="45" t="n">
        <f aca="false">IF(Tasks[[#This Row],[_Res2Work]]=0,0,Tasks[[#This Row],[_Res2Work]]*IFERROR(INDEX(res_Rate,MATCH(Tasks[[#This Row],[_Res2]],res_Name,0)),0))</f>
        <v>0</v>
      </c>
      <c r="CY40" s="45" t="n">
        <f aca="false">IF(AND(AND(Tasks[[#This Row],[_IsLeaf]]=1,Tasks[[#This Row],[_LeafTotalWork]]&gt;0),Tasks[[#This Row],[_Res2Work]]&gt;0),Tasks[[#This Row],[_Res2Work]]/(Tasks[[#This Row],[_FinishWorkday]]-Tasks[[#This Row],[_StartWorkday]]+1),0)</f>
        <v>0</v>
      </c>
      <c r="CZ40" s="45" t="n">
        <f aca="false">Tasks[[#This Row],[_Res2WorkPerWD]]*MAX(0,Tasks[[#This Row],[_StartWorkday]]-1)</f>
        <v>0</v>
      </c>
      <c r="DA40" s="45" t="n">
        <f aca="false">Tasks[[#This Row],[_Res2Work]]*Tasks[[#This Row],[_LeafProgress]]</f>
        <v>0</v>
      </c>
      <c r="DB40" s="45" t="n">
        <f aca="false">IF(Tasks[[#This Row],[_LeafTotalCost]]=0,0,Tasks[[#This Row],[_LeafAC]]*Tasks[[#This Row],[_Res2Cost]]/Tasks[[#This Row],[_LeafTotalCost]])</f>
        <v>0</v>
      </c>
      <c r="DC4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4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40" s="45" t="n">
        <f aca="false">IF(OR(NOT(Tasks[[#This Row],[_IsLeaf]]=1),Tasks[[#This Row],[_Res3]]=""),0,IF(ISNA(MATCH(Tasks[[#This Row],[_Res3]],res_Name,0)),0,N(Tasks[[#This Row],[Duration]])*HoursPerDay*IF(Tasks[[#This Row],[_Res3Units]]="",DefaultUnits,Tasks[[#This Row],[_Res3Units]])))</f>
        <v>0</v>
      </c>
      <c r="DF40" s="45" t="n">
        <f aca="false">IF(Tasks[[#This Row],[_Res3Work]]=0,0,Tasks[[#This Row],[_Res3Work]]*IFERROR(INDEX(res_Rate,MATCH(Tasks[[#This Row],[_Res3]],res_Name,0)),0))</f>
        <v>0</v>
      </c>
      <c r="DG40" s="45" t="n">
        <f aca="false">IF(AND(AND(Tasks[[#This Row],[_IsLeaf]]=1,Tasks[[#This Row],[_LeafTotalWork]]&gt;0),Tasks[[#This Row],[_Res3Work]]&gt;0),Tasks[[#This Row],[_Res3Work]]/(Tasks[[#This Row],[_FinishWorkday]]-Tasks[[#This Row],[_StartWorkday]]+1),0)</f>
        <v>0</v>
      </c>
      <c r="DH40" s="45" t="n">
        <f aca="false">Tasks[[#This Row],[_Res3WorkPerWD]]*MAX(0,Tasks[[#This Row],[_StartWorkday]]-1)</f>
        <v>0</v>
      </c>
      <c r="DI40" s="45" t="n">
        <f aca="false">Tasks[[#This Row],[_Res3Work]]*Tasks[[#This Row],[_LeafProgress]]</f>
        <v>0</v>
      </c>
      <c r="DJ40" s="45" t="n">
        <f aca="false">IF(Tasks[[#This Row],[_LeafTotalCost]]=0,0,Tasks[[#This Row],[_LeafAC]]*Tasks[[#This Row],[_Res3Cost]]/Tasks[[#This Row],[_LeafTotalCost]])</f>
        <v>0</v>
      </c>
      <c r="DK4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4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40" s="45" t="n">
        <f aca="false">IF(OR(NOT(Tasks[[#This Row],[_IsLeaf]]=1),Tasks[[#This Row],[_Res4]]=""),0,IF(ISNA(MATCH(Tasks[[#This Row],[_Res4]],res_Name,0)),0,N(Tasks[[#This Row],[Duration]])*HoursPerDay*IF(Tasks[[#This Row],[_Res4Units]]="",DefaultUnits,Tasks[[#This Row],[_Res4Units]])))</f>
        <v>0</v>
      </c>
      <c r="DN40" s="45" t="n">
        <f aca="false">IF(Tasks[[#This Row],[_Res4Work]]=0,0,Tasks[[#This Row],[_Res4Work]]*IFERROR(INDEX(res_Rate,MATCH(Tasks[[#This Row],[_Res4]],res_Name,0)),0))</f>
        <v>0</v>
      </c>
      <c r="DO40" s="45" t="n">
        <f aca="false">IF(AND(AND(Tasks[[#This Row],[_IsLeaf]]=1,Tasks[[#This Row],[_LeafTotalWork]]&gt;0),Tasks[[#This Row],[_Res4Work]]&gt;0),Tasks[[#This Row],[_Res4Work]]/(Tasks[[#This Row],[_FinishWorkday]]-Tasks[[#This Row],[_StartWorkday]]+1),0)</f>
        <v>0</v>
      </c>
      <c r="DP40" s="45" t="n">
        <f aca="false">Tasks[[#This Row],[_Res4WorkPerWD]]*MAX(0,Tasks[[#This Row],[_StartWorkday]]-1)</f>
        <v>0</v>
      </c>
      <c r="DQ40" s="45" t="n">
        <f aca="false">Tasks[[#This Row],[_Res4Work]]*Tasks[[#This Row],[_LeafProgress]]</f>
        <v>0</v>
      </c>
      <c r="DR40" s="45" t="n">
        <f aca="false">IF(Tasks[[#This Row],[_LeafTotalCost]]=0,0,Tasks[[#This Row],[_LeafAC]]*Tasks[[#This Row],[_Res4Cost]]/Tasks[[#This Row],[_LeafTotalCost]])</f>
        <v>0</v>
      </c>
      <c r="DS40" s="45" t="n">
        <f aca="false">IF(ISNUMBER(Tasks[[#This Row],[% Complete]]),Tasks[[#This Row],[% Complete]],IF(Tasks[[#This Row],[Stage]]="",0,IFERROR(INDEX(stg_Pct,MATCH(Tasks[[#This Row],[Stage]],stg_Name,0)),0)))</f>
        <v>0</v>
      </c>
      <c r="DT40" s="45" t="n">
        <f aca="false">IF(NOT(Tasks[[#This Row],[_IsLeaf]]=1),0,IF(N(Tasks[[#This Row],[Actual Finish]])&gt;0,1,MIN(1,Tasks[[#This Row],[_Pct]])))</f>
        <v>0</v>
      </c>
      <c r="DU40" s="45" t="n">
        <f aca="false">IF(OR(NOT(Tasks[[#This Row],[_IsLeaf]]=1),Tasks[[#This Row],[_Resource1]]=""),0,IF(ISNA(MATCH(Tasks[[#This Row],[_Resource1]],res_Name,0)),0,N(Tasks[[#This Row],[Duration]])*HoursPerDay*IF(Tasks[[#This Row],[_Units1]]="",DefaultUnits,Tasks[[#This Row],[_Units1]])))</f>
        <v>0</v>
      </c>
      <c r="DV40" s="45" t="n">
        <f aca="false">IF(Tasks[[#This Row],[_LeafWork]]=0,0,Tasks[[#This Row],[_LeafWork]]*IFERROR(INDEX(res_Rate,MATCH(Tasks[[#This Row],[_Resource1]],res_Name,0)),0))</f>
        <v>0</v>
      </c>
      <c r="DW40" s="45" t="n">
        <f aca="false">Tasks[[#This Row],[_LeafWork]]+Tasks[[#This Row],[_Res2Work]]+Tasks[[#This Row],[_Res3Work]]+Tasks[[#This Row],[_Res4Work]]</f>
        <v>0</v>
      </c>
      <c r="DX40" s="45" t="n">
        <f aca="false">Tasks[[#This Row],[_LeafCost]]+Tasks[[#This Row],[_Res2Cost]]+Tasks[[#This Row],[_Res3Cost]]+Tasks[[#This Row],[_Res4Cost]]</f>
        <v>0</v>
      </c>
      <c r="DY40" s="45" t="n">
        <f aca="false">IF(Tasks[[#This Row],[_LeafTotalCost]]=0,Tasks[[#This Row],[_LeafAC]],Tasks[[#This Row],[_LeafAC]]*Tasks[[#This Row],[_LeafCost]]/Tasks[[#This Row],[_LeafTotalCost]])</f>
        <v>0</v>
      </c>
      <c r="DZ4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4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4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4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4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4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4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4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40" s="45" t="n">
        <f aca="false">IF(NOT(Tasks[[#This Row],[_IsLeaf]]=1),0,MAX(_xlfn.MAXIFS(Tasks[_Row],Tasks[_Pred1UID],Tasks[[#This Row],[UID]]),_xlfn.MAXIFS(Tasks[_Row],Tasks[_Pred2UID],Tasks[[#This Row],[UID]]),_xlfn.MAXIFS(Tasks[_Row],Tasks[_Pred3UID],Tasks[[#This Row],[UID]]),_xlfn.MAXIFS(Tasks[_Row],Tasks[_Pred4UID],Tasks[[#This Row],[UID]])))</f>
        <v>0</v>
      </c>
      <c r="EI4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4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40" s="74" t="str">
        <f aca="false">IF(NOT(Tasks[[#This Row],[_IsLeaf]]=1),"",IF(N(Tasks[[#This Row],[Duration]])&lt;=0,Tasks[[#This Row],[_LeafLateFinish]],WORKDAY.INTL(Tasks[[#This Row],[_LeafLateFinish]],-(Tasks[[#This Row],[Duration]]-1),WorkWeek,Holidays)))</f>
        <v/>
      </c>
      <c r="EL4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40" s="73" t="b">
        <f aca="false">AND(Tasks[[#This Row],[_IsLeaf]]=1,Tasks[[#This Row],[_LeafProgress]]&lt;1,N(Tasks[[#This Row],[_LeafTotalSlack]])&lt;=CriticalSlackDays)</f>
        <v>0</v>
      </c>
      <c r="EN40" s="45" t="n">
        <f aca="false">IF(AND(Tasks[[#This Row],[_IsLeaf]]=1,Tasks[[#This Row],[_ConstraintCode]]=1,Tasks[[#This Row],[Mode]]&lt;&gt;"Manual",N(Tasks[[#This Row],[Actual Start]])=0),MAX(0,N(Tasks[[#This Row],[Free Slack]])),0)</f>
        <v>0</v>
      </c>
      <c r="EO40" s="74" t="str">
        <f aca="false">IF(NOT(Tasks[[#This Row],[_IsLeaf]]=1),"",IF(Tasks[[#This Row],[_AlapShift]]=0,Tasks[[#This Row],[_LeafCalcStart]],WORKDAY.INTL(Tasks[[#This Row],[_LeafCalcStart]],Tasks[[#This Row],[_AlapShift]],WorkWeek,Holidays)))</f>
        <v/>
      </c>
      <c r="EP40" s="74" t="str">
        <f aca="false">IF(NOT(Tasks[[#This Row],[_IsLeaf]]=1),"",IF(Tasks[[#This Row],[_AlapShift]]=0,Tasks[[#This Row],[_LeafCalcFinish]],WORKDAY.INTL(Tasks[[#This Row],[_LeafCalcFinish]],Tasks[[#This Row],[_AlapShift]],WorkWeek,Holidays)))</f>
        <v/>
      </c>
      <c r="EQ40" s="74" t="str">
        <f aca="false">IF(NOT(Tasks[[#This Row],[_IsLeaf]]=1),"",IF(Tasks[[#This Row],[_AlapShift]]=0,Tasks[[#This Row],[_LeafFcstStart]],WORKDAY.INTL(Tasks[[#This Row],[_LeafFcstStart]],Tasks[[#This Row],[_AlapShift]],WorkWeek,Holidays)))</f>
        <v/>
      </c>
      <c r="ER40" s="74" t="str">
        <f aca="false">IF(NOT(Tasks[[#This Row],[_IsLeaf]]=1),"",IF(Tasks[[#This Row],[_AlapShift]]=0,Tasks[[#This Row],[_LeafFcstFinish]],WORKDAY.INTL(Tasks[[#This Row],[_LeafFcstFinish]],Tasks[[#This Row],[_AlapShift]],WorkWeek,Holidays)))</f>
        <v/>
      </c>
      <c r="ES40" s="74" t="str">
        <f aca="false">IF(Tasks[[#This Row],[Task Name]]="","",IF(Tasks[[#This Row],[_IsSummary]],MIN(INDEX(Tasks[_ShownCalcStart],Tasks[[#This Row],[_Row]]+1):INDEX(Tasks[_ShownCalcStart],Tasks[[#This Row],[_Row]]+Tasks[[#This Row],[_Descendants]])),Tasks[[#This Row],[_ShownCalcStart]]))</f>
        <v/>
      </c>
      <c r="ET40" s="74" t="str">
        <f aca="false">IF(Tasks[[#This Row],[Task Name]]="","",IF(Tasks[[#This Row],[_IsSummary]],MAX(INDEX(Tasks[_ShownCalcFinish],Tasks[[#This Row],[_Row]]+1):INDEX(Tasks[_ShownCalcFinish],Tasks[[#This Row],[_Row]]+Tasks[[#This Row],[_Descendants]])),Tasks[[#This Row],[_ShownCalcFinish]]))</f>
        <v/>
      </c>
      <c r="EU4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4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4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4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4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4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4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4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4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4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4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4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40" s="45" t="n">
        <f aca="false">IF(AND(Tasks[[#This Row],[_IsLeaf]]=1,Tasks[[#This Row],[_LeafTotalWork]]&gt;0),NETWORKDAYS.INTL(ProjectStart,Tasks[[#This Row],[_ShownFcstStart]],WorkWeek,Holidays),0)</f>
        <v>0</v>
      </c>
      <c r="FH40" s="45" t="n">
        <f aca="false">IF(AND(Tasks[[#This Row],[_IsLeaf]]=1,Tasks[[#This Row],[_LeafTotalWork]]&gt;0),MAX(Tasks[[#This Row],[_StartWorkday]],NETWORKDAYS.INTL(ProjectStart,Tasks[[#This Row],[_ShownFcstFinish]],WorkWeek,Holidays)),0)</f>
        <v>0</v>
      </c>
      <c r="FI40" s="45" t="n">
        <f aca="false">IF(AND(Tasks[[#This Row],[_IsLeaf]]=1,Tasks[[#This Row],[_LeafTotalWork]]&gt;0),Tasks[[#This Row],[_LeafWork]]/(Tasks[[#This Row],[_FinishWorkday]]-Tasks[[#This Row],[_StartWorkday]]+1),0)</f>
        <v>0</v>
      </c>
      <c r="FJ40" s="45" t="n">
        <f aca="false">Tasks[[#This Row],[_WorkPerWorkday]]*(Tasks[[#This Row],[_StartWorkday]]-1)</f>
        <v>-0</v>
      </c>
      <c r="FK40" s="45" t="n">
        <f aca="false">IF(Tasks[[#This Row],[_IsLeaf]]=1,MAX(N(Tasks[[#This Row],[Duration]]),0.1),0)</f>
        <v>0</v>
      </c>
      <c r="FL40" s="45" t="n">
        <f aca="false">Tasks[[#This Row],[_WeightDur]]*Tasks[[#This Row],[_LeafProgress]]</f>
        <v>0</v>
      </c>
      <c r="FM4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40" s="45" t="str">
        <f aca="false">IF(AND(Tasks[[#This Row],[_IsLeaf]]=1,N(Tasks[[#This Row],[Duration]])=0,Tasks[[#This Row],[_LeafProgress]]&lt;1),Tasks[[#This Row],[_ShownFcstFinish]]+Tasks[[#This Row],[_Row]]/100000,"")</f>
        <v/>
      </c>
      <c r="FO4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40" s="45" t="n">
        <f aca="false">IF(NOT(Tasks[[#This Row],[_IsLeaf]]=1),0,IF(Tasks[[#This Row],[Baseline Cost]]="",Tasks[[#This Row],[_LeafTotalCost]],N(Tasks[[#This Row],[Baseline Cost]])))</f>
        <v>0</v>
      </c>
      <c r="FQ40" s="45" t="n">
        <f aca="false">Tasks[[#This Row],[_LeafBudget]]*Tasks[[#This Row],[_PlannedPct]]</f>
        <v>0</v>
      </c>
      <c r="FR40" s="45" t="n">
        <f aca="false">Tasks[[#This Row],[_LeafBudget]]*Tasks[[#This Row],[_LeafProgress]]</f>
        <v>0</v>
      </c>
      <c r="FS40" s="45" t="n">
        <f aca="false">IF(NOT(Tasks[[#This Row],[_IsLeaf]]=1),0,IF(Tasks[[#This Row],[Actual Cost]]="",Tasks[[#This Row],[_LeafTotalCost]]*Tasks[[#This Row],[_LeafProgress]],N(Tasks[[#This Row],[Actual Cost]])))</f>
        <v>0</v>
      </c>
      <c r="FT40" s="45" t="str">
        <f aca="false">IF(Tasks[[#This Row],[Task Name]]="","",LEFT(Tasks[[#This Row],[WBS]],FIND(".",Tasks[[#This Row],[WBS]]&amp;".")-1))</f>
        <v/>
      </c>
      <c r="FU40" s="45" t="str">
        <f aca="false">IF(AND(Tasks[[#This Row],[Task Name]]&lt;&gt;"",Tasks[[#This Row],[_Level]]=1),Tasks[[#This Row],[_Row]],"")</f>
        <v/>
      </c>
      <c r="FV40" s="45" t="str">
        <f aca="false">IF(AND(Tasks[[#This Row],[_IsLeaf]]=1,N(Tasks[[#This Row],[Duration]])=0),Tasks[[#This Row],[Planned Finish]]+Tasks[[#This Row],[_Row]]/100000,"")</f>
        <v/>
      </c>
      <c r="FW40" s="45" t="str">
        <f aca="false">IF(AND(Tasks[[#This Row],[_IsLeaf]]=1,Tasks[[#This Row],[_LeafProgress]]&lt;1,OR(N(Tasks[[#This Row],[Finish Var]])&gt;0,Tasks[[#This Row],[Status]]="Late Start")),MAX(0,Tasks[[#This Row],[Finish Var]])+1-Tasks[[#This Row],[_Row]]/1000000,"")</f>
        <v/>
      </c>
      <c r="FX40" s="45" t="str">
        <f aca="false">IF(AND(Tasks[[#This Row],[_IsLeaf]]=1,N(Tasks[[#This Row],[Actual Start]])=0,Tasks[[#This Row],[_ShownFcstStart]]&gt;=StatusDate,Tasks[[#This Row],[_ShownFcstStart]]&lt;=LookaheadEnd),Tasks[[#This Row],[_ShownFcstStart]]+Tasks[[#This Row],[_Row]]/100000,"")</f>
        <v/>
      </c>
      <c r="FY40" s="45" t="str">
        <f aca="false">IF(AND(Tasks[[#This Row],[_IsLeaf]]=1,Tasks[[#This Row],[_LeafProgress]]&lt;1,Tasks[[#This Row],[_ShownFcstFinish]]&gt;=StatusDate,Tasks[[#This Row],[_ShownFcstFinish]]&lt;=LookaheadEnd),Tasks[[#This Row],[_ShownFcstFinish]]+Tasks[[#This Row],[_Row]]/100000,"")</f>
        <v/>
      </c>
      <c r="FZ40" s="45" t="str">
        <f aca="false">IF(Tasks[[#This Row],[_LeafCritical]],Tasks[[#This Row],[_ShownFcstStart]]+Tasks[[#This Row],[_Row]]/100000,"")</f>
        <v/>
      </c>
      <c r="GA40" s="45" t="n">
        <f aca="false">Tasks[[#This Row],[_LeafWork]]*Tasks[[#This Row],[_LeafProgress]]</f>
        <v>0</v>
      </c>
      <c r="GB40" s="74" t="str">
        <f aca="false">IF(AND(Tasks[[#This Row],[_IsLeaf]]=1,Tasks[[#This Row],[_LeafProgress]]&gt;=1),IF(N(Tasks[[#This Row],[Actual Finish]])&gt;0,Tasks[[#This Row],[Actual Finish]],Tasks[[#This Row],[_ShownFcstFinish]]),"")</f>
        <v/>
      </c>
    </row>
    <row r="41" customFormat="false" ht="15" hidden="false" customHeight="false" outlineLevel="0" collapsed="false">
      <c r="A41" s="67" t="str">
        <f aca="false">IF(Tasks[[#This Row],[Task Name]]="","",COUNTA(Tasks[[#Headers],[Task Name]]:Tasks[[#This Row],[Task Name]])-1)</f>
        <v/>
      </c>
      <c r="B41" s="21" t="n">
        <v>36</v>
      </c>
      <c r="C4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21"/>
      <c r="E41" s="22"/>
      <c r="F41" s="21"/>
      <c r="G41" s="22"/>
      <c r="H41" s="22"/>
      <c r="I41" s="22"/>
      <c r="J41" s="7"/>
      <c r="K41" s="7"/>
      <c r="L41" s="22"/>
      <c r="M41" s="58" t="str">
        <f aca="false">IF(Tasks[[#This Row],[Task Name]]="","",IF(Tasks[[#This Row],[_IsSummary]],MIN(INDEX(Tasks[_ShownFcstStart],Tasks[[#This Row],[_Row]]+1):INDEX(Tasks[_ShownFcstStart],Tasks[[#This Row],[_Row]]+Tasks[[#This Row],[_Descendants]])),Tasks[[#This Row],[_ShownFcstStart]]))</f>
        <v/>
      </c>
      <c r="N41" s="58" t="str">
        <f aca="false">IF(Tasks[[#This Row],[Task Name]]="","",IF(Tasks[[#This Row],[_IsSummary]],MAX(INDEX(Tasks[_ShownFcstFinish],Tasks[[#This Row],[_Row]]+1):INDEX(Tasks[_ShownFcstFinish],Tasks[[#This Row],[_Row]]+Tasks[[#This Row],[_Descendants]])),Tasks[[#This Row],[_ShownFcstFinish]]))</f>
        <v/>
      </c>
      <c r="O41" s="20" t="str">
        <f aca="false">IF(Tasks[[#This Row],[Task Name]]="","",IF(Tasks[[#This Row],[Progress]]&gt;=1,"Complete",IF(OR(N(Tasks[[#This Row],[Actual Start]])&gt;0,Tasks[[#This Row],[Progress]]&gt;0),IF(Tasks[[#This Row],[Finish Var]]&gt;0,"Behind","In Progress"),IF(Tasks[[#This Row],[Planned Start]]&lt;StatusDate,"Late Start","Not Started"))))</f>
        <v/>
      </c>
      <c r="P41" s="20" t="str">
        <f aca="false">IF(Tasks[[#This Row],[Task Name]]="","",IF(IF(Tasks[[#This Row],[_IsSummary]],COUNTIF(INDEX(Tasks[_LeafCritical],Tasks[[#This Row],[_Row]]+1):INDEX(Tasks[_LeafCritical],Tasks[[#This Row],[_Row]]+Tasks[[#This Row],[_Descendants]]),TRUE())&gt;0,Tasks[[#This Row],[_LeafCritical]]),"Yes",""))</f>
        <v/>
      </c>
      <c r="Q4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41" s="67" t="str">
        <f aca="false">IF(Tasks[[#This Row],[Task Name]]="","",IF(Tasks[[#This Row],[_Level]]&lt;=OutlineShowLevel,"Yes","No"))</f>
        <v/>
      </c>
      <c r="S41" s="7"/>
      <c r="T41" s="21"/>
      <c r="U41" s="22"/>
      <c r="V41" s="7"/>
      <c r="W41" s="67" t="str">
        <f aca="false">IF(Tasks[[#This Row],[Task Name]]="","",IF(Tasks[[#This Row],[Finish]]&gt;=Tasks[[#This Row],[Planned Finish]],NETWORKDAYS.INTL(Tasks[[#This Row],[Planned Finish]],Tasks[[#This Row],[Finish]],WorkWeek,Holidays)-1,1-NETWORKDAYS.INTL(Tasks[[#This Row],[Finish]],Tasks[[#This Row],[Planned Finish]],WorkWeek,Holidays)))</f>
        <v/>
      </c>
      <c r="X41" s="58" t="str">
        <f aca="false">IF(Tasks[[#This Row],[Task Name]]="","",IF(N(Tasks[[#This Row],[Baseline Start]])&gt;0,Tasks[[#This Row],[Baseline Start]],Tasks[[#This Row],[_CalcStart]]))</f>
        <v/>
      </c>
      <c r="Y41" s="58" t="str">
        <f aca="false">IF(Tasks[[#This Row],[Task Name]]="","",IF(N(Tasks[[#This Row],[Baseline Finish]])&gt;0,Tasks[[#This Row],[Baseline Finish]],Tasks[[#This Row],[_CalcFinish]]))</f>
        <v/>
      </c>
      <c r="Z41" s="67" t="str">
        <f aca="false">IF(Tasks[[#This Row],[Task Name]]="","",IF(Tasks[[#This Row],[Start]]&gt;=Tasks[[#This Row],[Planned Start]],NETWORKDAYS.INTL(Tasks[[#This Row],[Planned Start]],Tasks[[#This Row],[Start]],WorkWeek,Holidays)-1,1-NETWORKDAYS.INTL(Tasks[[#This Row],[Start]],Tasks[[#This Row],[Planned Start]],WorkWeek,Holidays)))</f>
        <v/>
      </c>
      <c r="AA41" s="58" t="str">
        <f aca="false">IF(Tasks[[#This Row],[Task Name]]="","",IF(Tasks[[#This Row],[_IsSummary]],MIN(INDEX(Tasks[_LeafLateStart],Tasks[[#This Row],[_Row]]+1):INDEX(Tasks[_LeafLateStart],Tasks[[#This Row],[_Row]]+Tasks[[#This Row],[_Descendants]])),Tasks[[#This Row],[_LeafLateStart]]))</f>
        <v/>
      </c>
      <c r="AB41" s="58" t="str">
        <f aca="false">IF(Tasks[[#This Row],[Task Name]]="","",IF(Tasks[[#This Row],[_IsSummary]],MAX(INDEX(Tasks[_LeafLateFinish],Tasks[[#This Row],[_Row]]+1):INDEX(Tasks[_LeafLateFinish],Tasks[[#This Row],[_Row]]+Tasks[[#This Row],[_Descendants]])),Tasks[[#This Row],[_LeafLateFinish]]))</f>
        <v/>
      </c>
      <c r="AC41" s="67" t="str">
        <f aca="false">IF(Tasks[[#This Row],[Task Name]]="","",IF(Tasks[[#This Row],[_IsSummary]],MIN(INDEX(Tasks[_LeafTotalSlack],Tasks[[#This Row],[_Row]]+1):INDEX(Tasks[_LeafTotalSlack],Tasks[[#This Row],[_Row]]+Tasks[[#This Row],[_Descendants]])),Tasks[[#This Row],[_LeafTotalSlack]]))</f>
        <v/>
      </c>
      <c r="AD4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4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4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41" s="60"/>
      <c r="AH4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4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41" s="69" t="str">
        <f aca="false">IF(Tasks[[#This Row],[Task Name]]="","",IF(Tasks[[#This Row],[_IsSummary]],SUM(INDEX(Tasks[_LeafTotalWork],Tasks[[#This Row],[_Row]]+1):INDEX(Tasks[_LeafTotalWork],Tasks[[#This Row],[_Row]]+Tasks[[#This Row],[_Descendants]])),Tasks[[#This Row],[_LeafTotalWork]]))</f>
        <v/>
      </c>
      <c r="AK4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41" s="70" t="str">
        <f aca="false">IF(Tasks[[#This Row],[Task Name]]="","",IF(Tasks[[#This Row],[_IsSummary]],SUM(INDEX(Tasks[_LeafTotalCost],Tasks[[#This Row],[_Row]]+1):INDEX(Tasks[_LeafTotalCost],Tasks[[#This Row],[_Row]]+Tasks[[#This Row],[_Descendants]])),Tasks[[#This Row],[_LeafTotalCost]]))</f>
        <v/>
      </c>
      <c r="AM41" s="71"/>
      <c r="AN41" s="20" t="str">
        <f aca="false">IF(OR(Tasks[[#This Row],[Task Name]]="",Tasks[[#This Row],[Baseline Duration]]=""),"",Tasks[[#This Row],[BL Source Duration]]-N(Tasks[[#This Row],[Baseline Duration]]))</f>
        <v/>
      </c>
      <c r="AO41" s="69" t="str">
        <f aca="false">IF(OR(Tasks[[#This Row],[Task Name]]="",Tasks[[#This Row],[Baseline Work]]=""),"",Tasks[[#This Row],[Work]]-N(Tasks[[#This Row],[Baseline Work]]))</f>
        <v/>
      </c>
      <c r="AP41" s="70" t="str">
        <f aca="false">IF(OR(Tasks[[#This Row],[Task Name]]="",Tasks[[#This Row],[Baseline Cost]]=""),"",Tasks[[#This Row],[Cost]]-N(Tasks[[#This Row],[Baseline Cost]]))</f>
        <v/>
      </c>
      <c r="AQ41" s="58" t="str">
        <f aca="false">IF(Tasks[[#This Row],[Task Name]]="","",Tasks[[#This Row],[Start]])</f>
        <v/>
      </c>
      <c r="AR41" s="58" t="str">
        <f aca="false">IF(Tasks[[#This Row],[Task Name]]="","",Tasks[[#This Row],[Finish]])</f>
        <v/>
      </c>
      <c r="AS41" s="67" t="str">
        <f aca="false">IF(Tasks[[#This Row],[Task Name]]="","",IF(Tasks[[#This Row],[_IsSummary]],NETWORKDAYS.INTL(Tasks[[#This Row],[Start]],Tasks[[#This Row],[Finish]],WorkWeek,Holidays),N(Tasks[[#This Row],[Duration]])))</f>
        <v/>
      </c>
      <c r="AT41" s="69" t="str">
        <f aca="false">IF(Tasks[[#This Row],[Task Name]]="","",Tasks[[#This Row],[Work]])</f>
        <v/>
      </c>
      <c r="AU41" s="70" t="str">
        <f aca="false">IF(Tasks[[#This Row],[Task Name]]="","",Tasks[[#This Row],[Cost]])</f>
        <v/>
      </c>
      <c r="AV41" s="7"/>
      <c r="AW41" s="7"/>
      <c r="AX41" s="21"/>
      <c r="AY41" s="72"/>
      <c r="AZ41" s="71"/>
      <c r="BA41" s="70" t="str">
        <f aca="false">IF(Tasks[[#This Row],[Task Name]]="","",IF(Tasks[[#This Row],[_IsSummary]],SUM(INDEX(Tasks[_LeafEV],Tasks[[#This Row],[_Row]]+1):INDEX(Tasks[_LeafEV],Tasks[[#This Row],[_Row]]+Tasks[[#This Row],[_Descendants]])),Tasks[[#This Row],[_LeafEV]]))</f>
        <v/>
      </c>
      <c r="BB41" s="70" t="str">
        <f aca="false">IF(Tasks[[#This Row],[Task Name]]="","",IF(Tasks[[#This Row],[_IsSummary]],SUM(INDEX(Tasks[_LeafBudget],Tasks[[#This Row],[_Row]]+1):INDEX(Tasks[_LeafBudget],Tasks[[#This Row],[_Row]]+Tasks[[#This Row],[_Descendants]])),Tasks[[#This Row],[_LeafBudget]]))</f>
        <v/>
      </c>
      <c r="BC41" s="70" t="str">
        <f aca="false">IF(Tasks[[#This Row],[Task Name]]="","",IF(Tasks[[#This Row],[_IsSummary]],SUM(INDEX(Tasks[_LeafPV],Tasks[[#This Row],[_Row]]+1):INDEX(Tasks[_LeafPV],Tasks[[#This Row],[_Row]]+Tasks[[#This Row],[_Descendants]])),Tasks[[#This Row],[_LeafPV]]))</f>
        <v/>
      </c>
      <c r="BD41" s="70" t="str">
        <f aca="false">IF(Tasks[[#This Row],[Task Name]]="","",IF(Tasks[[#This Row],[_IsSummary]],SUM(INDEX(Tasks[_LeafAC],Tasks[[#This Row],[_Row]]+1):INDEX(Tasks[_LeafAC],Tasks[[#This Row],[_Row]]+Tasks[[#This Row],[_Descendants]])),Tasks[[#This Row],[_LeafAC]]))</f>
        <v/>
      </c>
      <c r="BE41" s="45" t="str">
        <f aca="false">IF(Tasks[[#This Row],[Task Name]]="","",MAX(1,N(Tasks[[#This Row],[Level]])))</f>
        <v/>
      </c>
      <c r="BF41" s="45" t="n">
        <f aca="false">ROW()-ROW(Tasks[[#Headers],[ID]])</f>
        <v>36</v>
      </c>
      <c r="BG41" s="45" t="n">
        <f aca="false">IF(OR(Tasks[[#This Row],[Task Name]]="",Tasks[[#This Row],[_Level]]&lt;=1),0,IFERROR(LOOKUP(2,1/(Tasks[[#Headers],[_Level]]:Tasks[[#This Row],[_Level]]=Tasks[[#This Row],[_Level]]-1),ROW(Tasks[[#Headers],[_Level]]:Tasks[[#This Row],[_Level]])),0))</f>
        <v>0</v>
      </c>
      <c r="BH41" s="45" t="n">
        <f aca="false">IFERROR(N(INDEX(Tasks[_Level],Tasks[[#This Row],[_Row]]+1)),0)</f>
        <v>0</v>
      </c>
      <c r="BI41" s="73" t="b">
        <f aca="false">AND(Tasks[[#This Row],[Task Name]]&lt;&gt;"",Tasks[[#This Row],[_NextLevel]]&gt;Tasks[[#This Row],[_Level]])</f>
        <v>0</v>
      </c>
      <c r="BJ41" s="45" t="n">
        <f aca="false">IF(Tasks[[#This Row],[_IsSummary]],COUNTIF(Tasks[WBS],Tasks[[#This Row],[WBS]]&amp;".*"),0)</f>
        <v>0</v>
      </c>
      <c r="BK41" s="45" t="n">
        <f aca="false">IF(AND(Tasks[[#This Row],[Task Name]]&lt;&gt;"",NOT(Tasks[[#This Row],[_IsSummary]])),1,0)</f>
        <v>0</v>
      </c>
      <c r="BL41" s="45" t="n">
        <f aca="false">IF(N(Tasks[[#This Row],[_Pred1UID]])=0,0,IFERROR(MATCH(Tasks[[#This Row],[_Pred1UID]],Tasks[UID],0),-1))</f>
        <v>0</v>
      </c>
      <c r="BM41" s="45" t="n">
        <f aca="false">IF(N(Tasks[[#This Row],[_Pred2UID]])=0,0,IFERROR(MATCH(Tasks[[#This Row],[_Pred2UID]],Tasks[UID],0),-1))</f>
        <v>0</v>
      </c>
      <c r="BN41" s="45" t="n">
        <f aca="false">IF(N(Tasks[[#This Row],[_Pred3UID]])=0,0,IFERROR(MATCH(Tasks[[#This Row],[_Pred3UID]],Tasks[UID],0),-1))</f>
        <v>0</v>
      </c>
      <c r="BO41" s="45" t="n">
        <f aca="false">IF(N(Tasks[[#This Row],[_Pred4UID]])=0,0,IFERROR(MATCH(Tasks[[#This Row],[_Pred4UID]],Tasks[UID],0),-1))</f>
        <v>0</v>
      </c>
      <c r="BP4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4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41" s="74" t="n">
        <f aca="false">IF(OR(Tasks[[#This Row],[_ConstraintCode]]=2,Tasks[[#This Row],[_ConstraintCode]]=3,Tasks[[#This Row],[_ConstraintCode]]=4,Tasks[[#This Row],[_ConstraintCode]]=6),Tasks[[#This Row],[_ConstraintStart]],0)</f>
        <v>0</v>
      </c>
      <c r="BS41" s="74" t="n">
        <f aca="false">IF(OR(Tasks[[#This Row],[_ConstraintCode]]=2,Tasks[[#This Row],[_ConstraintCode]]=3,Tasks[[#This Row],[_ConstraintCode]]=5,Tasks[[#This Row],[_ConstraintCode]]=7),Tasks[[#This Row],[_ConstraintStart]],2958465)</f>
        <v>2958465</v>
      </c>
      <c r="BT4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41" s="74" t="str">
        <f aca="false">IF(NOT(Tasks[[#This Row],[_IsLeaf]]=1),"",IF(N(Tasks[[#This Row],[Duration]])&lt;=0,Tasks[[#This Row],[_LeafCalcStart]],WORKDAY.INTL(Tasks[[#This Row],[_LeafCalcStart]],Tasks[[#This Row],[Duration]]-1,WorkWeek,Holidays)))</f>
        <v/>
      </c>
      <c r="BV4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4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41" s="45" t="str">
        <f aca="false">IF(Tasks[[#This Row],[Predecessors]]="","",TRIM(MID(SUBSTITUTE(SUBSTITUTE(SUBSTITUTE(UPPER(Tasks[[#This Row],[Predecessors]]),";",",")," ",""),",",REPT(" ",99)),1,99)))</f>
        <v/>
      </c>
      <c r="BY41" s="45" t="str">
        <f aca="false">IF(Tasks[[#This Row],[_Pred1Text]]="","",IFERROR(VALUE(LEFT(Tasks[[#This Row],[_Pred1Text]],MIN(FIND("F",Tasks[[#This Row],[_Pred1Text]]&amp;"F"),FIND("S",Tasks[[#This Row],[_Pred1Text]]&amp;"S"),FIND("+",Tasks[[#This Row],[_Pred1Text]]&amp;"+"),FIND("-",Tasks[[#This Row],[_Pred1Text]]&amp;"-"))-1)),""))</f>
        <v/>
      </c>
      <c r="BZ4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4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41" s="45" t="str">
        <f aca="false">IF(Tasks[[#This Row],[_Pred1Text]]="","",TRIM(MID(SUBSTITUTE(SUBSTITUTE(SUBSTITUTE(UPPER(Tasks[[#This Row],[Predecessors]]),";",",")," ",""),",",REPT(" ",99)),100,99)))</f>
        <v/>
      </c>
      <c r="CC41" s="45" t="str">
        <f aca="false">IF(Tasks[[#This Row],[_Pred2Text]]="","",IFERROR(VALUE(LEFT(Tasks[[#This Row],[_Pred2Text]],MIN(FIND("F",Tasks[[#This Row],[_Pred2Text]]&amp;"F"),FIND("S",Tasks[[#This Row],[_Pred2Text]]&amp;"S"),FIND("+",Tasks[[#This Row],[_Pred2Text]]&amp;"+"),FIND("-",Tasks[[#This Row],[_Pred2Text]]&amp;"-"))-1)),""))</f>
        <v/>
      </c>
      <c r="CD4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4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41" s="45" t="str">
        <f aca="false">IF(Tasks[[#This Row],[_Pred2Text]]="","",TRIM(MID(SUBSTITUTE(SUBSTITUTE(SUBSTITUTE(UPPER(Tasks[[#This Row],[Predecessors]]),";",",")," ",""),",",REPT(" ",99)),199,99)))</f>
        <v/>
      </c>
      <c r="CG41" s="45" t="str">
        <f aca="false">IF(Tasks[[#This Row],[_Pred3Text]]="","",IFERROR(VALUE(LEFT(Tasks[[#This Row],[_Pred3Text]],MIN(FIND("F",Tasks[[#This Row],[_Pred3Text]]&amp;"F"),FIND("S",Tasks[[#This Row],[_Pred3Text]]&amp;"S"),FIND("+",Tasks[[#This Row],[_Pred3Text]]&amp;"+"),FIND("-",Tasks[[#This Row],[_Pred3Text]]&amp;"-"))-1)),""))</f>
        <v/>
      </c>
      <c r="CH4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4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41" s="45" t="str">
        <f aca="false">IF(Tasks[[#This Row],[_Pred3Text]]="","",TRIM(MID(SUBSTITUTE(SUBSTITUTE(SUBSTITUTE(UPPER(Tasks[[#This Row],[Predecessors]]),";",",")," ",""),",",REPT(" ",99)),298,99)))</f>
        <v/>
      </c>
      <c r="CK41" s="45" t="str">
        <f aca="false">IF(Tasks[[#This Row],[_Pred4Text]]="","",IFERROR(VALUE(LEFT(Tasks[[#This Row],[_Pred4Text]],MIN(FIND("F",Tasks[[#This Row],[_Pred4Text]]&amp;"F"),FIND("S",Tasks[[#This Row],[_Pred4Text]]&amp;"S"),FIND("+",Tasks[[#This Row],[_Pred4Text]]&amp;"+"),FIND("-",Tasks[[#This Row],[_Pred4Text]]&amp;"-"))-1)),""))</f>
        <v/>
      </c>
      <c r="CL4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4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41" s="45" t="str">
        <f aca="false">IF(OR(Tasks[[#This Row],[Task Name]]="",Tasks[[#This Row],[Resources]]=""),"",TRIM(MID(SUBSTITUTE(Tasks[[#This Row],[Resources]],",",REPT(" ",99)),1,99)))</f>
        <v/>
      </c>
      <c r="CO41" s="45" t="str">
        <f aca="false">IF(Tasks[[#This Row],[_Res1Text]]="","",TRIM(MID(SUBSTITUTE(Tasks[[#This Row],[Resources]],",",REPT(" ",99)),100,99)))</f>
        <v/>
      </c>
      <c r="CP41" s="45" t="str">
        <f aca="false">IF(Tasks[[#This Row],[_Res2Text]]="","",TRIM(MID(SUBSTITUTE(Tasks[[#This Row],[Resources]],",",REPT(" ",99)),199,99)))</f>
        <v/>
      </c>
      <c r="CQ41" s="45" t="str">
        <f aca="false">IF(Tasks[[#This Row],[_Res3Text]]="","",TRIM(MID(SUBSTITUTE(Tasks[[#This Row],[Resources]],",",REPT(" ",99)),298,99)))</f>
        <v/>
      </c>
      <c r="CR4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4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1" s="45" t="n">
        <f aca="false">IF(NOT(Tasks[[#This Row],[_IsLeaf]]=1),0,(Tasks[[#This Row],[_Resource1]]&lt;&gt;"")+(Tasks[[#This Row],[_Res2]]&lt;&gt;"")+(Tasks[[#This Row],[_Res3]]&lt;&gt;"")+(Tasks[[#This Row],[_Res4]]&lt;&gt;""))</f>
        <v>0</v>
      </c>
      <c r="CU4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4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1" s="45" t="n">
        <f aca="false">IF(OR(NOT(Tasks[[#This Row],[_IsLeaf]]=1),Tasks[[#This Row],[_Res2]]=""),0,IF(ISNA(MATCH(Tasks[[#This Row],[_Res2]],res_Name,0)),0,N(Tasks[[#This Row],[Duration]])*HoursPerDay*IF(Tasks[[#This Row],[_Res2Units]]="",DefaultUnits,Tasks[[#This Row],[_Res2Units]])))</f>
        <v>0</v>
      </c>
      <c r="CX41" s="45" t="n">
        <f aca="false">IF(Tasks[[#This Row],[_Res2Work]]=0,0,Tasks[[#This Row],[_Res2Work]]*IFERROR(INDEX(res_Rate,MATCH(Tasks[[#This Row],[_Res2]],res_Name,0)),0))</f>
        <v>0</v>
      </c>
      <c r="CY41" s="45" t="n">
        <f aca="false">IF(AND(AND(Tasks[[#This Row],[_IsLeaf]]=1,Tasks[[#This Row],[_LeafTotalWork]]&gt;0),Tasks[[#This Row],[_Res2Work]]&gt;0),Tasks[[#This Row],[_Res2Work]]/(Tasks[[#This Row],[_FinishWorkday]]-Tasks[[#This Row],[_StartWorkday]]+1),0)</f>
        <v>0</v>
      </c>
      <c r="CZ41" s="45" t="n">
        <f aca="false">Tasks[[#This Row],[_Res2WorkPerWD]]*MAX(0,Tasks[[#This Row],[_StartWorkday]]-1)</f>
        <v>0</v>
      </c>
      <c r="DA41" s="45" t="n">
        <f aca="false">Tasks[[#This Row],[_Res2Work]]*Tasks[[#This Row],[_LeafProgress]]</f>
        <v>0</v>
      </c>
      <c r="DB41" s="45" t="n">
        <f aca="false">IF(Tasks[[#This Row],[_LeafTotalCost]]=0,0,Tasks[[#This Row],[_LeafAC]]*Tasks[[#This Row],[_Res2Cost]]/Tasks[[#This Row],[_LeafTotalCost]])</f>
        <v>0</v>
      </c>
      <c r="DC4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4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41" s="45" t="n">
        <f aca="false">IF(OR(NOT(Tasks[[#This Row],[_IsLeaf]]=1),Tasks[[#This Row],[_Res3]]=""),0,IF(ISNA(MATCH(Tasks[[#This Row],[_Res3]],res_Name,0)),0,N(Tasks[[#This Row],[Duration]])*HoursPerDay*IF(Tasks[[#This Row],[_Res3Units]]="",DefaultUnits,Tasks[[#This Row],[_Res3Units]])))</f>
        <v>0</v>
      </c>
      <c r="DF41" s="45" t="n">
        <f aca="false">IF(Tasks[[#This Row],[_Res3Work]]=0,0,Tasks[[#This Row],[_Res3Work]]*IFERROR(INDEX(res_Rate,MATCH(Tasks[[#This Row],[_Res3]],res_Name,0)),0))</f>
        <v>0</v>
      </c>
      <c r="DG41" s="45" t="n">
        <f aca="false">IF(AND(AND(Tasks[[#This Row],[_IsLeaf]]=1,Tasks[[#This Row],[_LeafTotalWork]]&gt;0),Tasks[[#This Row],[_Res3Work]]&gt;0),Tasks[[#This Row],[_Res3Work]]/(Tasks[[#This Row],[_FinishWorkday]]-Tasks[[#This Row],[_StartWorkday]]+1),0)</f>
        <v>0</v>
      </c>
      <c r="DH41" s="45" t="n">
        <f aca="false">Tasks[[#This Row],[_Res3WorkPerWD]]*MAX(0,Tasks[[#This Row],[_StartWorkday]]-1)</f>
        <v>0</v>
      </c>
      <c r="DI41" s="45" t="n">
        <f aca="false">Tasks[[#This Row],[_Res3Work]]*Tasks[[#This Row],[_LeafProgress]]</f>
        <v>0</v>
      </c>
      <c r="DJ41" s="45" t="n">
        <f aca="false">IF(Tasks[[#This Row],[_LeafTotalCost]]=0,0,Tasks[[#This Row],[_LeafAC]]*Tasks[[#This Row],[_Res3Cost]]/Tasks[[#This Row],[_LeafTotalCost]])</f>
        <v>0</v>
      </c>
      <c r="DK4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4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41" s="45" t="n">
        <f aca="false">IF(OR(NOT(Tasks[[#This Row],[_IsLeaf]]=1),Tasks[[#This Row],[_Res4]]=""),0,IF(ISNA(MATCH(Tasks[[#This Row],[_Res4]],res_Name,0)),0,N(Tasks[[#This Row],[Duration]])*HoursPerDay*IF(Tasks[[#This Row],[_Res4Units]]="",DefaultUnits,Tasks[[#This Row],[_Res4Units]])))</f>
        <v>0</v>
      </c>
      <c r="DN41" s="45" t="n">
        <f aca="false">IF(Tasks[[#This Row],[_Res4Work]]=0,0,Tasks[[#This Row],[_Res4Work]]*IFERROR(INDEX(res_Rate,MATCH(Tasks[[#This Row],[_Res4]],res_Name,0)),0))</f>
        <v>0</v>
      </c>
      <c r="DO41" s="45" t="n">
        <f aca="false">IF(AND(AND(Tasks[[#This Row],[_IsLeaf]]=1,Tasks[[#This Row],[_LeafTotalWork]]&gt;0),Tasks[[#This Row],[_Res4Work]]&gt;0),Tasks[[#This Row],[_Res4Work]]/(Tasks[[#This Row],[_FinishWorkday]]-Tasks[[#This Row],[_StartWorkday]]+1),0)</f>
        <v>0</v>
      </c>
      <c r="DP41" s="45" t="n">
        <f aca="false">Tasks[[#This Row],[_Res4WorkPerWD]]*MAX(0,Tasks[[#This Row],[_StartWorkday]]-1)</f>
        <v>0</v>
      </c>
      <c r="DQ41" s="45" t="n">
        <f aca="false">Tasks[[#This Row],[_Res4Work]]*Tasks[[#This Row],[_LeafProgress]]</f>
        <v>0</v>
      </c>
      <c r="DR41" s="45" t="n">
        <f aca="false">IF(Tasks[[#This Row],[_LeafTotalCost]]=0,0,Tasks[[#This Row],[_LeafAC]]*Tasks[[#This Row],[_Res4Cost]]/Tasks[[#This Row],[_LeafTotalCost]])</f>
        <v>0</v>
      </c>
      <c r="DS41" s="45" t="n">
        <f aca="false">IF(ISNUMBER(Tasks[[#This Row],[% Complete]]),Tasks[[#This Row],[% Complete]],IF(Tasks[[#This Row],[Stage]]="",0,IFERROR(INDEX(stg_Pct,MATCH(Tasks[[#This Row],[Stage]],stg_Name,0)),0)))</f>
        <v>0</v>
      </c>
      <c r="DT41" s="45" t="n">
        <f aca="false">IF(NOT(Tasks[[#This Row],[_IsLeaf]]=1),0,IF(N(Tasks[[#This Row],[Actual Finish]])&gt;0,1,MIN(1,Tasks[[#This Row],[_Pct]])))</f>
        <v>0</v>
      </c>
      <c r="DU41" s="45" t="n">
        <f aca="false">IF(OR(NOT(Tasks[[#This Row],[_IsLeaf]]=1),Tasks[[#This Row],[_Resource1]]=""),0,IF(ISNA(MATCH(Tasks[[#This Row],[_Resource1]],res_Name,0)),0,N(Tasks[[#This Row],[Duration]])*HoursPerDay*IF(Tasks[[#This Row],[_Units1]]="",DefaultUnits,Tasks[[#This Row],[_Units1]])))</f>
        <v>0</v>
      </c>
      <c r="DV41" s="45" t="n">
        <f aca="false">IF(Tasks[[#This Row],[_LeafWork]]=0,0,Tasks[[#This Row],[_LeafWork]]*IFERROR(INDEX(res_Rate,MATCH(Tasks[[#This Row],[_Resource1]],res_Name,0)),0))</f>
        <v>0</v>
      </c>
      <c r="DW41" s="45" t="n">
        <f aca="false">Tasks[[#This Row],[_LeafWork]]+Tasks[[#This Row],[_Res2Work]]+Tasks[[#This Row],[_Res3Work]]+Tasks[[#This Row],[_Res4Work]]</f>
        <v>0</v>
      </c>
      <c r="DX41" s="45" t="n">
        <f aca="false">Tasks[[#This Row],[_LeafCost]]+Tasks[[#This Row],[_Res2Cost]]+Tasks[[#This Row],[_Res3Cost]]+Tasks[[#This Row],[_Res4Cost]]</f>
        <v>0</v>
      </c>
      <c r="DY41" s="45" t="n">
        <f aca="false">IF(Tasks[[#This Row],[_LeafTotalCost]]=0,Tasks[[#This Row],[_LeafAC]],Tasks[[#This Row],[_LeafAC]]*Tasks[[#This Row],[_LeafCost]]/Tasks[[#This Row],[_LeafTotalCost]])</f>
        <v>0</v>
      </c>
      <c r="DZ4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4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4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4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4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4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4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4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41" s="45" t="n">
        <f aca="false">IF(NOT(Tasks[[#This Row],[_IsLeaf]]=1),0,MAX(_xlfn.MAXIFS(Tasks[_Row],Tasks[_Pred1UID],Tasks[[#This Row],[UID]]),_xlfn.MAXIFS(Tasks[_Row],Tasks[_Pred2UID],Tasks[[#This Row],[UID]]),_xlfn.MAXIFS(Tasks[_Row],Tasks[_Pred3UID],Tasks[[#This Row],[UID]]),_xlfn.MAXIFS(Tasks[_Row],Tasks[_Pred4UID],Tasks[[#This Row],[UID]])))</f>
        <v>0</v>
      </c>
      <c r="EI4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4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41" s="74" t="str">
        <f aca="false">IF(NOT(Tasks[[#This Row],[_IsLeaf]]=1),"",IF(N(Tasks[[#This Row],[Duration]])&lt;=0,Tasks[[#This Row],[_LeafLateFinish]],WORKDAY.INTL(Tasks[[#This Row],[_LeafLateFinish]],-(Tasks[[#This Row],[Duration]]-1),WorkWeek,Holidays)))</f>
        <v/>
      </c>
      <c r="EL4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41" s="73" t="b">
        <f aca="false">AND(Tasks[[#This Row],[_IsLeaf]]=1,Tasks[[#This Row],[_LeafProgress]]&lt;1,N(Tasks[[#This Row],[_LeafTotalSlack]])&lt;=CriticalSlackDays)</f>
        <v>0</v>
      </c>
      <c r="EN41" s="45" t="n">
        <f aca="false">IF(AND(Tasks[[#This Row],[_IsLeaf]]=1,Tasks[[#This Row],[_ConstraintCode]]=1,Tasks[[#This Row],[Mode]]&lt;&gt;"Manual",N(Tasks[[#This Row],[Actual Start]])=0),MAX(0,N(Tasks[[#This Row],[Free Slack]])),0)</f>
        <v>0</v>
      </c>
      <c r="EO41" s="74" t="str">
        <f aca="false">IF(NOT(Tasks[[#This Row],[_IsLeaf]]=1),"",IF(Tasks[[#This Row],[_AlapShift]]=0,Tasks[[#This Row],[_LeafCalcStart]],WORKDAY.INTL(Tasks[[#This Row],[_LeafCalcStart]],Tasks[[#This Row],[_AlapShift]],WorkWeek,Holidays)))</f>
        <v/>
      </c>
      <c r="EP41" s="74" t="str">
        <f aca="false">IF(NOT(Tasks[[#This Row],[_IsLeaf]]=1),"",IF(Tasks[[#This Row],[_AlapShift]]=0,Tasks[[#This Row],[_LeafCalcFinish]],WORKDAY.INTL(Tasks[[#This Row],[_LeafCalcFinish]],Tasks[[#This Row],[_AlapShift]],WorkWeek,Holidays)))</f>
        <v/>
      </c>
      <c r="EQ41" s="74" t="str">
        <f aca="false">IF(NOT(Tasks[[#This Row],[_IsLeaf]]=1),"",IF(Tasks[[#This Row],[_AlapShift]]=0,Tasks[[#This Row],[_LeafFcstStart]],WORKDAY.INTL(Tasks[[#This Row],[_LeafFcstStart]],Tasks[[#This Row],[_AlapShift]],WorkWeek,Holidays)))</f>
        <v/>
      </c>
      <c r="ER41" s="74" t="str">
        <f aca="false">IF(NOT(Tasks[[#This Row],[_IsLeaf]]=1),"",IF(Tasks[[#This Row],[_AlapShift]]=0,Tasks[[#This Row],[_LeafFcstFinish]],WORKDAY.INTL(Tasks[[#This Row],[_LeafFcstFinish]],Tasks[[#This Row],[_AlapShift]],WorkWeek,Holidays)))</f>
        <v/>
      </c>
      <c r="ES41" s="74" t="str">
        <f aca="false">IF(Tasks[[#This Row],[Task Name]]="","",IF(Tasks[[#This Row],[_IsSummary]],MIN(INDEX(Tasks[_ShownCalcStart],Tasks[[#This Row],[_Row]]+1):INDEX(Tasks[_ShownCalcStart],Tasks[[#This Row],[_Row]]+Tasks[[#This Row],[_Descendants]])),Tasks[[#This Row],[_ShownCalcStart]]))</f>
        <v/>
      </c>
      <c r="ET41" s="74" t="str">
        <f aca="false">IF(Tasks[[#This Row],[Task Name]]="","",IF(Tasks[[#This Row],[_IsSummary]],MAX(INDEX(Tasks[_ShownCalcFinish],Tasks[[#This Row],[_Row]]+1):INDEX(Tasks[_ShownCalcFinish],Tasks[[#This Row],[_Row]]+Tasks[[#This Row],[_Descendants]])),Tasks[[#This Row],[_ShownCalcFinish]]))</f>
        <v/>
      </c>
      <c r="EU4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4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4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4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4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4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4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4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4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4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4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4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41" s="45" t="n">
        <f aca="false">IF(AND(Tasks[[#This Row],[_IsLeaf]]=1,Tasks[[#This Row],[_LeafTotalWork]]&gt;0),NETWORKDAYS.INTL(ProjectStart,Tasks[[#This Row],[_ShownFcstStart]],WorkWeek,Holidays),0)</f>
        <v>0</v>
      </c>
      <c r="FH41" s="45" t="n">
        <f aca="false">IF(AND(Tasks[[#This Row],[_IsLeaf]]=1,Tasks[[#This Row],[_LeafTotalWork]]&gt;0),MAX(Tasks[[#This Row],[_StartWorkday]],NETWORKDAYS.INTL(ProjectStart,Tasks[[#This Row],[_ShownFcstFinish]],WorkWeek,Holidays)),0)</f>
        <v>0</v>
      </c>
      <c r="FI41" s="45" t="n">
        <f aca="false">IF(AND(Tasks[[#This Row],[_IsLeaf]]=1,Tasks[[#This Row],[_LeafTotalWork]]&gt;0),Tasks[[#This Row],[_LeafWork]]/(Tasks[[#This Row],[_FinishWorkday]]-Tasks[[#This Row],[_StartWorkday]]+1),0)</f>
        <v>0</v>
      </c>
      <c r="FJ41" s="45" t="n">
        <f aca="false">Tasks[[#This Row],[_WorkPerWorkday]]*(Tasks[[#This Row],[_StartWorkday]]-1)</f>
        <v>-0</v>
      </c>
      <c r="FK41" s="45" t="n">
        <f aca="false">IF(Tasks[[#This Row],[_IsLeaf]]=1,MAX(N(Tasks[[#This Row],[Duration]]),0.1),0)</f>
        <v>0</v>
      </c>
      <c r="FL41" s="45" t="n">
        <f aca="false">Tasks[[#This Row],[_WeightDur]]*Tasks[[#This Row],[_LeafProgress]]</f>
        <v>0</v>
      </c>
      <c r="FM4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41" s="45" t="str">
        <f aca="false">IF(AND(Tasks[[#This Row],[_IsLeaf]]=1,N(Tasks[[#This Row],[Duration]])=0,Tasks[[#This Row],[_LeafProgress]]&lt;1),Tasks[[#This Row],[_ShownFcstFinish]]+Tasks[[#This Row],[_Row]]/100000,"")</f>
        <v/>
      </c>
      <c r="FO4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41" s="45" t="n">
        <f aca="false">IF(NOT(Tasks[[#This Row],[_IsLeaf]]=1),0,IF(Tasks[[#This Row],[Baseline Cost]]="",Tasks[[#This Row],[_LeafTotalCost]],N(Tasks[[#This Row],[Baseline Cost]])))</f>
        <v>0</v>
      </c>
      <c r="FQ41" s="45" t="n">
        <f aca="false">Tasks[[#This Row],[_LeafBudget]]*Tasks[[#This Row],[_PlannedPct]]</f>
        <v>0</v>
      </c>
      <c r="FR41" s="45" t="n">
        <f aca="false">Tasks[[#This Row],[_LeafBudget]]*Tasks[[#This Row],[_LeafProgress]]</f>
        <v>0</v>
      </c>
      <c r="FS41" s="45" t="n">
        <f aca="false">IF(NOT(Tasks[[#This Row],[_IsLeaf]]=1),0,IF(Tasks[[#This Row],[Actual Cost]]="",Tasks[[#This Row],[_LeafTotalCost]]*Tasks[[#This Row],[_LeafProgress]],N(Tasks[[#This Row],[Actual Cost]])))</f>
        <v>0</v>
      </c>
      <c r="FT41" s="45" t="str">
        <f aca="false">IF(Tasks[[#This Row],[Task Name]]="","",LEFT(Tasks[[#This Row],[WBS]],FIND(".",Tasks[[#This Row],[WBS]]&amp;".")-1))</f>
        <v/>
      </c>
      <c r="FU41" s="45" t="str">
        <f aca="false">IF(AND(Tasks[[#This Row],[Task Name]]&lt;&gt;"",Tasks[[#This Row],[_Level]]=1),Tasks[[#This Row],[_Row]],"")</f>
        <v/>
      </c>
      <c r="FV41" s="45" t="str">
        <f aca="false">IF(AND(Tasks[[#This Row],[_IsLeaf]]=1,N(Tasks[[#This Row],[Duration]])=0),Tasks[[#This Row],[Planned Finish]]+Tasks[[#This Row],[_Row]]/100000,"")</f>
        <v/>
      </c>
      <c r="FW41" s="45" t="str">
        <f aca="false">IF(AND(Tasks[[#This Row],[_IsLeaf]]=1,Tasks[[#This Row],[_LeafProgress]]&lt;1,OR(N(Tasks[[#This Row],[Finish Var]])&gt;0,Tasks[[#This Row],[Status]]="Late Start")),MAX(0,Tasks[[#This Row],[Finish Var]])+1-Tasks[[#This Row],[_Row]]/1000000,"")</f>
        <v/>
      </c>
      <c r="FX41" s="45" t="str">
        <f aca="false">IF(AND(Tasks[[#This Row],[_IsLeaf]]=1,N(Tasks[[#This Row],[Actual Start]])=0,Tasks[[#This Row],[_ShownFcstStart]]&gt;=StatusDate,Tasks[[#This Row],[_ShownFcstStart]]&lt;=LookaheadEnd),Tasks[[#This Row],[_ShownFcstStart]]+Tasks[[#This Row],[_Row]]/100000,"")</f>
        <v/>
      </c>
      <c r="FY41" s="45" t="str">
        <f aca="false">IF(AND(Tasks[[#This Row],[_IsLeaf]]=1,Tasks[[#This Row],[_LeafProgress]]&lt;1,Tasks[[#This Row],[_ShownFcstFinish]]&gt;=StatusDate,Tasks[[#This Row],[_ShownFcstFinish]]&lt;=LookaheadEnd),Tasks[[#This Row],[_ShownFcstFinish]]+Tasks[[#This Row],[_Row]]/100000,"")</f>
        <v/>
      </c>
      <c r="FZ41" s="45" t="str">
        <f aca="false">IF(Tasks[[#This Row],[_LeafCritical]],Tasks[[#This Row],[_ShownFcstStart]]+Tasks[[#This Row],[_Row]]/100000,"")</f>
        <v/>
      </c>
      <c r="GA41" s="45" t="n">
        <f aca="false">Tasks[[#This Row],[_LeafWork]]*Tasks[[#This Row],[_LeafProgress]]</f>
        <v>0</v>
      </c>
      <c r="GB41" s="74" t="str">
        <f aca="false">IF(AND(Tasks[[#This Row],[_IsLeaf]]=1,Tasks[[#This Row],[_LeafProgress]]&gt;=1),IF(N(Tasks[[#This Row],[Actual Finish]])&gt;0,Tasks[[#This Row],[Actual Finish]],Tasks[[#This Row],[_ShownFcstFinish]]),"")</f>
        <v/>
      </c>
    </row>
    <row r="42" customFormat="false" ht="15" hidden="false" customHeight="false" outlineLevel="0" collapsed="false">
      <c r="A42" s="67" t="str">
        <f aca="false">IF(Tasks[[#This Row],[Task Name]]="","",COUNTA(Tasks[[#Headers],[Task Name]]:Tasks[[#This Row],[Task Name]])-1)</f>
        <v/>
      </c>
      <c r="B42" s="21" t="n">
        <v>37</v>
      </c>
      <c r="C4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21"/>
      <c r="E42" s="22"/>
      <c r="F42" s="21"/>
      <c r="G42" s="22"/>
      <c r="H42" s="22"/>
      <c r="I42" s="22"/>
      <c r="J42" s="7"/>
      <c r="K42" s="7"/>
      <c r="L42" s="22"/>
      <c r="M42" s="58" t="str">
        <f aca="false">IF(Tasks[[#This Row],[Task Name]]="","",IF(Tasks[[#This Row],[_IsSummary]],MIN(INDEX(Tasks[_ShownFcstStart],Tasks[[#This Row],[_Row]]+1):INDEX(Tasks[_ShownFcstStart],Tasks[[#This Row],[_Row]]+Tasks[[#This Row],[_Descendants]])),Tasks[[#This Row],[_ShownFcstStart]]))</f>
        <v/>
      </c>
      <c r="N42" s="58" t="str">
        <f aca="false">IF(Tasks[[#This Row],[Task Name]]="","",IF(Tasks[[#This Row],[_IsSummary]],MAX(INDEX(Tasks[_ShownFcstFinish],Tasks[[#This Row],[_Row]]+1):INDEX(Tasks[_ShownFcstFinish],Tasks[[#This Row],[_Row]]+Tasks[[#This Row],[_Descendants]])),Tasks[[#This Row],[_ShownFcstFinish]]))</f>
        <v/>
      </c>
      <c r="O42" s="20" t="str">
        <f aca="false">IF(Tasks[[#This Row],[Task Name]]="","",IF(Tasks[[#This Row],[Progress]]&gt;=1,"Complete",IF(OR(N(Tasks[[#This Row],[Actual Start]])&gt;0,Tasks[[#This Row],[Progress]]&gt;0),IF(Tasks[[#This Row],[Finish Var]]&gt;0,"Behind","In Progress"),IF(Tasks[[#This Row],[Planned Start]]&lt;StatusDate,"Late Start","Not Started"))))</f>
        <v/>
      </c>
      <c r="P42" s="20" t="str">
        <f aca="false">IF(Tasks[[#This Row],[Task Name]]="","",IF(IF(Tasks[[#This Row],[_IsSummary]],COUNTIF(INDEX(Tasks[_LeafCritical],Tasks[[#This Row],[_Row]]+1):INDEX(Tasks[_LeafCritical],Tasks[[#This Row],[_Row]]+Tasks[[#This Row],[_Descendants]]),TRUE())&gt;0,Tasks[[#This Row],[_LeafCritical]]),"Yes",""))</f>
        <v/>
      </c>
      <c r="Q4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42" s="67" t="str">
        <f aca="false">IF(Tasks[[#This Row],[Task Name]]="","",IF(Tasks[[#This Row],[_Level]]&lt;=OutlineShowLevel,"Yes","No"))</f>
        <v/>
      </c>
      <c r="S42" s="7"/>
      <c r="T42" s="21"/>
      <c r="U42" s="22"/>
      <c r="V42" s="7"/>
      <c r="W42" s="67" t="str">
        <f aca="false">IF(Tasks[[#This Row],[Task Name]]="","",IF(Tasks[[#This Row],[Finish]]&gt;=Tasks[[#This Row],[Planned Finish]],NETWORKDAYS.INTL(Tasks[[#This Row],[Planned Finish]],Tasks[[#This Row],[Finish]],WorkWeek,Holidays)-1,1-NETWORKDAYS.INTL(Tasks[[#This Row],[Finish]],Tasks[[#This Row],[Planned Finish]],WorkWeek,Holidays)))</f>
        <v/>
      </c>
      <c r="X42" s="58" t="str">
        <f aca="false">IF(Tasks[[#This Row],[Task Name]]="","",IF(N(Tasks[[#This Row],[Baseline Start]])&gt;0,Tasks[[#This Row],[Baseline Start]],Tasks[[#This Row],[_CalcStart]]))</f>
        <v/>
      </c>
      <c r="Y42" s="58" t="str">
        <f aca="false">IF(Tasks[[#This Row],[Task Name]]="","",IF(N(Tasks[[#This Row],[Baseline Finish]])&gt;0,Tasks[[#This Row],[Baseline Finish]],Tasks[[#This Row],[_CalcFinish]]))</f>
        <v/>
      </c>
      <c r="Z42" s="67" t="str">
        <f aca="false">IF(Tasks[[#This Row],[Task Name]]="","",IF(Tasks[[#This Row],[Start]]&gt;=Tasks[[#This Row],[Planned Start]],NETWORKDAYS.INTL(Tasks[[#This Row],[Planned Start]],Tasks[[#This Row],[Start]],WorkWeek,Holidays)-1,1-NETWORKDAYS.INTL(Tasks[[#This Row],[Start]],Tasks[[#This Row],[Planned Start]],WorkWeek,Holidays)))</f>
        <v/>
      </c>
      <c r="AA42" s="58" t="str">
        <f aca="false">IF(Tasks[[#This Row],[Task Name]]="","",IF(Tasks[[#This Row],[_IsSummary]],MIN(INDEX(Tasks[_LeafLateStart],Tasks[[#This Row],[_Row]]+1):INDEX(Tasks[_LeafLateStart],Tasks[[#This Row],[_Row]]+Tasks[[#This Row],[_Descendants]])),Tasks[[#This Row],[_LeafLateStart]]))</f>
        <v/>
      </c>
      <c r="AB42" s="58" t="str">
        <f aca="false">IF(Tasks[[#This Row],[Task Name]]="","",IF(Tasks[[#This Row],[_IsSummary]],MAX(INDEX(Tasks[_LeafLateFinish],Tasks[[#This Row],[_Row]]+1):INDEX(Tasks[_LeafLateFinish],Tasks[[#This Row],[_Row]]+Tasks[[#This Row],[_Descendants]])),Tasks[[#This Row],[_LeafLateFinish]]))</f>
        <v/>
      </c>
      <c r="AC42" s="67" t="str">
        <f aca="false">IF(Tasks[[#This Row],[Task Name]]="","",IF(Tasks[[#This Row],[_IsSummary]],MIN(INDEX(Tasks[_LeafTotalSlack],Tasks[[#This Row],[_Row]]+1):INDEX(Tasks[_LeafTotalSlack],Tasks[[#This Row],[_Row]]+Tasks[[#This Row],[_Descendants]])),Tasks[[#This Row],[_LeafTotalSlack]]))</f>
        <v/>
      </c>
      <c r="AD4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4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4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42" s="60"/>
      <c r="AH4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4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42" s="69" t="str">
        <f aca="false">IF(Tasks[[#This Row],[Task Name]]="","",IF(Tasks[[#This Row],[_IsSummary]],SUM(INDEX(Tasks[_LeafTotalWork],Tasks[[#This Row],[_Row]]+1):INDEX(Tasks[_LeafTotalWork],Tasks[[#This Row],[_Row]]+Tasks[[#This Row],[_Descendants]])),Tasks[[#This Row],[_LeafTotalWork]]))</f>
        <v/>
      </c>
      <c r="AK4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42" s="70" t="str">
        <f aca="false">IF(Tasks[[#This Row],[Task Name]]="","",IF(Tasks[[#This Row],[_IsSummary]],SUM(INDEX(Tasks[_LeafTotalCost],Tasks[[#This Row],[_Row]]+1):INDEX(Tasks[_LeafTotalCost],Tasks[[#This Row],[_Row]]+Tasks[[#This Row],[_Descendants]])),Tasks[[#This Row],[_LeafTotalCost]]))</f>
        <v/>
      </c>
      <c r="AM42" s="71"/>
      <c r="AN42" s="20" t="str">
        <f aca="false">IF(OR(Tasks[[#This Row],[Task Name]]="",Tasks[[#This Row],[Baseline Duration]]=""),"",Tasks[[#This Row],[BL Source Duration]]-N(Tasks[[#This Row],[Baseline Duration]]))</f>
        <v/>
      </c>
      <c r="AO42" s="69" t="str">
        <f aca="false">IF(OR(Tasks[[#This Row],[Task Name]]="",Tasks[[#This Row],[Baseline Work]]=""),"",Tasks[[#This Row],[Work]]-N(Tasks[[#This Row],[Baseline Work]]))</f>
        <v/>
      </c>
      <c r="AP42" s="70" t="str">
        <f aca="false">IF(OR(Tasks[[#This Row],[Task Name]]="",Tasks[[#This Row],[Baseline Cost]]=""),"",Tasks[[#This Row],[Cost]]-N(Tasks[[#This Row],[Baseline Cost]]))</f>
        <v/>
      </c>
      <c r="AQ42" s="58" t="str">
        <f aca="false">IF(Tasks[[#This Row],[Task Name]]="","",Tasks[[#This Row],[Start]])</f>
        <v/>
      </c>
      <c r="AR42" s="58" t="str">
        <f aca="false">IF(Tasks[[#This Row],[Task Name]]="","",Tasks[[#This Row],[Finish]])</f>
        <v/>
      </c>
      <c r="AS42" s="67" t="str">
        <f aca="false">IF(Tasks[[#This Row],[Task Name]]="","",IF(Tasks[[#This Row],[_IsSummary]],NETWORKDAYS.INTL(Tasks[[#This Row],[Start]],Tasks[[#This Row],[Finish]],WorkWeek,Holidays),N(Tasks[[#This Row],[Duration]])))</f>
        <v/>
      </c>
      <c r="AT42" s="69" t="str">
        <f aca="false">IF(Tasks[[#This Row],[Task Name]]="","",Tasks[[#This Row],[Work]])</f>
        <v/>
      </c>
      <c r="AU42" s="70" t="str">
        <f aca="false">IF(Tasks[[#This Row],[Task Name]]="","",Tasks[[#This Row],[Cost]])</f>
        <v/>
      </c>
      <c r="AV42" s="7"/>
      <c r="AW42" s="7"/>
      <c r="AX42" s="21"/>
      <c r="AY42" s="72"/>
      <c r="AZ42" s="71"/>
      <c r="BA42" s="70" t="str">
        <f aca="false">IF(Tasks[[#This Row],[Task Name]]="","",IF(Tasks[[#This Row],[_IsSummary]],SUM(INDEX(Tasks[_LeafEV],Tasks[[#This Row],[_Row]]+1):INDEX(Tasks[_LeafEV],Tasks[[#This Row],[_Row]]+Tasks[[#This Row],[_Descendants]])),Tasks[[#This Row],[_LeafEV]]))</f>
        <v/>
      </c>
      <c r="BB42" s="70" t="str">
        <f aca="false">IF(Tasks[[#This Row],[Task Name]]="","",IF(Tasks[[#This Row],[_IsSummary]],SUM(INDEX(Tasks[_LeafBudget],Tasks[[#This Row],[_Row]]+1):INDEX(Tasks[_LeafBudget],Tasks[[#This Row],[_Row]]+Tasks[[#This Row],[_Descendants]])),Tasks[[#This Row],[_LeafBudget]]))</f>
        <v/>
      </c>
      <c r="BC42" s="70" t="str">
        <f aca="false">IF(Tasks[[#This Row],[Task Name]]="","",IF(Tasks[[#This Row],[_IsSummary]],SUM(INDEX(Tasks[_LeafPV],Tasks[[#This Row],[_Row]]+1):INDEX(Tasks[_LeafPV],Tasks[[#This Row],[_Row]]+Tasks[[#This Row],[_Descendants]])),Tasks[[#This Row],[_LeafPV]]))</f>
        <v/>
      </c>
      <c r="BD42" s="70" t="str">
        <f aca="false">IF(Tasks[[#This Row],[Task Name]]="","",IF(Tasks[[#This Row],[_IsSummary]],SUM(INDEX(Tasks[_LeafAC],Tasks[[#This Row],[_Row]]+1):INDEX(Tasks[_LeafAC],Tasks[[#This Row],[_Row]]+Tasks[[#This Row],[_Descendants]])),Tasks[[#This Row],[_LeafAC]]))</f>
        <v/>
      </c>
      <c r="BE42" s="45" t="str">
        <f aca="false">IF(Tasks[[#This Row],[Task Name]]="","",MAX(1,N(Tasks[[#This Row],[Level]])))</f>
        <v/>
      </c>
      <c r="BF42" s="45" t="n">
        <f aca="false">ROW()-ROW(Tasks[[#Headers],[ID]])</f>
        <v>37</v>
      </c>
      <c r="BG42" s="45" t="n">
        <f aca="false">IF(OR(Tasks[[#This Row],[Task Name]]="",Tasks[[#This Row],[_Level]]&lt;=1),0,IFERROR(LOOKUP(2,1/(Tasks[[#Headers],[_Level]]:Tasks[[#This Row],[_Level]]=Tasks[[#This Row],[_Level]]-1),ROW(Tasks[[#Headers],[_Level]]:Tasks[[#This Row],[_Level]])),0))</f>
        <v>0</v>
      </c>
      <c r="BH42" s="45" t="n">
        <f aca="false">IFERROR(N(INDEX(Tasks[_Level],Tasks[[#This Row],[_Row]]+1)),0)</f>
        <v>0</v>
      </c>
      <c r="BI42" s="73" t="b">
        <f aca="false">AND(Tasks[[#This Row],[Task Name]]&lt;&gt;"",Tasks[[#This Row],[_NextLevel]]&gt;Tasks[[#This Row],[_Level]])</f>
        <v>0</v>
      </c>
      <c r="BJ42" s="45" t="n">
        <f aca="false">IF(Tasks[[#This Row],[_IsSummary]],COUNTIF(Tasks[WBS],Tasks[[#This Row],[WBS]]&amp;".*"),0)</f>
        <v>0</v>
      </c>
      <c r="BK42" s="45" t="n">
        <f aca="false">IF(AND(Tasks[[#This Row],[Task Name]]&lt;&gt;"",NOT(Tasks[[#This Row],[_IsSummary]])),1,0)</f>
        <v>0</v>
      </c>
      <c r="BL42" s="45" t="n">
        <f aca="false">IF(N(Tasks[[#This Row],[_Pred1UID]])=0,0,IFERROR(MATCH(Tasks[[#This Row],[_Pred1UID]],Tasks[UID],0),-1))</f>
        <v>0</v>
      </c>
      <c r="BM42" s="45" t="n">
        <f aca="false">IF(N(Tasks[[#This Row],[_Pred2UID]])=0,0,IFERROR(MATCH(Tasks[[#This Row],[_Pred2UID]],Tasks[UID],0),-1))</f>
        <v>0</v>
      </c>
      <c r="BN42" s="45" t="n">
        <f aca="false">IF(N(Tasks[[#This Row],[_Pred3UID]])=0,0,IFERROR(MATCH(Tasks[[#This Row],[_Pred3UID]],Tasks[UID],0),-1))</f>
        <v>0</v>
      </c>
      <c r="BO42" s="45" t="n">
        <f aca="false">IF(N(Tasks[[#This Row],[_Pred4UID]])=0,0,IFERROR(MATCH(Tasks[[#This Row],[_Pred4UID]],Tasks[UID],0),-1))</f>
        <v>0</v>
      </c>
      <c r="BP4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4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42" s="74" t="n">
        <f aca="false">IF(OR(Tasks[[#This Row],[_ConstraintCode]]=2,Tasks[[#This Row],[_ConstraintCode]]=3,Tasks[[#This Row],[_ConstraintCode]]=4,Tasks[[#This Row],[_ConstraintCode]]=6),Tasks[[#This Row],[_ConstraintStart]],0)</f>
        <v>0</v>
      </c>
      <c r="BS42" s="74" t="n">
        <f aca="false">IF(OR(Tasks[[#This Row],[_ConstraintCode]]=2,Tasks[[#This Row],[_ConstraintCode]]=3,Tasks[[#This Row],[_ConstraintCode]]=5,Tasks[[#This Row],[_ConstraintCode]]=7),Tasks[[#This Row],[_ConstraintStart]],2958465)</f>
        <v>2958465</v>
      </c>
      <c r="BT4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42" s="74" t="str">
        <f aca="false">IF(NOT(Tasks[[#This Row],[_IsLeaf]]=1),"",IF(N(Tasks[[#This Row],[Duration]])&lt;=0,Tasks[[#This Row],[_LeafCalcStart]],WORKDAY.INTL(Tasks[[#This Row],[_LeafCalcStart]],Tasks[[#This Row],[Duration]]-1,WorkWeek,Holidays)))</f>
        <v/>
      </c>
      <c r="BV4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4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42" s="45" t="str">
        <f aca="false">IF(Tasks[[#This Row],[Predecessors]]="","",TRIM(MID(SUBSTITUTE(SUBSTITUTE(SUBSTITUTE(UPPER(Tasks[[#This Row],[Predecessors]]),";",",")," ",""),",",REPT(" ",99)),1,99)))</f>
        <v/>
      </c>
      <c r="BY42" s="45" t="str">
        <f aca="false">IF(Tasks[[#This Row],[_Pred1Text]]="","",IFERROR(VALUE(LEFT(Tasks[[#This Row],[_Pred1Text]],MIN(FIND("F",Tasks[[#This Row],[_Pred1Text]]&amp;"F"),FIND("S",Tasks[[#This Row],[_Pred1Text]]&amp;"S"),FIND("+",Tasks[[#This Row],[_Pred1Text]]&amp;"+"),FIND("-",Tasks[[#This Row],[_Pred1Text]]&amp;"-"))-1)),""))</f>
        <v/>
      </c>
      <c r="BZ4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4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42" s="45" t="str">
        <f aca="false">IF(Tasks[[#This Row],[_Pred1Text]]="","",TRIM(MID(SUBSTITUTE(SUBSTITUTE(SUBSTITUTE(UPPER(Tasks[[#This Row],[Predecessors]]),";",",")," ",""),",",REPT(" ",99)),100,99)))</f>
        <v/>
      </c>
      <c r="CC42" s="45" t="str">
        <f aca="false">IF(Tasks[[#This Row],[_Pred2Text]]="","",IFERROR(VALUE(LEFT(Tasks[[#This Row],[_Pred2Text]],MIN(FIND("F",Tasks[[#This Row],[_Pred2Text]]&amp;"F"),FIND("S",Tasks[[#This Row],[_Pred2Text]]&amp;"S"),FIND("+",Tasks[[#This Row],[_Pred2Text]]&amp;"+"),FIND("-",Tasks[[#This Row],[_Pred2Text]]&amp;"-"))-1)),""))</f>
        <v/>
      </c>
      <c r="CD4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4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42" s="45" t="str">
        <f aca="false">IF(Tasks[[#This Row],[_Pred2Text]]="","",TRIM(MID(SUBSTITUTE(SUBSTITUTE(SUBSTITUTE(UPPER(Tasks[[#This Row],[Predecessors]]),";",",")," ",""),",",REPT(" ",99)),199,99)))</f>
        <v/>
      </c>
      <c r="CG42" s="45" t="str">
        <f aca="false">IF(Tasks[[#This Row],[_Pred3Text]]="","",IFERROR(VALUE(LEFT(Tasks[[#This Row],[_Pred3Text]],MIN(FIND("F",Tasks[[#This Row],[_Pred3Text]]&amp;"F"),FIND("S",Tasks[[#This Row],[_Pred3Text]]&amp;"S"),FIND("+",Tasks[[#This Row],[_Pred3Text]]&amp;"+"),FIND("-",Tasks[[#This Row],[_Pred3Text]]&amp;"-"))-1)),""))</f>
        <v/>
      </c>
      <c r="CH4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4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42" s="45" t="str">
        <f aca="false">IF(Tasks[[#This Row],[_Pred3Text]]="","",TRIM(MID(SUBSTITUTE(SUBSTITUTE(SUBSTITUTE(UPPER(Tasks[[#This Row],[Predecessors]]),";",",")," ",""),",",REPT(" ",99)),298,99)))</f>
        <v/>
      </c>
      <c r="CK42" s="45" t="str">
        <f aca="false">IF(Tasks[[#This Row],[_Pred4Text]]="","",IFERROR(VALUE(LEFT(Tasks[[#This Row],[_Pred4Text]],MIN(FIND("F",Tasks[[#This Row],[_Pred4Text]]&amp;"F"),FIND("S",Tasks[[#This Row],[_Pred4Text]]&amp;"S"),FIND("+",Tasks[[#This Row],[_Pred4Text]]&amp;"+"),FIND("-",Tasks[[#This Row],[_Pred4Text]]&amp;"-"))-1)),""))</f>
        <v/>
      </c>
      <c r="CL4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4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42" s="45" t="str">
        <f aca="false">IF(OR(Tasks[[#This Row],[Task Name]]="",Tasks[[#This Row],[Resources]]=""),"",TRIM(MID(SUBSTITUTE(Tasks[[#This Row],[Resources]],",",REPT(" ",99)),1,99)))</f>
        <v/>
      </c>
      <c r="CO42" s="45" t="str">
        <f aca="false">IF(Tasks[[#This Row],[_Res1Text]]="","",TRIM(MID(SUBSTITUTE(Tasks[[#This Row],[Resources]],",",REPT(" ",99)),100,99)))</f>
        <v/>
      </c>
      <c r="CP42" s="45" t="str">
        <f aca="false">IF(Tasks[[#This Row],[_Res2Text]]="","",TRIM(MID(SUBSTITUTE(Tasks[[#This Row],[Resources]],",",REPT(" ",99)),199,99)))</f>
        <v/>
      </c>
      <c r="CQ42" s="45" t="str">
        <f aca="false">IF(Tasks[[#This Row],[_Res3Text]]="","",TRIM(MID(SUBSTITUTE(Tasks[[#This Row],[Resources]],",",REPT(" ",99)),298,99)))</f>
        <v/>
      </c>
      <c r="CR4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4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2" s="45" t="n">
        <f aca="false">IF(NOT(Tasks[[#This Row],[_IsLeaf]]=1),0,(Tasks[[#This Row],[_Resource1]]&lt;&gt;"")+(Tasks[[#This Row],[_Res2]]&lt;&gt;"")+(Tasks[[#This Row],[_Res3]]&lt;&gt;"")+(Tasks[[#This Row],[_Res4]]&lt;&gt;""))</f>
        <v>0</v>
      </c>
      <c r="CU4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4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2" s="45" t="n">
        <f aca="false">IF(OR(NOT(Tasks[[#This Row],[_IsLeaf]]=1),Tasks[[#This Row],[_Res2]]=""),0,IF(ISNA(MATCH(Tasks[[#This Row],[_Res2]],res_Name,0)),0,N(Tasks[[#This Row],[Duration]])*HoursPerDay*IF(Tasks[[#This Row],[_Res2Units]]="",DefaultUnits,Tasks[[#This Row],[_Res2Units]])))</f>
        <v>0</v>
      </c>
      <c r="CX42" s="45" t="n">
        <f aca="false">IF(Tasks[[#This Row],[_Res2Work]]=0,0,Tasks[[#This Row],[_Res2Work]]*IFERROR(INDEX(res_Rate,MATCH(Tasks[[#This Row],[_Res2]],res_Name,0)),0))</f>
        <v>0</v>
      </c>
      <c r="CY42" s="45" t="n">
        <f aca="false">IF(AND(AND(Tasks[[#This Row],[_IsLeaf]]=1,Tasks[[#This Row],[_LeafTotalWork]]&gt;0),Tasks[[#This Row],[_Res2Work]]&gt;0),Tasks[[#This Row],[_Res2Work]]/(Tasks[[#This Row],[_FinishWorkday]]-Tasks[[#This Row],[_StartWorkday]]+1),0)</f>
        <v>0</v>
      </c>
      <c r="CZ42" s="45" t="n">
        <f aca="false">Tasks[[#This Row],[_Res2WorkPerWD]]*MAX(0,Tasks[[#This Row],[_StartWorkday]]-1)</f>
        <v>0</v>
      </c>
      <c r="DA42" s="45" t="n">
        <f aca="false">Tasks[[#This Row],[_Res2Work]]*Tasks[[#This Row],[_LeafProgress]]</f>
        <v>0</v>
      </c>
      <c r="DB42" s="45" t="n">
        <f aca="false">IF(Tasks[[#This Row],[_LeafTotalCost]]=0,0,Tasks[[#This Row],[_LeafAC]]*Tasks[[#This Row],[_Res2Cost]]/Tasks[[#This Row],[_LeafTotalCost]])</f>
        <v>0</v>
      </c>
      <c r="DC4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4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42" s="45" t="n">
        <f aca="false">IF(OR(NOT(Tasks[[#This Row],[_IsLeaf]]=1),Tasks[[#This Row],[_Res3]]=""),0,IF(ISNA(MATCH(Tasks[[#This Row],[_Res3]],res_Name,0)),0,N(Tasks[[#This Row],[Duration]])*HoursPerDay*IF(Tasks[[#This Row],[_Res3Units]]="",DefaultUnits,Tasks[[#This Row],[_Res3Units]])))</f>
        <v>0</v>
      </c>
      <c r="DF42" s="45" t="n">
        <f aca="false">IF(Tasks[[#This Row],[_Res3Work]]=0,0,Tasks[[#This Row],[_Res3Work]]*IFERROR(INDEX(res_Rate,MATCH(Tasks[[#This Row],[_Res3]],res_Name,0)),0))</f>
        <v>0</v>
      </c>
      <c r="DG42" s="45" t="n">
        <f aca="false">IF(AND(AND(Tasks[[#This Row],[_IsLeaf]]=1,Tasks[[#This Row],[_LeafTotalWork]]&gt;0),Tasks[[#This Row],[_Res3Work]]&gt;0),Tasks[[#This Row],[_Res3Work]]/(Tasks[[#This Row],[_FinishWorkday]]-Tasks[[#This Row],[_StartWorkday]]+1),0)</f>
        <v>0</v>
      </c>
      <c r="DH42" s="45" t="n">
        <f aca="false">Tasks[[#This Row],[_Res3WorkPerWD]]*MAX(0,Tasks[[#This Row],[_StartWorkday]]-1)</f>
        <v>0</v>
      </c>
      <c r="DI42" s="45" t="n">
        <f aca="false">Tasks[[#This Row],[_Res3Work]]*Tasks[[#This Row],[_LeafProgress]]</f>
        <v>0</v>
      </c>
      <c r="DJ42" s="45" t="n">
        <f aca="false">IF(Tasks[[#This Row],[_LeafTotalCost]]=0,0,Tasks[[#This Row],[_LeafAC]]*Tasks[[#This Row],[_Res3Cost]]/Tasks[[#This Row],[_LeafTotalCost]])</f>
        <v>0</v>
      </c>
      <c r="DK4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4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42" s="45" t="n">
        <f aca="false">IF(OR(NOT(Tasks[[#This Row],[_IsLeaf]]=1),Tasks[[#This Row],[_Res4]]=""),0,IF(ISNA(MATCH(Tasks[[#This Row],[_Res4]],res_Name,0)),0,N(Tasks[[#This Row],[Duration]])*HoursPerDay*IF(Tasks[[#This Row],[_Res4Units]]="",DefaultUnits,Tasks[[#This Row],[_Res4Units]])))</f>
        <v>0</v>
      </c>
      <c r="DN42" s="45" t="n">
        <f aca="false">IF(Tasks[[#This Row],[_Res4Work]]=0,0,Tasks[[#This Row],[_Res4Work]]*IFERROR(INDEX(res_Rate,MATCH(Tasks[[#This Row],[_Res4]],res_Name,0)),0))</f>
        <v>0</v>
      </c>
      <c r="DO42" s="45" t="n">
        <f aca="false">IF(AND(AND(Tasks[[#This Row],[_IsLeaf]]=1,Tasks[[#This Row],[_LeafTotalWork]]&gt;0),Tasks[[#This Row],[_Res4Work]]&gt;0),Tasks[[#This Row],[_Res4Work]]/(Tasks[[#This Row],[_FinishWorkday]]-Tasks[[#This Row],[_StartWorkday]]+1),0)</f>
        <v>0</v>
      </c>
      <c r="DP42" s="45" t="n">
        <f aca="false">Tasks[[#This Row],[_Res4WorkPerWD]]*MAX(0,Tasks[[#This Row],[_StartWorkday]]-1)</f>
        <v>0</v>
      </c>
      <c r="DQ42" s="45" t="n">
        <f aca="false">Tasks[[#This Row],[_Res4Work]]*Tasks[[#This Row],[_LeafProgress]]</f>
        <v>0</v>
      </c>
      <c r="DR42" s="45" t="n">
        <f aca="false">IF(Tasks[[#This Row],[_LeafTotalCost]]=0,0,Tasks[[#This Row],[_LeafAC]]*Tasks[[#This Row],[_Res4Cost]]/Tasks[[#This Row],[_LeafTotalCost]])</f>
        <v>0</v>
      </c>
      <c r="DS42" s="45" t="n">
        <f aca="false">IF(ISNUMBER(Tasks[[#This Row],[% Complete]]),Tasks[[#This Row],[% Complete]],IF(Tasks[[#This Row],[Stage]]="",0,IFERROR(INDEX(stg_Pct,MATCH(Tasks[[#This Row],[Stage]],stg_Name,0)),0)))</f>
        <v>0</v>
      </c>
      <c r="DT42" s="45" t="n">
        <f aca="false">IF(NOT(Tasks[[#This Row],[_IsLeaf]]=1),0,IF(N(Tasks[[#This Row],[Actual Finish]])&gt;0,1,MIN(1,Tasks[[#This Row],[_Pct]])))</f>
        <v>0</v>
      </c>
      <c r="DU42" s="45" t="n">
        <f aca="false">IF(OR(NOT(Tasks[[#This Row],[_IsLeaf]]=1),Tasks[[#This Row],[_Resource1]]=""),0,IF(ISNA(MATCH(Tasks[[#This Row],[_Resource1]],res_Name,0)),0,N(Tasks[[#This Row],[Duration]])*HoursPerDay*IF(Tasks[[#This Row],[_Units1]]="",DefaultUnits,Tasks[[#This Row],[_Units1]])))</f>
        <v>0</v>
      </c>
      <c r="DV42" s="45" t="n">
        <f aca="false">IF(Tasks[[#This Row],[_LeafWork]]=0,0,Tasks[[#This Row],[_LeafWork]]*IFERROR(INDEX(res_Rate,MATCH(Tasks[[#This Row],[_Resource1]],res_Name,0)),0))</f>
        <v>0</v>
      </c>
      <c r="DW42" s="45" t="n">
        <f aca="false">Tasks[[#This Row],[_LeafWork]]+Tasks[[#This Row],[_Res2Work]]+Tasks[[#This Row],[_Res3Work]]+Tasks[[#This Row],[_Res4Work]]</f>
        <v>0</v>
      </c>
      <c r="DX42" s="45" t="n">
        <f aca="false">Tasks[[#This Row],[_LeafCost]]+Tasks[[#This Row],[_Res2Cost]]+Tasks[[#This Row],[_Res3Cost]]+Tasks[[#This Row],[_Res4Cost]]</f>
        <v>0</v>
      </c>
      <c r="DY42" s="45" t="n">
        <f aca="false">IF(Tasks[[#This Row],[_LeafTotalCost]]=0,Tasks[[#This Row],[_LeafAC]],Tasks[[#This Row],[_LeafAC]]*Tasks[[#This Row],[_LeafCost]]/Tasks[[#This Row],[_LeafTotalCost]])</f>
        <v>0</v>
      </c>
      <c r="DZ4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4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4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4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4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4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4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4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42" s="45" t="n">
        <f aca="false">IF(NOT(Tasks[[#This Row],[_IsLeaf]]=1),0,MAX(_xlfn.MAXIFS(Tasks[_Row],Tasks[_Pred1UID],Tasks[[#This Row],[UID]]),_xlfn.MAXIFS(Tasks[_Row],Tasks[_Pred2UID],Tasks[[#This Row],[UID]]),_xlfn.MAXIFS(Tasks[_Row],Tasks[_Pred3UID],Tasks[[#This Row],[UID]]),_xlfn.MAXIFS(Tasks[_Row],Tasks[_Pred4UID],Tasks[[#This Row],[UID]])))</f>
        <v>0</v>
      </c>
      <c r="EI4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4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42" s="74" t="str">
        <f aca="false">IF(NOT(Tasks[[#This Row],[_IsLeaf]]=1),"",IF(N(Tasks[[#This Row],[Duration]])&lt;=0,Tasks[[#This Row],[_LeafLateFinish]],WORKDAY.INTL(Tasks[[#This Row],[_LeafLateFinish]],-(Tasks[[#This Row],[Duration]]-1),WorkWeek,Holidays)))</f>
        <v/>
      </c>
      <c r="EL4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42" s="73" t="b">
        <f aca="false">AND(Tasks[[#This Row],[_IsLeaf]]=1,Tasks[[#This Row],[_LeafProgress]]&lt;1,N(Tasks[[#This Row],[_LeafTotalSlack]])&lt;=CriticalSlackDays)</f>
        <v>0</v>
      </c>
      <c r="EN42" s="45" t="n">
        <f aca="false">IF(AND(Tasks[[#This Row],[_IsLeaf]]=1,Tasks[[#This Row],[_ConstraintCode]]=1,Tasks[[#This Row],[Mode]]&lt;&gt;"Manual",N(Tasks[[#This Row],[Actual Start]])=0),MAX(0,N(Tasks[[#This Row],[Free Slack]])),0)</f>
        <v>0</v>
      </c>
      <c r="EO42" s="74" t="str">
        <f aca="false">IF(NOT(Tasks[[#This Row],[_IsLeaf]]=1),"",IF(Tasks[[#This Row],[_AlapShift]]=0,Tasks[[#This Row],[_LeafCalcStart]],WORKDAY.INTL(Tasks[[#This Row],[_LeafCalcStart]],Tasks[[#This Row],[_AlapShift]],WorkWeek,Holidays)))</f>
        <v/>
      </c>
      <c r="EP42" s="74" t="str">
        <f aca="false">IF(NOT(Tasks[[#This Row],[_IsLeaf]]=1),"",IF(Tasks[[#This Row],[_AlapShift]]=0,Tasks[[#This Row],[_LeafCalcFinish]],WORKDAY.INTL(Tasks[[#This Row],[_LeafCalcFinish]],Tasks[[#This Row],[_AlapShift]],WorkWeek,Holidays)))</f>
        <v/>
      </c>
      <c r="EQ42" s="74" t="str">
        <f aca="false">IF(NOT(Tasks[[#This Row],[_IsLeaf]]=1),"",IF(Tasks[[#This Row],[_AlapShift]]=0,Tasks[[#This Row],[_LeafFcstStart]],WORKDAY.INTL(Tasks[[#This Row],[_LeafFcstStart]],Tasks[[#This Row],[_AlapShift]],WorkWeek,Holidays)))</f>
        <v/>
      </c>
      <c r="ER42" s="74" t="str">
        <f aca="false">IF(NOT(Tasks[[#This Row],[_IsLeaf]]=1),"",IF(Tasks[[#This Row],[_AlapShift]]=0,Tasks[[#This Row],[_LeafFcstFinish]],WORKDAY.INTL(Tasks[[#This Row],[_LeafFcstFinish]],Tasks[[#This Row],[_AlapShift]],WorkWeek,Holidays)))</f>
        <v/>
      </c>
      <c r="ES42" s="74" t="str">
        <f aca="false">IF(Tasks[[#This Row],[Task Name]]="","",IF(Tasks[[#This Row],[_IsSummary]],MIN(INDEX(Tasks[_ShownCalcStart],Tasks[[#This Row],[_Row]]+1):INDEX(Tasks[_ShownCalcStart],Tasks[[#This Row],[_Row]]+Tasks[[#This Row],[_Descendants]])),Tasks[[#This Row],[_ShownCalcStart]]))</f>
        <v/>
      </c>
      <c r="ET42" s="74" t="str">
        <f aca="false">IF(Tasks[[#This Row],[Task Name]]="","",IF(Tasks[[#This Row],[_IsSummary]],MAX(INDEX(Tasks[_ShownCalcFinish],Tasks[[#This Row],[_Row]]+1):INDEX(Tasks[_ShownCalcFinish],Tasks[[#This Row],[_Row]]+Tasks[[#This Row],[_Descendants]])),Tasks[[#This Row],[_ShownCalcFinish]]))</f>
        <v/>
      </c>
      <c r="EU4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4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4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4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4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4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4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4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4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4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4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4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42" s="45" t="n">
        <f aca="false">IF(AND(Tasks[[#This Row],[_IsLeaf]]=1,Tasks[[#This Row],[_LeafTotalWork]]&gt;0),NETWORKDAYS.INTL(ProjectStart,Tasks[[#This Row],[_ShownFcstStart]],WorkWeek,Holidays),0)</f>
        <v>0</v>
      </c>
      <c r="FH42" s="45" t="n">
        <f aca="false">IF(AND(Tasks[[#This Row],[_IsLeaf]]=1,Tasks[[#This Row],[_LeafTotalWork]]&gt;0),MAX(Tasks[[#This Row],[_StartWorkday]],NETWORKDAYS.INTL(ProjectStart,Tasks[[#This Row],[_ShownFcstFinish]],WorkWeek,Holidays)),0)</f>
        <v>0</v>
      </c>
      <c r="FI42" s="45" t="n">
        <f aca="false">IF(AND(Tasks[[#This Row],[_IsLeaf]]=1,Tasks[[#This Row],[_LeafTotalWork]]&gt;0),Tasks[[#This Row],[_LeafWork]]/(Tasks[[#This Row],[_FinishWorkday]]-Tasks[[#This Row],[_StartWorkday]]+1),0)</f>
        <v>0</v>
      </c>
      <c r="FJ42" s="45" t="n">
        <f aca="false">Tasks[[#This Row],[_WorkPerWorkday]]*(Tasks[[#This Row],[_StartWorkday]]-1)</f>
        <v>-0</v>
      </c>
      <c r="FK42" s="45" t="n">
        <f aca="false">IF(Tasks[[#This Row],[_IsLeaf]]=1,MAX(N(Tasks[[#This Row],[Duration]]),0.1),0)</f>
        <v>0</v>
      </c>
      <c r="FL42" s="45" t="n">
        <f aca="false">Tasks[[#This Row],[_WeightDur]]*Tasks[[#This Row],[_LeafProgress]]</f>
        <v>0</v>
      </c>
      <c r="FM4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42" s="45" t="str">
        <f aca="false">IF(AND(Tasks[[#This Row],[_IsLeaf]]=1,N(Tasks[[#This Row],[Duration]])=0,Tasks[[#This Row],[_LeafProgress]]&lt;1),Tasks[[#This Row],[_ShownFcstFinish]]+Tasks[[#This Row],[_Row]]/100000,"")</f>
        <v/>
      </c>
      <c r="FO4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42" s="45" t="n">
        <f aca="false">IF(NOT(Tasks[[#This Row],[_IsLeaf]]=1),0,IF(Tasks[[#This Row],[Baseline Cost]]="",Tasks[[#This Row],[_LeafTotalCost]],N(Tasks[[#This Row],[Baseline Cost]])))</f>
        <v>0</v>
      </c>
      <c r="FQ42" s="45" t="n">
        <f aca="false">Tasks[[#This Row],[_LeafBudget]]*Tasks[[#This Row],[_PlannedPct]]</f>
        <v>0</v>
      </c>
      <c r="FR42" s="45" t="n">
        <f aca="false">Tasks[[#This Row],[_LeafBudget]]*Tasks[[#This Row],[_LeafProgress]]</f>
        <v>0</v>
      </c>
      <c r="FS42" s="45" t="n">
        <f aca="false">IF(NOT(Tasks[[#This Row],[_IsLeaf]]=1),0,IF(Tasks[[#This Row],[Actual Cost]]="",Tasks[[#This Row],[_LeafTotalCost]]*Tasks[[#This Row],[_LeafProgress]],N(Tasks[[#This Row],[Actual Cost]])))</f>
        <v>0</v>
      </c>
      <c r="FT42" s="45" t="str">
        <f aca="false">IF(Tasks[[#This Row],[Task Name]]="","",LEFT(Tasks[[#This Row],[WBS]],FIND(".",Tasks[[#This Row],[WBS]]&amp;".")-1))</f>
        <v/>
      </c>
      <c r="FU42" s="45" t="str">
        <f aca="false">IF(AND(Tasks[[#This Row],[Task Name]]&lt;&gt;"",Tasks[[#This Row],[_Level]]=1),Tasks[[#This Row],[_Row]],"")</f>
        <v/>
      </c>
      <c r="FV42" s="45" t="str">
        <f aca="false">IF(AND(Tasks[[#This Row],[_IsLeaf]]=1,N(Tasks[[#This Row],[Duration]])=0),Tasks[[#This Row],[Planned Finish]]+Tasks[[#This Row],[_Row]]/100000,"")</f>
        <v/>
      </c>
      <c r="FW42" s="45" t="str">
        <f aca="false">IF(AND(Tasks[[#This Row],[_IsLeaf]]=1,Tasks[[#This Row],[_LeafProgress]]&lt;1,OR(N(Tasks[[#This Row],[Finish Var]])&gt;0,Tasks[[#This Row],[Status]]="Late Start")),MAX(0,Tasks[[#This Row],[Finish Var]])+1-Tasks[[#This Row],[_Row]]/1000000,"")</f>
        <v/>
      </c>
      <c r="FX42" s="45" t="str">
        <f aca="false">IF(AND(Tasks[[#This Row],[_IsLeaf]]=1,N(Tasks[[#This Row],[Actual Start]])=0,Tasks[[#This Row],[_ShownFcstStart]]&gt;=StatusDate,Tasks[[#This Row],[_ShownFcstStart]]&lt;=LookaheadEnd),Tasks[[#This Row],[_ShownFcstStart]]+Tasks[[#This Row],[_Row]]/100000,"")</f>
        <v/>
      </c>
      <c r="FY42" s="45" t="str">
        <f aca="false">IF(AND(Tasks[[#This Row],[_IsLeaf]]=1,Tasks[[#This Row],[_LeafProgress]]&lt;1,Tasks[[#This Row],[_ShownFcstFinish]]&gt;=StatusDate,Tasks[[#This Row],[_ShownFcstFinish]]&lt;=LookaheadEnd),Tasks[[#This Row],[_ShownFcstFinish]]+Tasks[[#This Row],[_Row]]/100000,"")</f>
        <v/>
      </c>
      <c r="FZ42" s="45" t="str">
        <f aca="false">IF(Tasks[[#This Row],[_LeafCritical]],Tasks[[#This Row],[_ShownFcstStart]]+Tasks[[#This Row],[_Row]]/100000,"")</f>
        <v/>
      </c>
      <c r="GA42" s="45" t="n">
        <f aca="false">Tasks[[#This Row],[_LeafWork]]*Tasks[[#This Row],[_LeafProgress]]</f>
        <v>0</v>
      </c>
      <c r="GB42" s="74" t="str">
        <f aca="false">IF(AND(Tasks[[#This Row],[_IsLeaf]]=1,Tasks[[#This Row],[_LeafProgress]]&gt;=1),IF(N(Tasks[[#This Row],[Actual Finish]])&gt;0,Tasks[[#This Row],[Actual Finish]],Tasks[[#This Row],[_ShownFcstFinish]]),"")</f>
        <v/>
      </c>
    </row>
    <row r="43" customFormat="false" ht="15" hidden="false" customHeight="false" outlineLevel="0" collapsed="false">
      <c r="A43" s="67" t="str">
        <f aca="false">IF(Tasks[[#This Row],[Task Name]]="","",COUNTA(Tasks[[#Headers],[Task Name]]:Tasks[[#This Row],[Task Name]])-1)</f>
        <v/>
      </c>
      <c r="B43" s="21" t="n">
        <v>38</v>
      </c>
      <c r="C4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21"/>
      <c r="E43" s="22"/>
      <c r="F43" s="21"/>
      <c r="G43" s="22"/>
      <c r="H43" s="22"/>
      <c r="I43" s="22"/>
      <c r="J43" s="7"/>
      <c r="K43" s="7"/>
      <c r="L43" s="22"/>
      <c r="M43" s="58" t="str">
        <f aca="false">IF(Tasks[[#This Row],[Task Name]]="","",IF(Tasks[[#This Row],[_IsSummary]],MIN(INDEX(Tasks[_ShownFcstStart],Tasks[[#This Row],[_Row]]+1):INDEX(Tasks[_ShownFcstStart],Tasks[[#This Row],[_Row]]+Tasks[[#This Row],[_Descendants]])),Tasks[[#This Row],[_ShownFcstStart]]))</f>
        <v/>
      </c>
      <c r="N43" s="58" t="str">
        <f aca="false">IF(Tasks[[#This Row],[Task Name]]="","",IF(Tasks[[#This Row],[_IsSummary]],MAX(INDEX(Tasks[_ShownFcstFinish],Tasks[[#This Row],[_Row]]+1):INDEX(Tasks[_ShownFcstFinish],Tasks[[#This Row],[_Row]]+Tasks[[#This Row],[_Descendants]])),Tasks[[#This Row],[_ShownFcstFinish]]))</f>
        <v/>
      </c>
      <c r="O43" s="20" t="str">
        <f aca="false">IF(Tasks[[#This Row],[Task Name]]="","",IF(Tasks[[#This Row],[Progress]]&gt;=1,"Complete",IF(OR(N(Tasks[[#This Row],[Actual Start]])&gt;0,Tasks[[#This Row],[Progress]]&gt;0),IF(Tasks[[#This Row],[Finish Var]]&gt;0,"Behind","In Progress"),IF(Tasks[[#This Row],[Planned Start]]&lt;StatusDate,"Late Start","Not Started"))))</f>
        <v/>
      </c>
      <c r="P43" s="20" t="str">
        <f aca="false">IF(Tasks[[#This Row],[Task Name]]="","",IF(IF(Tasks[[#This Row],[_IsSummary]],COUNTIF(INDEX(Tasks[_LeafCritical],Tasks[[#This Row],[_Row]]+1):INDEX(Tasks[_LeafCritical],Tasks[[#This Row],[_Row]]+Tasks[[#This Row],[_Descendants]]),TRUE())&gt;0,Tasks[[#This Row],[_LeafCritical]]),"Yes",""))</f>
        <v/>
      </c>
      <c r="Q4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43" s="67" t="str">
        <f aca="false">IF(Tasks[[#This Row],[Task Name]]="","",IF(Tasks[[#This Row],[_Level]]&lt;=OutlineShowLevel,"Yes","No"))</f>
        <v/>
      </c>
      <c r="S43" s="7"/>
      <c r="T43" s="21"/>
      <c r="U43" s="22"/>
      <c r="V43" s="7"/>
      <c r="W43" s="67" t="str">
        <f aca="false">IF(Tasks[[#This Row],[Task Name]]="","",IF(Tasks[[#This Row],[Finish]]&gt;=Tasks[[#This Row],[Planned Finish]],NETWORKDAYS.INTL(Tasks[[#This Row],[Planned Finish]],Tasks[[#This Row],[Finish]],WorkWeek,Holidays)-1,1-NETWORKDAYS.INTL(Tasks[[#This Row],[Finish]],Tasks[[#This Row],[Planned Finish]],WorkWeek,Holidays)))</f>
        <v/>
      </c>
      <c r="X43" s="58" t="str">
        <f aca="false">IF(Tasks[[#This Row],[Task Name]]="","",IF(N(Tasks[[#This Row],[Baseline Start]])&gt;0,Tasks[[#This Row],[Baseline Start]],Tasks[[#This Row],[_CalcStart]]))</f>
        <v/>
      </c>
      <c r="Y43" s="58" t="str">
        <f aca="false">IF(Tasks[[#This Row],[Task Name]]="","",IF(N(Tasks[[#This Row],[Baseline Finish]])&gt;0,Tasks[[#This Row],[Baseline Finish]],Tasks[[#This Row],[_CalcFinish]]))</f>
        <v/>
      </c>
      <c r="Z43" s="67" t="str">
        <f aca="false">IF(Tasks[[#This Row],[Task Name]]="","",IF(Tasks[[#This Row],[Start]]&gt;=Tasks[[#This Row],[Planned Start]],NETWORKDAYS.INTL(Tasks[[#This Row],[Planned Start]],Tasks[[#This Row],[Start]],WorkWeek,Holidays)-1,1-NETWORKDAYS.INTL(Tasks[[#This Row],[Start]],Tasks[[#This Row],[Planned Start]],WorkWeek,Holidays)))</f>
        <v/>
      </c>
      <c r="AA43" s="58" t="str">
        <f aca="false">IF(Tasks[[#This Row],[Task Name]]="","",IF(Tasks[[#This Row],[_IsSummary]],MIN(INDEX(Tasks[_LeafLateStart],Tasks[[#This Row],[_Row]]+1):INDEX(Tasks[_LeafLateStart],Tasks[[#This Row],[_Row]]+Tasks[[#This Row],[_Descendants]])),Tasks[[#This Row],[_LeafLateStart]]))</f>
        <v/>
      </c>
      <c r="AB43" s="58" t="str">
        <f aca="false">IF(Tasks[[#This Row],[Task Name]]="","",IF(Tasks[[#This Row],[_IsSummary]],MAX(INDEX(Tasks[_LeafLateFinish],Tasks[[#This Row],[_Row]]+1):INDEX(Tasks[_LeafLateFinish],Tasks[[#This Row],[_Row]]+Tasks[[#This Row],[_Descendants]])),Tasks[[#This Row],[_LeafLateFinish]]))</f>
        <v/>
      </c>
      <c r="AC43" s="67" t="str">
        <f aca="false">IF(Tasks[[#This Row],[Task Name]]="","",IF(Tasks[[#This Row],[_IsSummary]],MIN(INDEX(Tasks[_LeafTotalSlack],Tasks[[#This Row],[_Row]]+1):INDEX(Tasks[_LeafTotalSlack],Tasks[[#This Row],[_Row]]+Tasks[[#This Row],[_Descendants]])),Tasks[[#This Row],[_LeafTotalSlack]]))</f>
        <v/>
      </c>
      <c r="AD4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4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4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43" s="60"/>
      <c r="AH4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4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43" s="69" t="str">
        <f aca="false">IF(Tasks[[#This Row],[Task Name]]="","",IF(Tasks[[#This Row],[_IsSummary]],SUM(INDEX(Tasks[_LeafTotalWork],Tasks[[#This Row],[_Row]]+1):INDEX(Tasks[_LeafTotalWork],Tasks[[#This Row],[_Row]]+Tasks[[#This Row],[_Descendants]])),Tasks[[#This Row],[_LeafTotalWork]]))</f>
        <v/>
      </c>
      <c r="AK4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43" s="70" t="str">
        <f aca="false">IF(Tasks[[#This Row],[Task Name]]="","",IF(Tasks[[#This Row],[_IsSummary]],SUM(INDEX(Tasks[_LeafTotalCost],Tasks[[#This Row],[_Row]]+1):INDEX(Tasks[_LeafTotalCost],Tasks[[#This Row],[_Row]]+Tasks[[#This Row],[_Descendants]])),Tasks[[#This Row],[_LeafTotalCost]]))</f>
        <v/>
      </c>
      <c r="AM43" s="71"/>
      <c r="AN43" s="20" t="str">
        <f aca="false">IF(OR(Tasks[[#This Row],[Task Name]]="",Tasks[[#This Row],[Baseline Duration]]=""),"",Tasks[[#This Row],[BL Source Duration]]-N(Tasks[[#This Row],[Baseline Duration]]))</f>
        <v/>
      </c>
      <c r="AO43" s="69" t="str">
        <f aca="false">IF(OR(Tasks[[#This Row],[Task Name]]="",Tasks[[#This Row],[Baseline Work]]=""),"",Tasks[[#This Row],[Work]]-N(Tasks[[#This Row],[Baseline Work]]))</f>
        <v/>
      </c>
      <c r="AP43" s="70" t="str">
        <f aca="false">IF(OR(Tasks[[#This Row],[Task Name]]="",Tasks[[#This Row],[Baseline Cost]]=""),"",Tasks[[#This Row],[Cost]]-N(Tasks[[#This Row],[Baseline Cost]]))</f>
        <v/>
      </c>
      <c r="AQ43" s="58" t="str">
        <f aca="false">IF(Tasks[[#This Row],[Task Name]]="","",Tasks[[#This Row],[Start]])</f>
        <v/>
      </c>
      <c r="AR43" s="58" t="str">
        <f aca="false">IF(Tasks[[#This Row],[Task Name]]="","",Tasks[[#This Row],[Finish]])</f>
        <v/>
      </c>
      <c r="AS43" s="67" t="str">
        <f aca="false">IF(Tasks[[#This Row],[Task Name]]="","",IF(Tasks[[#This Row],[_IsSummary]],NETWORKDAYS.INTL(Tasks[[#This Row],[Start]],Tasks[[#This Row],[Finish]],WorkWeek,Holidays),N(Tasks[[#This Row],[Duration]])))</f>
        <v/>
      </c>
      <c r="AT43" s="69" t="str">
        <f aca="false">IF(Tasks[[#This Row],[Task Name]]="","",Tasks[[#This Row],[Work]])</f>
        <v/>
      </c>
      <c r="AU43" s="70" t="str">
        <f aca="false">IF(Tasks[[#This Row],[Task Name]]="","",Tasks[[#This Row],[Cost]])</f>
        <v/>
      </c>
      <c r="AV43" s="7"/>
      <c r="AW43" s="7"/>
      <c r="AX43" s="21"/>
      <c r="AY43" s="72"/>
      <c r="AZ43" s="71"/>
      <c r="BA43" s="70" t="str">
        <f aca="false">IF(Tasks[[#This Row],[Task Name]]="","",IF(Tasks[[#This Row],[_IsSummary]],SUM(INDEX(Tasks[_LeafEV],Tasks[[#This Row],[_Row]]+1):INDEX(Tasks[_LeafEV],Tasks[[#This Row],[_Row]]+Tasks[[#This Row],[_Descendants]])),Tasks[[#This Row],[_LeafEV]]))</f>
        <v/>
      </c>
      <c r="BB43" s="70" t="str">
        <f aca="false">IF(Tasks[[#This Row],[Task Name]]="","",IF(Tasks[[#This Row],[_IsSummary]],SUM(INDEX(Tasks[_LeafBudget],Tasks[[#This Row],[_Row]]+1):INDEX(Tasks[_LeafBudget],Tasks[[#This Row],[_Row]]+Tasks[[#This Row],[_Descendants]])),Tasks[[#This Row],[_LeafBudget]]))</f>
        <v/>
      </c>
      <c r="BC43" s="70" t="str">
        <f aca="false">IF(Tasks[[#This Row],[Task Name]]="","",IF(Tasks[[#This Row],[_IsSummary]],SUM(INDEX(Tasks[_LeafPV],Tasks[[#This Row],[_Row]]+1):INDEX(Tasks[_LeafPV],Tasks[[#This Row],[_Row]]+Tasks[[#This Row],[_Descendants]])),Tasks[[#This Row],[_LeafPV]]))</f>
        <v/>
      </c>
      <c r="BD43" s="70" t="str">
        <f aca="false">IF(Tasks[[#This Row],[Task Name]]="","",IF(Tasks[[#This Row],[_IsSummary]],SUM(INDEX(Tasks[_LeafAC],Tasks[[#This Row],[_Row]]+1):INDEX(Tasks[_LeafAC],Tasks[[#This Row],[_Row]]+Tasks[[#This Row],[_Descendants]])),Tasks[[#This Row],[_LeafAC]]))</f>
        <v/>
      </c>
      <c r="BE43" s="45" t="str">
        <f aca="false">IF(Tasks[[#This Row],[Task Name]]="","",MAX(1,N(Tasks[[#This Row],[Level]])))</f>
        <v/>
      </c>
      <c r="BF43" s="45" t="n">
        <f aca="false">ROW()-ROW(Tasks[[#Headers],[ID]])</f>
        <v>38</v>
      </c>
      <c r="BG43" s="45" t="n">
        <f aca="false">IF(OR(Tasks[[#This Row],[Task Name]]="",Tasks[[#This Row],[_Level]]&lt;=1),0,IFERROR(LOOKUP(2,1/(Tasks[[#Headers],[_Level]]:Tasks[[#This Row],[_Level]]=Tasks[[#This Row],[_Level]]-1),ROW(Tasks[[#Headers],[_Level]]:Tasks[[#This Row],[_Level]])),0))</f>
        <v>0</v>
      </c>
      <c r="BH43" s="45" t="n">
        <f aca="false">IFERROR(N(INDEX(Tasks[_Level],Tasks[[#This Row],[_Row]]+1)),0)</f>
        <v>0</v>
      </c>
      <c r="BI43" s="73" t="b">
        <f aca="false">AND(Tasks[[#This Row],[Task Name]]&lt;&gt;"",Tasks[[#This Row],[_NextLevel]]&gt;Tasks[[#This Row],[_Level]])</f>
        <v>0</v>
      </c>
      <c r="BJ43" s="45" t="n">
        <f aca="false">IF(Tasks[[#This Row],[_IsSummary]],COUNTIF(Tasks[WBS],Tasks[[#This Row],[WBS]]&amp;".*"),0)</f>
        <v>0</v>
      </c>
      <c r="BK43" s="45" t="n">
        <f aca="false">IF(AND(Tasks[[#This Row],[Task Name]]&lt;&gt;"",NOT(Tasks[[#This Row],[_IsSummary]])),1,0)</f>
        <v>0</v>
      </c>
      <c r="BL43" s="45" t="n">
        <f aca="false">IF(N(Tasks[[#This Row],[_Pred1UID]])=0,0,IFERROR(MATCH(Tasks[[#This Row],[_Pred1UID]],Tasks[UID],0),-1))</f>
        <v>0</v>
      </c>
      <c r="BM43" s="45" t="n">
        <f aca="false">IF(N(Tasks[[#This Row],[_Pred2UID]])=0,0,IFERROR(MATCH(Tasks[[#This Row],[_Pred2UID]],Tasks[UID],0),-1))</f>
        <v>0</v>
      </c>
      <c r="BN43" s="45" t="n">
        <f aca="false">IF(N(Tasks[[#This Row],[_Pred3UID]])=0,0,IFERROR(MATCH(Tasks[[#This Row],[_Pred3UID]],Tasks[UID],0),-1))</f>
        <v>0</v>
      </c>
      <c r="BO43" s="45" t="n">
        <f aca="false">IF(N(Tasks[[#This Row],[_Pred4UID]])=0,0,IFERROR(MATCH(Tasks[[#This Row],[_Pred4UID]],Tasks[UID],0),-1))</f>
        <v>0</v>
      </c>
      <c r="BP4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4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43" s="74" t="n">
        <f aca="false">IF(OR(Tasks[[#This Row],[_ConstraintCode]]=2,Tasks[[#This Row],[_ConstraintCode]]=3,Tasks[[#This Row],[_ConstraintCode]]=4,Tasks[[#This Row],[_ConstraintCode]]=6),Tasks[[#This Row],[_ConstraintStart]],0)</f>
        <v>0</v>
      </c>
      <c r="BS43" s="74" t="n">
        <f aca="false">IF(OR(Tasks[[#This Row],[_ConstraintCode]]=2,Tasks[[#This Row],[_ConstraintCode]]=3,Tasks[[#This Row],[_ConstraintCode]]=5,Tasks[[#This Row],[_ConstraintCode]]=7),Tasks[[#This Row],[_ConstraintStart]],2958465)</f>
        <v>2958465</v>
      </c>
      <c r="BT4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43" s="74" t="str">
        <f aca="false">IF(NOT(Tasks[[#This Row],[_IsLeaf]]=1),"",IF(N(Tasks[[#This Row],[Duration]])&lt;=0,Tasks[[#This Row],[_LeafCalcStart]],WORKDAY.INTL(Tasks[[#This Row],[_LeafCalcStart]],Tasks[[#This Row],[Duration]]-1,WorkWeek,Holidays)))</f>
        <v/>
      </c>
      <c r="BV4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4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43" s="45" t="str">
        <f aca="false">IF(Tasks[[#This Row],[Predecessors]]="","",TRIM(MID(SUBSTITUTE(SUBSTITUTE(SUBSTITUTE(UPPER(Tasks[[#This Row],[Predecessors]]),";",",")," ",""),",",REPT(" ",99)),1,99)))</f>
        <v/>
      </c>
      <c r="BY43" s="45" t="str">
        <f aca="false">IF(Tasks[[#This Row],[_Pred1Text]]="","",IFERROR(VALUE(LEFT(Tasks[[#This Row],[_Pred1Text]],MIN(FIND("F",Tasks[[#This Row],[_Pred1Text]]&amp;"F"),FIND("S",Tasks[[#This Row],[_Pred1Text]]&amp;"S"),FIND("+",Tasks[[#This Row],[_Pred1Text]]&amp;"+"),FIND("-",Tasks[[#This Row],[_Pred1Text]]&amp;"-"))-1)),""))</f>
        <v/>
      </c>
      <c r="BZ4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4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43" s="45" t="str">
        <f aca="false">IF(Tasks[[#This Row],[_Pred1Text]]="","",TRIM(MID(SUBSTITUTE(SUBSTITUTE(SUBSTITUTE(UPPER(Tasks[[#This Row],[Predecessors]]),";",",")," ",""),",",REPT(" ",99)),100,99)))</f>
        <v/>
      </c>
      <c r="CC43" s="45" t="str">
        <f aca="false">IF(Tasks[[#This Row],[_Pred2Text]]="","",IFERROR(VALUE(LEFT(Tasks[[#This Row],[_Pred2Text]],MIN(FIND("F",Tasks[[#This Row],[_Pred2Text]]&amp;"F"),FIND("S",Tasks[[#This Row],[_Pred2Text]]&amp;"S"),FIND("+",Tasks[[#This Row],[_Pred2Text]]&amp;"+"),FIND("-",Tasks[[#This Row],[_Pred2Text]]&amp;"-"))-1)),""))</f>
        <v/>
      </c>
      <c r="CD4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4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43" s="45" t="str">
        <f aca="false">IF(Tasks[[#This Row],[_Pred2Text]]="","",TRIM(MID(SUBSTITUTE(SUBSTITUTE(SUBSTITUTE(UPPER(Tasks[[#This Row],[Predecessors]]),";",",")," ",""),",",REPT(" ",99)),199,99)))</f>
        <v/>
      </c>
      <c r="CG43" s="45" t="str">
        <f aca="false">IF(Tasks[[#This Row],[_Pred3Text]]="","",IFERROR(VALUE(LEFT(Tasks[[#This Row],[_Pred3Text]],MIN(FIND("F",Tasks[[#This Row],[_Pred3Text]]&amp;"F"),FIND("S",Tasks[[#This Row],[_Pred3Text]]&amp;"S"),FIND("+",Tasks[[#This Row],[_Pred3Text]]&amp;"+"),FIND("-",Tasks[[#This Row],[_Pred3Text]]&amp;"-"))-1)),""))</f>
        <v/>
      </c>
      <c r="CH4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4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43" s="45" t="str">
        <f aca="false">IF(Tasks[[#This Row],[_Pred3Text]]="","",TRIM(MID(SUBSTITUTE(SUBSTITUTE(SUBSTITUTE(UPPER(Tasks[[#This Row],[Predecessors]]),";",",")," ",""),",",REPT(" ",99)),298,99)))</f>
        <v/>
      </c>
      <c r="CK43" s="45" t="str">
        <f aca="false">IF(Tasks[[#This Row],[_Pred4Text]]="","",IFERROR(VALUE(LEFT(Tasks[[#This Row],[_Pred4Text]],MIN(FIND("F",Tasks[[#This Row],[_Pred4Text]]&amp;"F"),FIND("S",Tasks[[#This Row],[_Pred4Text]]&amp;"S"),FIND("+",Tasks[[#This Row],[_Pred4Text]]&amp;"+"),FIND("-",Tasks[[#This Row],[_Pred4Text]]&amp;"-"))-1)),""))</f>
        <v/>
      </c>
      <c r="CL4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4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43" s="45" t="str">
        <f aca="false">IF(OR(Tasks[[#This Row],[Task Name]]="",Tasks[[#This Row],[Resources]]=""),"",TRIM(MID(SUBSTITUTE(Tasks[[#This Row],[Resources]],",",REPT(" ",99)),1,99)))</f>
        <v/>
      </c>
      <c r="CO43" s="45" t="str">
        <f aca="false">IF(Tasks[[#This Row],[_Res1Text]]="","",TRIM(MID(SUBSTITUTE(Tasks[[#This Row],[Resources]],",",REPT(" ",99)),100,99)))</f>
        <v/>
      </c>
      <c r="CP43" s="45" t="str">
        <f aca="false">IF(Tasks[[#This Row],[_Res2Text]]="","",TRIM(MID(SUBSTITUTE(Tasks[[#This Row],[Resources]],",",REPT(" ",99)),199,99)))</f>
        <v/>
      </c>
      <c r="CQ43" s="45" t="str">
        <f aca="false">IF(Tasks[[#This Row],[_Res3Text]]="","",TRIM(MID(SUBSTITUTE(Tasks[[#This Row],[Resources]],",",REPT(" ",99)),298,99)))</f>
        <v/>
      </c>
      <c r="CR4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4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3" s="45" t="n">
        <f aca="false">IF(NOT(Tasks[[#This Row],[_IsLeaf]]=1),0,(Tasks[[#This Row],[_Resource1]]&lt;&gt;"")+(Tasks[[#This Row],[_Res2]]&lt;&gt;"")+(Tasks[[#This Row],[_Res3]]&lt;&gt;"")+(Tasks[[#This Row],[_Res4]]&lt;&gt;""))</f>
        <v>0</v>
      </c>
      <c r="CU4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4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3" s="45" t="n">
        <f aca="false">IF(OR(NOT(Tasks[[#This Row],[_IsLeaf]]=1),Tasks[[#This Row],[_Res2]]=""),0,IF(ISNA(MATCH(Tasks[[#This Row],[_Res2]],res_Name,0)),0,N(Tasks[[#This Row],[Duration]])*HoursPerDay*IF(Tasks[[#This Row],[_Res2Units]]="",DefaultUnits,Tasks[[#This Row],[_Res2Units]])))</f>
        <v>0</v>
      </c>
      <c r="CX43" s="45" t="n">
        <f aca="false">IF(Tasks[[#This Row],[_Res2Work]]=0,0,Tasks[[#This Row],[_Res2Work]]*IFERROR(INDEX(res_Rate,MATCH(Tasks[[#This Row],[_Res2]],res_Name,0)),0))</f>
        <v>0</v>
      </c>
      <c r="CY43" s="45" t="n">
        <f aca="false">IF(AND(AND(Tasks[[#This Row],[_IsLeaf]]=1,Tasks[[#This Row],[_LeafTotalWork]]&gt;0),Tasks[[#This Row],[_Res2Work]]&gt;0),Tasks[[#This Row],[_Res2Work]]/(Tasks[[#This Row],[_FinishWorkday]]-Tasks[[#This Row],[_StartWorkday]]+1),0)</f>
        <v>0</v>
      </c>
      <c r="CZ43" s="45" t="n">
        <f aca="false">Tasks[[#This Row],[_Res2WorkPerWD]]*MAX(0,Tasks[[#This Row],[_StartWorkday]]-1)</f>
        <v>0</v>
      </c>
      <c r="DA43" s="45" t="n">
        <f aca="false">Tasks[[#This Row],[_Res2Work]]*Tasks[[#This Row],[_LeafProgress]]</f>
        <v>0</v>
      </c>
      <c r="DB43" s="45" t="n">
        <f aca="false">IF(Tasks[[#This Row],[_LeafTotalCost]]=0,0,Tasks[[#This Row],[_LeafAC]]*Tasks[[#This Row],[_Res2Cost]]/Tasks[[#This Row],[_LeafTotalCost]])</f>
        <v>0</v>
      </c>
      <c r="DC4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4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43" s="45" t="n">
        <f aca="false">IF(OR(NOT(Tasks[[#This Row],[_IsLeaf]]=1),Tasks[[#This Row],[_Res3]]=""),0,IF(ISNA(MATCH(Tasks[[#This Row],[_Res3]],res_Name,0)),0,N(Tasks[[#This Row],[Duration]])*HoursPerDay*IF(Tasks[[#This Row],[_Res3Units]]="",DefaultUnits,Tasks[[#This Row],[_Res3Units]])))</f>
        <v>0</v>
      </c>
      <c r="DF43" s="45" t="n">
        <f aca="false">IF(Tasks[[#This Row],[_Res3Work]]=0,0,Tasks[[#This Row],[_Res3Work]]*IFERROR(INDEX(res_Rate,MATCH(Tasks[[#This Row],[_Res3]],res_Name,0)),0))</f>
        <v>0</v>
      </c>
      <c r="DG43" s="45" t="n">
        <f aca="false">IF(AND(AND(Tasks[[#This Row],[_IsLeaf]]=1,Tasks[[#This Row],[_LeafTotalWork]]&gt;0),Tasks[[#This Row],[_Res3Work]]&gt;0),Tasks[[#This Row],[_Res3Work]]/(Tasks[[#This Row],[_FinishWorkday]]-Tasks[[#This Row],[_StartWorkday]]+1),0)</f>
        <v>0</v>
      </c>
      <c r="DH43" s="45" t="n">
        <f aca="false">Tasks[[#This Row],[_Res3WorkPerWD]]*MAX(0,Tasks[[#This Row],[_StartWorkday]]-1)</f>
        <v>0</v>
      </c>
      <c r="DI43" s="45" t="n">
        <f aca="false">Tasks[[#This Row],[_Res3Work]]*Tasks[[#This Row],[_LeafProgress]]</f>
        <v>0</v>
      </c>
      <c r="DJ43" s="45" t="n">
        <f aca="false">IF(Tasks[[#This Row],[_LeafTotalCost]]=0,0,Tasks[[#This Row],[_LeafAC]]*Tasks[[#This Row],[_Res3Cost]]/Tasks[[#This Row],[_LeafTotalCost]])</f>
        <v>0</v>
      </c>
      <c r="DK4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4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43" s="45" t="n">
        <f aca="false">IF(OR(NOT(Tasks[[#This Row],[_IsLeaf]]=1),Tasks[[#This Row],[_Res4]]=""),0,IF(ISNA(MATCH(Tasks[[#This Row],[_Res4]],res_Name,0)),0,N(Tasks[[#This Row],[Duration]])*HoursPerDay*IF(Tasks[[#This Row],[_Res4Units]]="",DefaultUnits,Tasks[[#This Row],[_Res4Units]])))</f>
        <v>0</v>
      </c>
      <c r="DN43" s="45" t="n">
        <f aca="false">IF(Tasks[[#This Row],[_Res4Work]]=0,0,Tasks[[#This Row],[_Res4Work]]*IFERROR(INDEX(res_Rate,MATCH(Tasks[[#This Row],[_Res4]],res_Name,0)),0))</f>
        <v>0</v>
      </c>
      <c r="DO43" s="45" t="n">
        <f aca="false">IF(AND(AND(Tasks[[#This Row],[_IsLeaf]]=1,Tasks[[#This Row],[_LeafTotalWork]]&gt;0),Tasks[[#This Row],[_Res4Work]]&gt;0),Tasks[[#This Row],[_Res4Work]]/(Tasks[[#This Row],[_FinishWorkday]]-Tasks[[#This Row],[_StartWorkday]]+1),0)</f>
        <v>0</v>
      </c>
      <c r="DP43" s="45" t="n">
        <f aca="false">Tasks[[#This Row],[_Res4WorkPerWD]]*MAX(0,Tasks[[#This Row],[_StartWorkday]]-1)</f>
        <v>0</v>
      </c>
      <c r="DQ43" s="45" t="n">
        <f aca="false">Tasks[[#This Row],[_Res4Work]]*Tasks[[#This Row],[_LeafProgress]]</f>
        <v>0</v>
      </c>
      <c r="DR43" s="45" t="n">
        <f aca="false">IF(Tasks[[#This Row],[_LeafTotalCost]]=0,0,Tasks[[#This Row],[_LeafAC]]*Tasks[[#This Row],[_Res4Cost]]/Tasks[[#This Row],[_LeafTotalCost]])</f>
        <v>0</v>
      </c>
      <c r="DS43" s="45" t="n">
        <f aca="false">IF(ISNUMBER(Tasks[[#This Row],[% Complete]]),Tasks[[#This Row],[% Complete]],IF(Tasks[[#This Row],[Stage]]="",0,IFERROR(INDEX(stg_Pct,MATCH(Tasks[[#This Row],[Stage]],stg_Name,0)),0)))</f>
        <v>0</v>
      </c>
      <c r="DT43" s="45" t="n">
        <f aca="false">IF(NOT(Tasks[[#This Row],[_IsLeaf]]=1),0,IF(N(Tasks[[#This Row],[Actual Finish]])&gt;0,1,MIN(1,Tasks[[#This Row],[_Pct]])))</f>
        <v>0</v>
      </c>
      <c r="DU43" s="45" t="n">
        <f aca="false">IF(OR(NOT(Tasks[[#This Row],[_IsLeaf]]=1),Tasks[[#This Row],[_Resource1]]=""),0,IF(ISNA(MATCH(Tasks[[#This Row],[_Resource1]],res_Name,0)),0,N(Tasks[[#This Row],[Duration]])*HoursPerDay*IF(Tasks[[#This Row],[_Units1]]="",DefaultUnits,Tasks[[#This Row],[_Units1]])))</f>
        <v>0</v>
      </c>
      <c r="DV43" s="45" t="n">
        <f aca="false">IF(Tasks[[#This Row],[_LeafWork]]=0,0,Tasks[[#This Row],[_LeafWork]]*IFERROR(INDEX(res_Rate,MATCH(Tasks[[#This Row],[_Resource1]],res_Name,0)),0))</f>
        <v>0</v>
      </c>
      <c r="DW43" s="45" t="n">
        <f aca="false">Tasks[[#This Row],[_LeafWork]]+Tasks[[#This Row],[_Res2Work]]+Tasks[[#This Row],[_Res3Work]]+Tasks[[#This Row],[_Res4Work]]</f>
        <v>0</v>
      </c>
      <c r="DX43" s="45" t="n">
        <f aca="false">Tasks[[#This Row],[_LeafCost]]+Tasks[[#This Row],[_Res2Cost]]+Tasks[[#This Row],[_Res3Cost]]+Tasks[[#This Row],[_Res4Cost]]</f>
        <v>0</v>
      </c>
      <c r="DY43" s="45" t="n">
        <f aca="false">IF(Tasks[[#This Row],[_LeafTotalCost]]=0,Tasks[[#This Row],[_LeafAC]],Tasks[[#This Row],[_LeafAC]]*Tasks[[#This Row],[_LeafCost]]/Tasks[[#This Row],[_LeafTotalCost]])</f>
        <v>0</v>
      </c>
      <c r="DZ4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4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4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4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4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4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4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4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43" s="45" t="n">
        <f aca="false">IF(NOT(Tasks[[#This Row],[_IsLeaf]]=1),0,MAX(_xlfn.MAXIFS(Tasks[_Row],Tasks[_Pred1UID],Tasks[[#This Row],[UID]]),_xlfn.MAXIFS(Tasks[_Row],Tasks[_Pred2UID],Tasks[[#This Row],[UID]]),_xlfn.MAXIFS(Tasks[_Row],Tasks[_Pred3UID],Tasks[[#This Row],[UID]]),_xlfn.MAXIFS(Tasks[_Row],Tasks[_Pred4UID],Tasks[[#This Row],[UID]])))</f>
        <v>0</v>
      </c>
      <c r="EI4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4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43" s="74" t="str">
        <f aca="false">IF(NOT(Tasks[[#This Row],[_IsLeaf]]=1),"",IF(N(Tasks[[#This Row],[Duration]])&lt;=0,Tasks[[#This Row],[_LeafLateFinish]],WORKDAY.INTL(Tasks[[#This Row],[_LeafLateFinish]],-(Tasks[[#This Row],[Duration]]-1),WorkWeek,Holidays)))</f>
        <v/>
      </c>
      <c r="EL4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43" s="73" t="b">
        <f aca="false">AND(Tasks[[#This Row],[_IsLeaf]]=1,Tasks[[#This Row],[_LeafProgress]]&lt;1,N(Tasks[[#This Row],[_LeafTotalSlack]])&lt;=CriticalSlackDays)</f>
        <v>0</v>
      </c>
      <c r="EN43" s="45" t="n">
        <f aca="false">IF(AND(Tasks[[#This Row],[_IsLeaf]]=1,Tasks[[#This Row],[_ConstraintCode]]=1,Tasks[[#This Row],[Mode]]&lt;&gt;"Manual",N(Tasks[[#This Row],[Actual Start]])=0),MAX(0,N(Tasks[[#This Row],[Free Slack]])),0)</f>
        <v>0</v>
      </c>
      <c r="EO43" s="74" t="str">
        <f aca="false">IF(NOT(Tasks[[#This Row],[_IsLeaf]]=1),"",IF(Tasks[[#This Row],[_AlapShift]]=0,Tasks[[#This Row],[_LeafCalcStart]],WORKDAY.INTL(Tasks[[#This Row],[_LeafCalcStart]],Tasks[[#This Row],[_AlapShift]],WorkWeek,Holidays)))</f>
        <v/>
      </c>
      <c r="EP43" s="74" t="str">
        <f aca="false">IF(NOT(Tasks[[#This Row],[_IsLeaf]]=1),"",IF(Tasks[[#This Row],[_AlapShift]]=0,Tasks[[#This Row],[_LeafCalcFinish]],WORKDAY.INTL(Tasks[[#This Row],[_LeafCalcFinish]],Tasks[[#This Row],[_AlapShift]],WorkWeek,Holidays)))</f>
        <v/>
      </c>
      <c r="EQ43" s="74" t="str">
        <f aca="false">IF(NOT(Tasks[[#This Row],[_IsLeaf]]=1),"",IF(Tasks[[#This Row],[_AlapShift]]=0,Tasks[[#This Row],[_LeafFcstStart]],WORKDAY.INTL(Tasks[[#This Row],[_LeafFcstStart]],Tasks[[#This Row],[_AlapShift]],WorkWeek,Holidays)))</f>
        <v/>
      </c>
      <c r="ER43" s="74" t="str">
        <f aca="false">IF(NOT(Tasks[[#This Row],[_IsLeaf]]=1),"",IF(Tasks[[#This Row],[_AlapShift]]=0,Tasks[[#This Row],[_LeafFcstFinish]],WORKDAY.INTL(Tasks[[#This Row],[_LeafFcstFinish]],Tasks[[#This Row],[_AlapShift]],WorkWeek,Holidays)))</f>
        <v/>
      </c>
      <c r="ES43" s="74" t="str">
        <f aca="false">IF(Tasks[[#This Row],[Task Name]]="","",IF(Tasks[[#This Row],[_IsSummary]],MIN(INDEX(Tasks[_ShownCalcStart],Tasks[[#This Row],[_Row]]+1):INDEX(Tasks[_ShownCalcStart],Tasks[[#This Row],[_Row]]+Tasks[[#This Row],[_Descendants]])),Tasks[[#This Row],[_ShownCalcStart]]))</f>
        <v/>
      </c>
      <c r="ET43" s="74" t="str">
        <f aca="false">IF(Tasks[[#This Row],[Task Name]]="","",IF(Tasks[[#This Row],[_IsSummary]],MAX(INDEX(Tasks[_ShownCalcFinish],Tasks[[#This Row],[_Row]]+1):INDEX(Tasks[_ShownCalcFinish],Tasks[[#This Row],[_Row]]+Tasks[[#This Row],[_Descendants]])),Tasks[[#This Row],[_ShownCalcFinish]]))</f>
        <v/>
      </c>
      <c r="EU4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4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4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4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4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4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4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4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4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4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4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4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43" s="45" t="n">
        <f aca="false">IF(AND(Tasks[[#This Row],[_IsLeaf]]=1,Tasks[[#This Row],[_LeafTotalWork]]&gt;0),NETWORKDAYS.INTL(ProjectStart,Tasks[[#This Row],[_ShownFcstStart]],WorkWeek,Holidays),0)</f>
        <v>0</v>
      </c>
      <c r="FH43" s="45" t="n">
        <f aca="false">IF(AND(Tasks[[#This Row],[_IsLeaf]]=1,Tasks[[#This Row],[_LeafTotalWork]]&gt;0),MAX(Tasks[[#This Row],[_StartWorkday]],NETWORKDAYS.INTL(ProjectStart,Tasks[[#This Row],[_ShownFcstFinish]],WorkWeek,Holidays)),0)</f>
        <v>0</v>
      </c>
      <c r="FI43" s="45" t="n">
        <f aca="false">IF(AND(Tasks[[#This Row],[_IsLeaf]]=1,Tasks[[#This Row],[_LeafTotalWork]]&gt;0),Tasks[[#This Row],[_LeafWork]]/(Tasks[[#This Row],[_FinishWorkday]]-Tasks[[#This Row],[_StartWorkday]]+1),0)</f>
        <v>0</v>
      </c>
      <c r="FJ43" s="45" t="n">
        <f aca="false">Tasks[[#This Row],[_WorkPerWorkday]]*(Tasks[[#This Row],[_StartWorkday]]-1)</f>
        <v>-0</v>
      </c>
      <c r="FK43" s="45" t="n">
        <f aca="false">IF(Tasks[[#This Row],[_IsLeaf]]=1,MAX(N(Tasks[[#This Row],[Duration]]),0.1),0)</f>
        <v>0</v>
      </c>
      <c r="FL43" s="45" t="n">
        <f aca="false">Tasks[[#This Row],[_WeightDur]]*Tasks[[#This Row],[_LeafProgress]]</f>
        <v>0</v>
      </c>
      <c r="FM4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43" s="45" t="str">
        <f aca="false">IF(AND(Tasks[[#This Row],[_IsLeaf]]=1,N(Tasks[[#This Row],[Duration]])=0,Tasks[[#This Row],[_LeafProgress]]&lt;1),Tasks[[#This Row],[_ShownFcstFinish]]+Tasks[[#This Row],[_Row]]/100000,"")</f>
        <v/>
      </c>
      <c r="FO4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43" s="45" t="n">
        <f aca="false">IF(NOT(Tasks[[#This Row],[_IsLeaf]]=1),0,IF(Tasks[[#This Row],[Baseline Cost]]="",Tasks[[#This Row],[_LeafTotalCost]],N(Tasks[[#This Row],[Baseline Cost]])))</f>
        <v>0</v>
      </c>
      <c r="FQ43" s="45" t="n">
        <f aca="false">Tasks[[#This Row],[_LeafBudget]]*Tasks[[#This Row],[_PlannedPct]]</f>
        <v>0</v>
      </c>
      <c r="FR43" s="45" t="n">
        <f aca="false">Tasks[[#This Row],[_LeafBudget]]*Tasks[[#This Row],[_LeafProgress]]</f>
        <v>0</v>
      </c>
      <c r="FS43" s="45" t="n">
        <f aca="false">IF(NOT(Tasks[[#This Row],[_IsLeaf]]=1),0,IF(Tasks[[#This Row],[Actual Cost]]="",Tasks[[#This Row],[_LeafTotalCost]]*Tasks[[#This Row],[_LeafProgress]],N(Tasks[[#This Row],[Actual Cost]])))</f>
        <v>0</v>
      </c>
      <c r="FT43" s="45" t="str">
        <f aca="false">IF(Tasks[[#This Row],[Task Name]]="","",LEFT(Tasks[[#This Row],[WBS]],FIND(".",Tasks[[#This Row],[WBS]]&amp;".")-1))</f>
        <v/>
      </c>
      <c r="FU43" s="45" t="str">
        <f aca="false">IF(AND(Tasks[[#This Row],[Task Name]]&lt;&gt;"",Tasks[[#This Row],[_Level]]=1),Tasks[[#This Row],[_Row]],"")</f>
        <v/>
      </c>
      <c r="FV43" s="45" t="str">
        <f aca="false">IF(AND(Tasks[[#This Row],[_IsLeaf]]=1,N(Tasks[[#This Row],[Duration]])=0),Tasks[[#This Row],[Planned Finish]]+Tasks[[#This Row],[_Row]]/100000,"")</f>
        <v/>
      </c>
      <c r="FW43" s="45" t="str">
        <f aca="false">IF(AND(Tasks[[#This Row],[_IsLeaf]]=1,Tasks[[#This Row],[_LeafProgress]]&lt;1,OR(N(Tasks[[#This Row],[Finish Var]])&gt;0,Tasks[[#This Row],[Status]]="Late Start")),MAX(0,Tasks[[#This Row],[Finish Var]])+1-Tasks[[#This Row],[_Row]]/1000000,"")</f>
        <v/>
      </c>
      <c r="FX43" s="45" t="str">
        <f aca="false">IF(AND(Tasks[[#This Row],[_IsLeaf]]=1,N(Tasks[[#This Row],[Actual Start]])=0,Tasks[[#This Row],[_ShownFcstStart]]&gt;=StatusDate,Tasks[[#This Row],[_ShownFcstStart]]&lt;=LookaheadEnd),Tasks[[#This Row],[_ShownFcstStart]]+Tasks[[#This Row],[_Row]]/100000,"")</f>
        <v/>
      </c>
      <c r="FY43" s="45" t="str">
        <f aca="false">IF(AND(Tasks[[#This Row],[_IsLeaf]]=1,Tasks[[#This Row],[_LeafProgress]]&lt;1,Tasks[[#This Row],[_ShownFcstFinish]]&gt;=StatusDate,Tasks[[#This Row],[_ShownFcstFinish]]&lt;=LookaheadEnd),Tasks[[#This Row],[_ShownFcstFinish]]+Tasks[[#This Row],[_Row]]/100000,"")</f>
        <v/>
      </c>
      <c r="FZ43" s="45" t="str">
        <f aca="false">IF(Tasks[[#This Row],[_LeafCritical]],Tasks[[#This Row],[_ShownFcstStart]]+Tasks[[#This Row],[_Row]]/100000,"")</f>
        <v/>
      </c>
      <c r="GA43" s="45" t="n">
        <f aca="false">Tasks[[#This Row],[_LeafWork]]*Tasks[[#This Row],[_LeafProgress]]</f>
        <v>0</v>
      </c>
      <c r="GB43" s="74" t="str">
        <f aca="false">IF(AND(Tasks[[#This Row],[_IsLeaf]]=1,Tasks[[#This Row],[_LeafProgress]]&gt;=1),IF(N(Tasks[[#This Row],[Actual Finish]])&gt;0,Tasks[[#This Row],[Actual Finish]],Tasks[[#This Row],[_ShownFcstFinish]]),"")</f>
        <v/>
      </c>
    </row>
    <row r="44" customFormat="false" ht="15" hidden="false" customHeight="false" outlineLevel="0" collapsed="false">
      <c r="A44" s="67" t="str">
        <f aca="false">IF(Tasks[[#This Row],[Task Name]]="","",COUNTA(Tasks[[#Headers],[Task Name]]:Tasks[[#This Row],[Task Name]])-1)</f>
        <v/>
      </c>
      <c r="B44" s="21" t="n">
        <v>39</v>
      </c>
      <c r="C4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21"/>
      <c r="E44" s="22"/>
      <c r="F44" s="21"/>
      <c r="G44" s="22"/>
      <c r="H44" s="22"/>
      <c r="I44" s="22"/>
      <c r="J44" s="7"/>
      <c r="K44" s="7"/>
      <c r="L44" s="22"/>
      <c r="M44" s="58" t="str">
        <f aca="false">IF(Tasks[[#This Row],[Task Name]]="","",IF(Tasks[[#This Row],[_IsSummary]],MIN(INDEX(Tasks[_ShownFcstStart],Tasks[[#This Row],[_Row]]+1):INDEX(Tasks[_ShownFcstStart],Tasks[[#This Row],[_Row]]+Tasks[[#This Row],[_Descendants]])),Tasks[[#This Row],[_ShownFcstStart]]))</f>
        <v/>
      </c>
      <c r="N44" s="58" t="str">
        <f aca="false">IF(Tasks[[#This Row],[Task Name]]="","",IF(Tasks[[#This Row],[_IsSummary]],MAX(INDEX(Tasks[_ShownFcstFinish],Tasks[[#This Row],[_Row]]+1):INDEX(Tasks[_ShownFcstFinish],Tasks[[#This Row],[_Row]]+Tasks[[#This Row],[_Descendants]])),Tasks[[#This Row],[_ShownFcstFinish]]))</f>
        <v/>
      </c>
      <c r="O44" s="20" t="str">
        <f aca="false">IF(Tasks[[#This Row],[Task Name]]="","",IF(Tasks[[#This Row],[Progress]]&gt;=1,"Complete",IF(OR(N(Tasks[[#This Row],[Actual Start]])&gt;0,Tasks[[#This Row],[Progress]]&gt;0),IF(Tasks[[#This Row],[Finish Var]]&gt;0,"Behind","In Progress"),IF(Tasks[[#This Row],[Planned Start]]&lt;StatusDate,"Late Start","Not Started"))))</f>
        <v/>
      </c>
      <c r="P44" s="20" t="str">
        <f aca="false">IF(Tasks[[#This Row],[Task Name]]="","",IF(IF(Tasks[[#This Row],[_IsSummary]],COUNTIF(INDEX(Tasks[_LeafCritical],Tasks[[#This Row],[_Row]]+1):INDEX(Tasks[_LeafCritical],Tasks[[#This Row],[_Row]]+Tasks[[#This Row],[_Descendants]]),TRUE())&gt;0,Tasks[[#This Row],[_LeafCritical]]),"Yes",""))</f>
        <v/>
      </c>
      <c r="Q4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44" s="67" t="str">
        <f aca="false">IF(Tasks[[#This Row],[Task Name]]="","",IF(Tasks[[#This Row],[_Level]]&lt;=OutlineShowLevel,"Yes","No"))</f>
        <v/>
      </c>
      <c r="S44" s="7"/>
      <c r="T44" s="21"/>
      <c r="U44" s="22"/>
      <c r="V44" s="7"/>
      <c r="W44" s="67" t="str">
        <f aca="false">IF(Tasks[[#This Row],[Task Name]]="","",IF(Tasks[[#This Row],[Finish]]&gt;=Tasks[[#This Row],[Planned Finish]],NETWORKDAYS.INTL(Tasks[[#This Row],[Planned Finish]],Tasks[[#This Row],[Finish]],WorkWeek,Holidays)-1,1-NETWORKDAYS.INTL(Tasks[[#This Row],[Finish]],Tasks[[#This Row],[Planned Finish]],WorkWeek,Holidays)))</f>
        <v/>
      </c>
      <c r="X44" s="58" t="str">
        <f aca="false">IF(Tasks[[#This Row],[Task Name]]="","",IF(N(Tasks[[#This Row],[Baseline Start]])&gt;0,Tasks[[#This Row],[Baseline Start]],Tasks[[#This Row],[_CalcStart]]))</f>
        <v/>
      </c>
      <c r="Y44" s="58" t="str">
        <f aca="false">IF(Tasks[[#This Row],[Task Name]]="","",IF(N(Tasks[[#This Row],[Baseline Finish]])&gt;0,Tasks[[#This Row],[Baseline Finish]],Tasks[[#This Row],[_CalcFinish]]))</f>
        <v/>
      </c>
      <c r="Z44" s="67" t="str">
        <f aca="false">IF(Tasks[[#This Row],[Task Name]]="","",IF(Tasks[[#This Row],[Start]]&gt;=Tasks[[#This Row],[Planned Start]],NETWORKDAYS.INTL(Tasks[[#This Row],[Planned Start]],Tasks[[#This Row],[Start]],WorkWeek,Holidays)-1,1-NETWORKDAYS.INTL(Tasks[[#This Row],[Start]],Tasks[[#This Row],[Planned Start]],WorkWeek,Holidays)))</f>
        <v/>
      </c>
      <c r="AA44" s="58" t="str">
        <f aca="false">IF(Tasks[[#This Row],[Task Name]]="","",IF(Tasks[[#This Row],[_IsSummary]],MIN(INDEX(Tasks[_LeafLateStart],Tasks[[#This Row],[_Row]]+1):INDEX(Tasks[_LeafLateStart],Tasks[[#This Row],[_Row]]+Tasks[[#This Row],[_Descendants]])),Tasks[[#This Row],[_LeafLateStart]]))</f>
        <v/>
      </c>
      <c r="AB44" s="58" t="str">
        <f aca="false">IF(Tasks[[#This Row],[Task Name]]="","",IF(Tasks[[#This Row],[_IsSummary]],MAX(INDEX(Tasks[_LeafLateFinish],Tasks[[#This Row],[_Row]]+1):INDEX(Tasks[_LeafLateFinish],Tasks[[#This Row],[_Row]]+Tasks[[#This Row],[_Descendants]])),Tasks[[#This Row],[_LeafLateFinish]]))</f>
        <v/>
      </c>
      <c r="AC44" s="67" t="str">
        <f aca="false">IF(Tasks[[#This Row],[Task Name]]="","",IF(Tasks[[#This Row],[_IsSummary]],MIN(INDEX(Tasks[_LeafTotalSlack],Tasks[[#This Row],[_Row]]+1):INDEX(Tasks[_LeafTotalSlack],Tasks[[#This Row],[_Row]]+Tasks[[#This Row],[_Descendants]])),Tasks[[#This Row],[_LeafTotalSlack]]))</f>
        <v/>
      </c>
      <c r="AD4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4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4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44" s="60"/>
      <c r="AH4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4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44" s="69" t="str">
        <f aca="false">IF(Tasks[[#This Row],[Task Name]]="","",IF(Tasks[[#This Row],[_IsSummary]],SUM(INDEX(Tasks[_LeafTotalWork],Tasks[[#This Row],[_Row]]+1):INDEX(Tasks[_LeafTotalWork],Tasks[[#This Row],[_Row]]+Tasks[[#This Row],[_Descendants]])),Tasks[[#This Row],[_LeafTotalWork]]))</f>
        <v/>
      </c>
      <c r="AK4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44" s="70" t="str">
        <f aca="false">IF(Tasks[[#This Row],[Task Name]]="","",IF(Tasks[[#This Row],[_IsSummary]],SUM(INDEX(Tasks[_LeafTotalCost],Tasks[[#This Row],[_Row]]+1):INDEX(Tasks[_LeafTotalCost],Tasks[[#This Row],[_Row]]+Tasks[[#This Row],[_Descendants]])),Tasks[[#This Row],[_LeafTotalCost]]))</f>
        <v/>
      </c>
      <c r="AM44" s="71"/>
      <c r="AN44" s="20" t="str">
        <f aca="false">IF(OR(Tasks[[#This Row],[Task Name]]="",Tasks[[#This Row],[Baseline Duration]]=""),"",Tasks[[#This Row],[BL Source Duration]]-N(Tasks[[#This Row],[Baseline Duration]]))</f>
        <v/>
      </c>
      <c r="AO44" s="69" t="str">
        <f aca="false">IF(OR(Tasks[[#This Row],[Task Name]]="",Tasks[[#This Row],[Baseline Work]]=""),"",Tasks[[#This Row],[Work]]-N(Tasks[[#This Row],[Baseline Work]]))</f>
        <v/>
      </c>
      <c r="AP44" s="70" t="str">
        <f aca="false">IF(OR(Tasks[[#This Row],[Task Name]]="",Tasks[[#This Row],[Baseline Cost]]=""),"",Tasks[[#This Row],[Cost]]-N(Tasks[[#This Row],[Baseline Cost]]))</f>
        <v/>
      </c>
      <c r="AQ44" s="58" t="str">
        <f aca="false">IF(Tasks[[#This Row],[Task Name]]="","",Tasks[[#This Row],[Start]])</f>
        <v/>
      </c>
      <c r="AR44" s="58" t="str">
        <f aca="false">IF(Tasks[[#This Row],[Task Name]]="","",Tasks[[#This Row],[Finish]])</f>
        <v/>
      </c>
      <c r="AS44" s="67" t="str">
        <f aca="false">IF(Tasks[[#This Row],[Task Name]]="","",IF(Tasks[[#This Row],[_IsSummary]],NETWORKDAYS.INTL(Tasks[[#This Row],[Start]],Tasks[[#This Row],[Finish]],WorkWeek,Holidays),N(Tasks[[#This Row],[Duration]])))</f>
        <v/>
      </c>
      <c r="AT44" s="69" t="str">
        <f aca="false">IF(Tasks[[#This Row],[Task Name]]="","",Tasks[[#This Row],[Work]])</f>
        <v/>
      </c>
      <c r="AU44" s="70" t="str">
        <f aca="false">IF(Tasks[[#This Row],[Task Name]]="","",Tasks[[#This Row],[Cost]])</f>
        <v/>
      </c>
      <c r="AV44" s="7"/>
      <c r="AW44" s="7"/>
      <c r="AX44" s="21"/>
      <c r="AY44" s="72"/>
      <c r="AZ44" s="71"/>
      <c r="BA44" s="70" t="str">
        <f aca="false">IF(Tasks[[#This Row],[Task Name]]="","",IF(Tasks[[#This Row],[_IsSummary]],SUM(INDEX(Tasks[_LeafEV],Tasks[[#This Row],[_Row]]+1):INDEX(Tasks[_LeafEV],Tasks[[#This Row],[_Row]]+Tasks[[#This Row],[_Descendants]])),Tasks[[#This Row],[_LeafEV]]))</f>
        <v/>
      </c>
      <c r="BB44" s="70" t="str">
        <f aca="false">IF(Tasks[[#This Row],[Task Name]]="","",IF(Tasks[[#This Row],[_IsSummary]],SUM(INDEX(Tasks[_LeafBudget],Tasks[[#This Row],[_Row]]+1):INDEX(Tasks[_LeafBudget],Tasks[[#This Row],[_Row]]+Tasks[[#This Row],[_Descendants]])),Tasks[[#This Row],[_LeafBudget]]))</f>
        <v/>
      </c>
      <c r="BC44" s="70" t="str">
        <f aca="false">IF(Tasks[[#This Row],[Task Name]]="","",IF(Tasks[[#This Row],[_IsSummary]],SUM(INDEX(Tasks[_LeafPV],Tasks[[#This Row],[_Row]]+1):INDEX(Tasks[_LeafPV],Tasks[[#This Row],[_Row]]+Tasks[[#This Row],[_Descendants]])),Tasks[[#This Row],[_LeafPV]]))</f>
        <v/>
      </c>
      <c r="BD44" s="70" t="str">
        <f aca="false">IF(Tasks[[#This Row],[Task Name]]="","",IF(Tasks[[#This Row],[_IsSummary]],SUM(INDEX(Tasks[_LeafAC],Tasks[[#This Row],[_Row]]+1):INDEX(Tasks[_LeafAC],Tasks[[#This Row],[_Row]]+Tasks[[#This Row],[_Descendants]])),Tasks[[#This Row],[_LeafAC]]))</f>
        <v/>
      </c>
      <c r="BE44" s="45" t="str">
        <f aca="false">IF(Tasks[[#This Row],[Task Name]]="","",MAX(1,N(Tasks[[#This Row],[Level]])))</f>
        <v/>
      </c>
      <c r="BF44" s="45" t="n">
        <f aca="false">ROW()-ROW(Tasks[[#Headers],[ID]])</f>
        <v>39</v>
      </c>
      <c r="BG44" s="45" t="n">
        <f aca="false">IF(OR(Tasks[[#This Row],[Task Name]]="",Tasks[[#This Row],[_Level]]&lt;=1),0,IFERROR(LOOKUP(2,1/(Tasks[[#Headers],[_Level]]:Tasks[[#This Row],[_Level]]=Tasks[[#This Row],[_Level]]-1),ROW(Tasks[[#Headers],[_Level]]:Tasks[[#This Row],[_Level]])),0))</f>
        <v>0</v>
      </c>
      <c r="BH44" s="45" t="n">
        <f aca="false">IFERROR(N(INDEX(Tasks[_Level],Tasks[[#This Row],[_Row]]+1)),0)</f>
        <v>0</v>
      </c>
      <c r="BI44" s="73" t="b">
        <f aca="false">AND(Tasks[[#This Row],[Task Name]]&lt;&gt;"",Tasks[[#This Row],[_NextLevel]]&gt;Tasks[[#This Row],[_Level]])</f>
        <v>0</v>
      </c>
      <c r="BJ44" s="45" t="n">
        <f aca="false">IF(Tasks[[#This Row],[_IsSummary]],COUNTIF(Tasks[WBS],Tasks[[#This Row],[WBS]]&amp;".*"),0)</f>
        <v>0</v>
      </c>
      <c r="BK44" s="45" t="n">
        <f aca="false">IF(AND(Tasks[[#This Row],[Task Name]]&lt;&gt;"",NOT(Tasks[[#This Row],[_IsSummary]])),1,0)</f>
        <v>0</v>
      </c>
      <c r="BL44" s="45" t="n">
        <f aca="false">IF(N(Tasks[[#This Row],[_Pred1UID]])=0,0,IFERROR(MATCH(Tasks[[#This Row],[_Pred1UID]],Tasks[UID],0),-1))</f>
        <v>0</v>
      </c>
      <c r="BM44" s="45" t="n">
        <f aca="false">IF(N(Tasks[[#This Row],[_Pred2UID]])=0,0,IFERROR(MATCH(Tasks[[#This Row],[_Pred2UID]],Tasks[UID],0),-1))</f>
        <v>0</v>
      </c>
      <c r="BN44" s="45" t="n">
        <f aca="false">IF(N(Tasks[[#This Row],[_Pred3UID]])=0,0,IFERROR(MATCH(Tasks[[#This Row],[_Pred3UID]],Tasks[UID],0),-1))</f>
        <v>0</v>
      </c>
      <c r="BO44" s="45" t="n">
        <f aca="false">IF(N(Tasks[[#This Row],[_Pred4UID]])=0,0,IFERROR(MATCH(Tasks[[#This Row],[_Pred4UID]],Tasks[UID],0),-1))</f>
        <v>0</v>
      </c>
      <c r="BP4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4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44" s="74" t="n">
        <f aca="false">IF(OR(Tasks[[#This Row],[_ConstraintCode]]=2,Tasks[[#This Row],[_ConstraintCode]]=3,Tasks[[#This Row],[_ConstraintCode]]=4,Tasks[[#This Row],[_ConstraintCode]]=6),Tasks[[#This Row],[_ConstraintStart]],0)</f>
        <v>0</v>
      </c>
      <c r="BS44" s="74" t="n">
        <f aca="false">IF(OR(Tasks[[#This Row],[_ConstraintCode]]=2,Tasks[[#This Row],[_ConstraintCode]]=3,Tasks[[#This Row],[_ConstraintCode]]=5,Tasks[[#This Row],[_ConstraintCode]]=7),Tasks[[#This Row],[_ConstraintStart]],2958465)</f>
        <v>2958465</v>
      </c>
      <c r="BT4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44" s="74" t="str">
        <f aca="false">IF(NOT(Tasks[[#This Row],[_IsLeaf]]=1),"",IF(N(Tasks[[#This Row],[Duration]])&lt;=0,Tasks[[#This Row],[_LeafCalcStart]],WORKDAY.INTL(Tasks[[#This Row],[_LeafCalcStart]],Tasks[[#This Row],[Duration]]-1,WorkWeek,Holidays)))</f>
        <v/>
      </c>
      <c r="BV4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4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44" s="45" t="str">
        <f aca="false">IF(Tasks[[#This Row],[Predecessors]]="","",TRIM(MID(SUBSTITUTE(SUBSTITUTE(SUBSTITUTE(UPPER(Tasks[[#This Row],[Predecessors]]),";",",")," ",""),",",REPT(" ",99)),1,99)))</f>
        <v/>
      </c>
      <c r="BY44" s="45" t="str">
        <f aca="false">IF(Tasks[[#This Row],[_Pred1Text]]="","",IFERROR(VALUE(LEFT(Tasks[[#This Row],[_Pred1Text]],MIN(FIND("F",Tasks[[#This Row],[_Pred1Text]]&amp;"F"),FIND("S",Tasks[[#This Row],[_Pred1Text]]&amp;"S"),FIND("+",Tasks[[#This Row],[_Pred1Text]]&amp;"+"),FIND("-",Tasks[[#This Row],[_Pred1Text]]&amp;"-"))-1)),""))</f>
        <v/>
      </c>
      <c r="BZ4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4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44" s="45" t="str">
        <f aca="false">IF(Tasks[[#This Row],[_Pred1Text]]="","",TRIM(MID(SUBSTITUTE(SUBSTITUTE(SUBSTITUTE(UPPER(Tasks[[#This Row],[Predecessors]]),";",",")," ",""),",",REPT(" ",99)),100,99)))</f>
        <v/>
      </c>
      <c r="CC44" s="45" t="str">
        <f aca="false">IF(Tasks[[#This Row],[_Pred2Text]]="","",IFERROR(VALUE(LEFT(Tasks[[#This Row],[_Pred2Text]],MIN(FIND("F",Tasks[[#This Row],[_Pred2Text]]&amp;"F"),FIND("S",Tasks[[#This Row],[_Pred2Text]]&amp;"S"),FIND("+",Tasks[[#This Row],[_Pred2Text]]&amp;"+"),FIND("-",Tasks[[#This Row],[_Pred2Text]]&amp;"-"))-1)),""))</f>
        <v/>
      </c>
      <c r="CD4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4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44" s="45" t="str">
        <f aca="false">IF(Tasks[[#This Row],[_Pred2Text]]="","",TRIM(MID(SUBSTITUTE(SUBSTITUTE(SUBSTITUTE(UPPER(Tasks[[#This Row],[Predecessors]]),";",",")," ",""),",",REPT(" ",99)),199,99)))</f>
        <v/>
      </c>
      <c r="CG44" s="45" t="str">
        <f aca="false">IF(Tasks[[#This Row],[_Pred3Text]]="","",IFERROR(VALUE(LEFT(Tasks[[#This Row],[_Pred3Text]],MIN(FIND("F",Tasks[[#This Row],[_Pred3Text]]&amp;"F"),FIND("S",Tasks[[#This Row],[_Pred3Text]]&amp;"S"),FIND("+",Tasks[[#This Row],[_Pred3Text]]&amp;"+"),FIND("-",Tasks[[#This Row],[_Pred3Text]]&amp;"-"))-1)),""))</f>
        <v/>
      </c>
      <c r="CH4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4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44" s="45" t="str">
        <f aca="false">IF(Tasks[[#This Row],[_Pred3Text]]="","",TRIM(MID(SUBSTITUTE(SUBSTITUTE(SUBSTITUTE(UPPER(Tasks[[#This Row],[Predecessors]]),";",",")," ",""),",",REPT(" ",99)),298,99)))</f>
        <v/>
      </c>
      <c r="CK44" s="45" t="str">
        <f aca="false">IF(Tasks[[#This Row],[_Pred4Text]]="","",IFERROR(VALUE(LEFT(Tasks[[#This Row],[_Pred4Text]],MIN(FIND("F",Tasks[[#This Row],[_Pred4Text]]&amp;"F"),FIND("S",Tasks[[#This Row],[_Pred4Text]]&amp;"S"),FIND("+",Tasks[[#This Row],[_Pred4Text]]&amp;"+"),FIND("-",Tasks[[#This Row],[_Pred4Text]]&amp;"-"))-1)),""))</f>
        <v/>
      </c>
      <c r="CL4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4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44" s="45" t="str">
        <f aca="false">IF(OR(Tasks[[#This Row],[Task Name]]="",Tasks[[#This Row],[Resources]]=""),"",TRIM(MID(SUBSTITUTE(Tasks[[#This Row],[Resources]],",",REPT(" ",99)),1,99)))</f>
        <v/>
      </c>
      <c r="CO44" s="45" t="str">
        <f aca="false">IF(Tasks[[#This Row],[_Res1Text]]="","",TRIM(MID(SUBSTITUTE(Tasks[[#This Row],[Resources]],",",REPT(" ",99)),100,99)))</f>
        <v/>
      </c>
      <c r="CP44" s="45" t="str">
        <f aca="false">IF(Tasks[[#This Row],[_Res2Text]]="","",TRIM(MID(SUBSTITUTE(Tasks[[#This Row],[Resources]],",",REPT(" ",99)),199,99)))</f>
        <v/>
      </c>
      <c r="CQ44" s="45" t="str">
        <f aca="false">IF(Tasks[[#This Row],[_Res3Text]]="","",TRIM(MID(SUBSTITUTE(Tasks[[#This Row],[Resources]],",",REPT(" ",99)),298,99)))</f>
        <v/>
      </c>
      <c r="CR4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4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4" s="45" t="n">
        <f aca="false">IF(NOT(Tasks[[#This Row],[_IsLeaf]]=1),0,(Tasks[[#This Row],[_Resource1]]&lt;&gt;"")+(Tasks[[#This Row],[_Res2]]&lt;&gt;"")+(Tasks[[#This Row],[_Res3]]&lt;&gt;"")+(Tasks[[#This Row],[_Res4]]&lt;&gt;""))</f>
        <v>0</v>
      </c>
      <c r="CU4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4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4" s="45" t="n">
        <f aca="false">IF(OR(NOT(Tasks[[#This Row],[_IsLeaf]]=1),Tasks[[#This Row],[_Res2]]=""),0,IF(ISNA(MATCH(Tasks[[#This Row],[_Res2]],res_Name,0)),0,N(Tasks[[#This Row],[Duration]])*HoursPerDay*IF(Tasks[[#This Row],[_Res2Units]]="",DefaultUnits,Tasks[[#This Row],[_Res2Units]])))</f>
        <v>0</v>
      </c>
      <c r="CX44" s="45" t="n">
        <f aca="false">IF(Tasks[[#This Row],[_Res2Work]]=0,0,Tasks[[#This Row],[_Res2Work]]*IFERROR(INDEX(res_Rate,MATCH(Tasks[[#This Row],[_Res2]],res_Name,0)),0))</f>
        <v>0</v>
      </c>
      <c r="CY44" s="45" t="n">
        <f aca="false">IF(AND(AND(Tasks[[#This Row],[_IsLeaf]]=1,Tasks[[#This Row],[_LeafTotalWork]]&gt;0),Tasks[[#This Row],[_Res2Work]]&gt;0),Tasks[[#This Row],[_Res2Work]]/(Tasks[[#This Row],[_FinishWorkday]]-Tasks[[#This Row],[_StartWorkday]]+1),0)</f>
        <v>0</v>
      </c>
      <c r="CZ44" s="45" t="n">
        <f aca="false">Tasks[[#This Row],[_Res2WorkPerWD]]*MAX(0,Tasks[[#This Row],[_StartWorkday]]-1)</f>
        <v>0</v>
      </c>
      <c r="DA44" s="45" t="n">
        <f aca="false">Tasks[[#This Row],[_Res2Work]]*Tasks[[#This Row],[_LeafProgress]]</f>
        <v>0</v>
      </c>
      <c r="DB44" s="45" t="n">
        <f aca="false">IF(Tasks[[#This Row],[_LeafTotalCost]]=0,0,Tasks[[#This Row],[_LeafAC]]*Tasks[[#This Row],[_Res2Cost]]/Tasks[[#This Row],[_LeafTotalCost]])</f>
        <v>0</v>
      </c>
      <c r="DC4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4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44" s="45" t="n">
        <f aca="false">IF(OR(NOT(Tasks[[#This Row],[_IsLeaf]]=1),Tasks[[#This Row],[_Res3]]=""),0,IF(ISNA(MATCH(Tasks[[#This Row],[_Res3]],res_Name,0)),0,N(Tasks[[#This Row],[Duration]])*HoursPerDay*IF(Tasks[[#This Row],[_Res3Units]]="",DefaultUnits,Tasks[[#This Row],[_Res3Units]])))</f>
        <v>0</v>
      </c>
      <c r="DF44" s="45" t="n">
        <f aca="false">IF(Tasks[[#This Row],[_Res3Work]]=0,0,Tasks[[#This Row],[_Res3Work]]*IFERROR(INDEX(res_Rate,MATCH(Tasks[[#This Row],[_Res3]],res_Name,0)),0))</f>
        <v>0</v>
      </c>
      <c r="DG44" s="45" t="n">
        <f aca="false">IF(AND(AND(Tasks[[#This Row],[_IsLeaf]]=1,Tasks[[#This Row],[_LeafTotalWork]]&gt;0),Tasks[[#This Row],[_Res3Work]]&gt;0),Tasks[[#This Row],[_Res3Work]]/(Tasks[[#This Row],[_FinishWorkday]]-Tasks[[#This Row],[_StartWorkday]]+1),0)</f>
        <v>0</v>
      </c>
      <c r="DH44" s="45" t="n">
        <f aca="false">Tasks[[#This Row],[_Res3WorkPerWD]]*MAX(0,Tasks[[#This Row],[_StartWorkday]]-1)</f>
        <v>0</v>
      </c>
      <c r="DI44" s="45" t="n">
        <f aca="false">Tasks[[#This Row],[_Res3Work]]*Tasks[[#This Row],[_LeafProgress]]</f>
        <v>0</v>
      </c>
      <c r="DJ44" s="45" t="n">
        <f aca="false">IF(Tasks[[#This Row],[_LeafTotalCost]]=0,0,Tasks[[#This Row],[_LeafAC]]*Tasks[[#This Row],[_Res3Cost]]/Tasks[[#This Row],[_LeafTotalCost]])</f>
        <v>0</v>
      </c>
      <c r="DK4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4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44" s="45" t="n">
        <f aca="false">IF(OR(NOT(Tasks[[#This Row],[_IsLeaf]]=1),Tasks[[#This Row],[_Res4]]=""),0,IF(ISNA(MATCH(Tasks[[#This Row],[_Res4]],res_Name,0)),0,N(Tasks[[#This Row],[Duration]])*HoursPerDay*IF(Tasks[[#This Row],[_Res4Units]]="",DefaultUnits,Tasks[[#This Row],[_Res4Units]])))</f>
        <v>0</v>
      </c>
      <c r="DN44" s="45" t="n">
        <f aca="false">IF(Tasks[[#This Row],[_Res4Work]]=0,0,Tasks[[#This Row],[_Res4Work]]*IFERROR(INDEX(res_Rate,MATCH(Tasks[[#This Row],[_Res4]],res_Name,0)),0))</f>
        <v>0</v>
      </c>
      <c r="DO44" s="45" t="n">
        <f aca="false">IF(AND(AND(Tasks[[#This Row],[_IsLeaf]]=1,Tasks[[#This Row],[_LeafTotalWork]]&gt;0),Tasks[[#This Row],[_Res4Work]]&gt;0),Tasks[[#This Row],[_Res4Work]]/(Tasks[[#This Row],[_FinishWorkday]]-Tasks[[#This Row],[_StartWorkday]]+1),0)</f>
        <v>0</v>
      </c>
      <c r="DP44" s="45" t="n">
        <f aca="false">Tasks[[#This Row],[_Res4WorkPerWD]]*MAX(0,Tasks[[#This Row],[_StartWorkday]]-1)</f>
        <v>0</v>
      </c>
      <c r="DQ44" s="45" t="n">
        <f aca="false">Tasks[[#This Row],[_Res4Work]]*Tasks[[#This Row],[_LeafProgress]]</f>
        <v>0</v>
      </c>
      <c r="DR44" s="45" t="n">
        <f aca="false">IF(Tasks[[#This Row],[_LeafTotalCost]]=0,0,Tasks[[#This Row],[_LeafAC]]*Tasks[[#This Row],[_Res4Cost]]/Tasks[[#This Row],[_LeafTotalCost]])</f>
        <v>0</v>
      </c>
      <c r="DS44" s="45" t="n">
        <f aca="false">IF(ISNUMBER(Tasks[[#This Row],[% Complete]]),Tasks[[#This Row],[% Complete]],IF(Tasks[[#This Row],[Stage]]="",0,IFERROR(INDEX(stg_Pct,MATCH(Tasks[[#This Row],[Stage]],stg_Name,0)),0)))</f>
        <v>0</v>
      </c>
      <c r="DT44" s="45" t="n">
        <f aca="false">IF(NOT(Tasks[[#This Row],[_IsLeaf]]=1),0,IF(N(Tasks[[#This Row],[Actual Finish]])&gt;0,1,MIN(1,Tasks[[#This Row],[_Pct]])))</f>
        <v>0</v>
      </c>
      <c r="DU44" s="45" t="n">
        <f aca="false">IF(OR(NOT(Tasks[[#This Row],[_IsLeaf]]=1),Tasks[[#This Row],[_Resource1]]=""),0,IF(ISNA(MATCH(Tasks[[#This Row],[_Resource1]],res_Name,0)),0,N(Tasks[[#This Row],[Duration]])*HoursPerDay*IF(Tasks[[#This Row],[_Units1]]="",DefaultUnits,Tasks[[#This Row],[_Units1]])))</f>
        <v>0</v>
      </c>
      <c r="DV44" s="45" t="n">
        <f aca="false">IF(Tasks[[#This Row],[_LeafWork]]=0,0,Tasks[[#This Row],[_LeafWork]]*IFERROR(INDEX(res_Rate,MATCH(Tasks[[#This Row],[_Resource1]],res_Name,0)),0))</f>
        <v>0</v>
      </c>
      <c r="DW44" s="45" t="n">
        <f aca="false">Tasks[[#This Row],[_LeafWork]]+Tasks[[#This Row],[_Res2Work]]+Tasks[[#This Row],[_Res3Work]]+Tasks[[#This Row],[_Res4Work]]</f>
        <v>0</v>
      </c>
      <c r="DX44" s="45" t="n">
        <f aca="false">Tasks[[#This Row],[_LeafCost]]+Tasks[[#This Row],[_Res2Cost]]+Tasks[[#This Row],[_Res3Cost]]+Tasks[[#This Row],[_Res4Cost]]</f>
        <v>0</v>
      </c>
      <c r="DY44" s="45" t="n">
        <f aca="false">IF(Tasks[[#This Row],[_LeafTotalCost]]=0,Tasks[[#This Row],[_LeafAC]],Tasks[[#This Row],[_LeafAC]]*Tasks[[#This Row],[_LeafCost]]/Tasks[[#This Row],[_LeafTotalCost]])</f>
        <v>0</v>
      </c>
      <c r="DZ4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4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4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4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4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4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4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4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44" s="45" t="n">
        <f aca="false">IF(NOT(Tasks[[#This Row],[_IsLeaf]]=1),0,MAX(_xlfn.MAXIFS(Tasks[_Row],Tasks[_Pred1UID],Tasks[[#This Row],[UID]]),_xlfn.MAXIFS(Tasks[_Row],Tasks[_Pred2UID],Tasks[[#This Row],[UID]]),_xlfn.MAXIFS(Tasks[_Row],Tasks[_Pred3UID],Tasks[[#This Row],[UID]]),_xlfn.MAXIFS(Tasks[_Row],Tasks[_Pred4UID],Tasks[[#This Row],[UID]])))</f>
        <v>0</v>
      </c>
      <c r="EI4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4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44" s="74" t="str">
        <f aca="false">IF(NOT(Tasks[[#This Row],[_IsLeaf]]=1),"",IF(N(Tasks[[#This Row],[Duration]])&lt;=0,Tasks[[#This Row],[_LeafLateFinish]],WORKDAY.INTL(Tasks[[#This Row],[_LeafLateFinish]],-(Tasks[[#This Row],[Duration]]-1),WorkWeek,Holidays)))</f>
        <v/>
      </c>
      <c r="EL4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44" s="73" t="b">
        <f aca="false">AND(Tasks[[#This Row],[_IsLeaf]]=1,Tasks[[#This Row],[_LeafProgress]]&lt;1,N(Tasks[[#This Row],[_LeafTotalSlack]])&lt;=CriticalSlackDays)</f>
        <v>0</v>
      </c>
      <c r="EN44" s="45" t="n">
        <f aca="false">IF(AND(Tasks[[#This Row],[_IsLeaf]]=1,Tasks[[#This Row],[_ConstraintCode]]=1,Tasks[[#This Row],[Mode]]&lt;&gt;"Manual",N(Tasks[[#This Row],[Actual Start]])=0),MAX(0,N(Tasks[[#This Row],[Free Slack]])),0)</f>
        <v>0</v>
      </c>
      <c r="EO44" s="74" t="str">
        <f aca="false">IF(NOT(Tasks[[#This Row],[_IsLeaf]]=1),"",IF(Tasks[[#This Row],[_AlapShift]]=0,Tasks[[#This Row],[_LeafCalcStart]],WORKDAY.INTL(Tasks[[#This Row],[_LeafCalcStart]],Tasks[[#This Row],[_AlapShift]],WorkWeek,Holidays)))</f>
        <v/>
      </c>
      <c r="EP44" s="74" t="str">
        <f aca="false">IF(NOT(Tasks[[#This Row],[_IsLeaf]]=1),"",IF(Tasks[[#This Row],[_AlapShift]]=0,Tasks[[#This Row],[_LeafCalcFinish]],WORKDAY.INTL(Tasks[[#This Row],[_LeafCalcFinish]],Tasks[[#This Row],[_AlapShift]],WorkWeek,Holidays)))</f>
        <v/>
      </c>
      <c r="EQ44" s="74" t="str">
        <f aca="false">IF(NOT(Tasks[[#This Row],[_IsLeaf]]=1),"",IF(Tasks[[#This Row],[_AlapShift]]=0,Tasks[[#This Row],[_LeafFcstStart]],WORKDAY.INTL(Tasks[[#This Row],[_LeafFcstStart]],Tasks[[#This Row],[_AlapShift]],WorkWeek,Holidays)))</f>
        <v/>
      </c>
      <c r="ER44" s="74" t="str">
        <f aca="false">IF(NOT(Tasks[[#This Row],[_IsLeaf]]=1),"",IF(Tasks[[#This Row],[_AlapShift]]=0,Tasks[[#This Row],[_LeafFcstFinish]],WORKDAY.INTL(Tasks[[#This Row],[_LeafFcstFinish]],Tasks[[#This Row],[_AlapShift]],WorkWeek,Holidays)))</f>
        <v/>
      </c>
      <c r="ES44" s="74" t="str">
        <f aca="false">IF(Tasks[[#This Row],[Task Name]]="","",IF(Tasks[[#This Row],[_IsSummary]],MIN(INDEX(Tasks[_ShownCalcStart],Tasks[[#This Row],[_Row]]+1):INDEX(Tasks[_ShownCalcStart],Tasks[[#This Row],[_Row]]+Tasks[[#This Row],[_Descendants]])),Tasks[[#This Row],[_ShownCalcStart]]))</f>
        <v/>
      </c>
      <c r="ET44" s="74" t="str">
        <f aca="false">IF(Tasks[[#This Row],[Task Name]]="","",IF(Tasks[[#This Row],[_IsSummary]],MAX(INDEX(Tasks[_ShownCalcFinish],Tasks[[#This Row],[_Row]]+1):INDEX(Tasks[_ShownCalcFinish],Tasks[[#This Row],[_Row]]+Tasks[[#This Row],[_Descendants]])),Tasks[[#This Row],[_ShownCalcFinish]]))</f>
        <v/>
      </c>
      <c r="EU4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4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4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4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4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4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4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4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4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4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4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4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44" s="45" t="n">
        <f aca="false">IF(AND(Tasks[[#This Row],[_IsLeaf]]=1,Tasks[[#This Row],[_LeafTotalWork]]&gt;0),NETWORKDAYS.INTL(ProjectStart,Tasks[[#This Row],[_ShownFcstStart]],WorkWeek,Holidays),0)</f>
        <v>0</v>
      </c>
      <c r="FH44" s="45" t="n">
        <f aca="false">IF(AND(Tasks[[#This Row],[_IsLeaf]]=1,Tasks[[#This Row],[_LeafTotalWork]]&gt;0),MAX(Tasks[[#This Row],[_StartWorkday]],NETWORKDAYS.INTL(ProjectStart,Tasks[[#This Row],[_ShownFcstFinish]],WorkWeek,Holidays)),0)</f>
        <v>0</v>
      </c>
      <c r="FI44" s="45" t="n">
        <f aca="false">IF(AND(Tasks[[#This Row],[_IsLeaf]]=1,Tasks[[#This Row],[_LeafTotalWork]]&gt;0),Tasks[[#This Row],[_LeafWork]]/(Tasks[[#This Row],[_FinishWorkday]]-Tasks[[#This Row],[_StartWorkday]]+1),0)</f>
        <v>0</v>
      </c>
      <c r="FJ44" s="45" t="n">
        <f aca="false">Tasks[[#This Row],[_WorkPerWorkday]]*(Tasks[[#This Row],[_StartWorkday]]-1)</f>
        <v>-0</v>
      </c>
      <c r="FK44" s="45" t="n">
        <f aca="false">IF(Tasks[[#This Row],[_IsLeaf]]=1,MAX(N(Tasks[[#This Row],[Duration]]),0.1),0)</f>
        <v>0</v>
      </c>
      <c r="FL44" s="45" t="n">
        <f aca="false">Tasks[[#This Row],[_WeightDur]]*Tasks[[#This Row],[_LeafProgress]]</f>
        <v>0</v>
      </c>
      <c r="FM4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44" s="45" t="str">
        <f aca="false">IF(AND(Tasks[[#This Row],[_IsLeaf]]=1,N(Tasks[[#This Row],[Duration]])=0,Tasks[[#This Row],[_LeafProgress]]&lt;1),Tasks[[#This Row],[_ShownFcstFinish]]+Tasks[[#This Row],[_Row]]/100000,"")</f>
        <v/>
      </c>
      <c r="FO4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44" s="45" t="n">
        <f aca="false">IF(NOT(Tasks[[#This Row],[_IsLeaf]]=1),0,IF(Tasks[[#This Row],[Baseline Cost]]="",Tasks[[#This Row],[_LeafTotalCost]],N(Tasks[[#This Row],[Baseline Cost]])))</f>
        <v>0</v>
      </c>
      <c r="FQ44" s="45" t="n">
        <f aca="false">Tasks[[#This Row],[_LeafBudget]]*Tasks[[#This Row],[_PlannedPct]]</f>
        <v>0</v>
      </c>
      <c r="FR44" s="45" t="n">
        <f aca="false">Tasks[[#This Row],[_LeafBudget]]*Tasks[[#This Row],[_LeafProgress]]</f>
        <v>0</v>
      </c>
      <c r="FS44" s="45" t="n">
        <f aca="false">IF(NOT(Tasks[[#This Row],[_IsLeaf]]=1),0,IF(Tasks[[#This Row],[Actual Cost]]="",Tasks[[#This Row],[_LeafTotalCost]]*Tasks[[#This Row],[_LeafProgress]],N(Tasks[[#This Row],[Actual Cost]])))</f>
        <v>0</v>
      </c>
      <c r="FT44" s="45" t="str">
        <f aca="false">IF(Tasks[[#This Row],[Task Name]]="","",LEFT(Tasks[[#This Row],[WBS]],FIND(".",Tasks[[#This Row],[WBS]]&amp;".")-1))</f>
        <v/>
      </c>
      <c r="FU44" s="45" t="str">
        <f aca="false">IF(AND(Tasks[[#This Row],[Task Name]]&lt;&gt;"",Tasks[[#This Row],[_Level]]=1),Tasks[[#This Row],[_Row]],"")</f>
        <v/>
      </c>
      <c r="FV44" s="45" t="str">
        <f aca="false">IF(AND(Tasks[[#This Row],[_IsLeaf]]=1,N(Tasks[[#This Row],[Duration]])=0),Tasks[[#This Row],[Planned Finish]]+Tasks[[#This Row],[_Row]]/100000,"")</f>
        <v/>
      </c>
      <c r="FW44" s="45" t="str">
        <f aca="false">IF(AND(Tasks[[#This Row],[_IsLeaf]]=1,Tasks[[#This Row],[_LeafProgress]]&lt;1,OR(N(Tasks[[#This Row],[Finish Var]])&gt;0,Tasks[[#This Row],[Status]]="Late Start")),MAX(0,Tasks[[#This Row],[Finish Var]])+1-Tasks[[#This Row],[_Row]]/1000000,"")</f>
        <v/>
      </c>
      <c r="FX44" s="45" t="str">
        <f aca="false">IF(AND(Tasks[[#This Row],[_IsLeaf]]=1,N(Tasks[[#This Row],[Actual Start]])=0,Tasks[[#This Row],[_ShownFcstStart]]&gt;=StatusDate,Tasks[[#This Row],[_ShownFcstStart]]&lt;=LookaheadEnd),Tasks[[#This Row],[_ShownFcstStart]]+Tasks[[#This Row],[_Row]]/100000,"")</f>
        <v/>
      </c>
      <c r="FY44" s="45" t="str">
        <f aca="false">IF(AND(Tasks[[#This Row],[_IsLeaf]]=1,Tasks[[#This Row],[_LeafProgress]]&lt;1,Tasks[[#This Row],[_ShownFcstFinish]]&gt;=StatusDate,Tasks[[#This Row],[_ShownFcstFinish]]&lt;=LookaheadEnd),Tasks[[#This Row],[_ShownFcstFinish]]+Tasks[[#This Row],[_Row]]/100000,"")</f>
        <v/>
      </c>
      <c r="FZ44" s="45" t="str">
        <f aca="false">IF(Tasks[[#This Row],[_LeafCritical]],Tasks[[#This Row],[_ShownFcstStart]]+Tasks[[#This Row],[_Row]]/100000,"")</f>
        <v/>
      </c>
      <c r="GA44" s="45" t="n">
        <f aca="false">Tasks[[#This Row],[_LeafWork]]*Tasks[[#This Row],[_LeafProgress]]</f>
        <v>0</v>
      </c>
      <c r="GB44" s="74" t="str">
        <f aca="false">IF(AND(Tasks[[#This Row],[_IsLeaf]]=1,Tasks[[#This Row],[_LeafProgress]]&gt;=1),IF(N(Tasks[[#This Row],[Actual Finish]])&gt;0,Tasks[[#This Row],[Actual Finish]],Tasks[[#This Row],[_ShownFcstFinish]]),"")</f>
        <v/>
      </c>
    </row>
    <row r="45" customFormat="false" ht="15" hidden="false" customHeight="false" outlineLevel="0" collapsed="false">
      <c r="A45" s="67" t="str">
        <f aca="false">IF(Tasks[[#This Row],[Task Name]]="","",COUNTA(Tasks[[#Headers],[Task Name]]:Tasks[[#This Row],[Task Name]])-1)</f>
        <v/>
      </c>
      <c r="B45" s="21" t="n">
        <v>40</v>
      </c>
      <c r="C4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21"/>
      <c r="E45" s="22"/>
      <c r="F45" s="21"/>
      <c r="G45" s="22"/>
      <c r="H45" s="22"/>
      <c r="I45" s="22"/>
      <c r="J45" s="7"/>
      <c r="K45" s="7"/>
      <c r="L45" s="22"/>
      <c r="M45" s="58" t="str">
        <f aca="false">IF(Tasks[[#This Row],[Task Name]]="","",IF(Tasks[[#This Row],[_IsSummary]],MIN(INDEX(Tasks[_ShownFcstStart],Tasks[[#This Row],[_Row]]+1):INDEX(Tasks[_ShownFcstStart],Tasks[[#This Row],[_Row]]+Tasks[[#This Row],[_Descendants]])),Tasks[[#This Row],[_ShownFcstStart]]))</f>
        <v/>
      </c>
      <c r="N45" s="58" t="str">
        <f aca="false">IF(Tasks[[#This Row],[Task Name]]="","",IF(Tasks[[#This Row],[_IsSummary]],MAX(INDEX(Tasks[_ShownFcstFinish],Tasks[[#This Row],[_Row]]+1):INDEX(Tasks[_ShownFcstFinish],Tasks[[#This Row],[_Row]]+Tasks[[#This Row],[_Descendants]])),Tasks[[#This Row],[_ShownFcstFinish]]))</f>
        <v/>
      </c>
      <c r="O45" s="20" t="str">
        <f aca="false">IF(Tasks[[#This Row],[Task Name]]="","",IF(Tasks[[#This Row],[Progress]]&gt;=1,"Complete",IF(OR(N(Tasks[[#This Row],[Actual Start]])&gt;0,Tasks[[#This Row],[Progress]]&gt;0),IF(Tasks[[#This Row],[Finish Var]]&gt;0,"Behind","In Progress"),IF(Tasks[[#This Row],[Planned Start]]&lt;StatusDate,"Late Start","Not Started"))))</f>
        <v/>
      </c>
      <c r="P45" s="20" t="str">
        <f aca="false">IF(Tasks[[#This Row],[Task Name]]="","",IF(IF(Tasks[[#This Row],[_IsSummary]],COUNTIF(INDEX(Tasks[_LeafCritical],Tasks[[#This Row],[_Row]]+1):INDEX(Tasks[_LeafCritical],Tasks[[#This Row],[_Row]]+Tasks[[#This Row],[_Descendants]]),TRUE())&gt;0,Tasks[[#This Row],[_LeafCritical]]),"Yes",""))</f>
        <v/>
      </c>
      <c r="Q4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45" s="67" t="str">
        <f aca="false">IF(Tasks[[#This Row],[Task Name]]="","",IF(Tasks[[#This Row],[_Level]]&lt;=OutlineShowLevel,"Yes","No"))</f>
        <v/>
      </c>
      <c r="S45" s="7"/>
      <c r="T45" s="21"/>
      <c r="U45" s="22"/>
      <c r="V45" s="7"/>
      <c r="W45" s="67" t="str">
        <f aca="false">IF(Tasks[[#This Row],[Task Name]]="","",IF(Tasks[[#This Row],[Finish]]&gt;=Tasks[[#This Row],[Planned Finish]],NETWORKDAYS.INTL(Tasks[[#This Row],[Planned Finish]],Tasks[[#This Row],[Finish]],WorkWeek,Holidays)-1,1-NETWORKDAYS.INTL(Tasks[[#This Row],[Finish]],Tasks[[#This Row],[Planned Finish]],WorkWeek,Holidays)))</f>
        <v/>
      </c>
      <c r="X45" s="58" t="str">
        <f aca="false">IF(Tasks[[#This Row],[Task Name]]="","",IF(N(Tasks[[#This Row],[Baseline Start]])&gt;0,Tasks[[#This Row],[Baseline Start]],Tasks[[#This Row],[_CalcStart]]))</f>
        <v/>
      </c>
      <c r="Y45" s="58" t="str">
        <f aca="false">IF(Tasks[[#This Row],[Task Name]]="","",IF(N(Tasks[[#This Row],[Baseline Finish]])&gt;0,Tasks[[#This Row],[Baseline Finish]],Tasks[[#This Row],[_CalcFinish]]))</f>
        <v/>
      </c>
      <c r="Z45" s="67" t="str">
        <f aca="false">IF(Tasks[[#This Row],[Task Name]]="","",IF(Tasks[[#This Row],[Start]]&gt;=Tasks[[#This Row],[Planned Start]],NETWORKDAYS.INTL(Tasks[[#This Row],[Planned Start]],Tasks[[#This Row],[Start]],WorkWeek,Holidays)-1,1-NETWORKDAYS.INTL(Tasks[[#This Row],[Start]],Tasks[[#This Row],[Planned Start]],WorkWeek,Holidays)))</f>
        <v/>
      </c>
      <c r="AA45" s="58" t="str">
        <f aca="false">IF(Tasks[[#This Row],[Task Name]]="","",IF(Tasks[[#This Row],[_IsSummary]],MIN(INDEX(Tasks[_LeafLateStart],Tasks[[#This Row],[_Row]]+1):INDEX(Tasks[_LeafLateStart],Tasks[[#This Row],[_Row]]+Tasks[[#This Row],[_Descendants]])),Tasks[[#This Row],[_LeafLateStart]]))</f>
        <v/>
      </c>
      <c r="AB45" s="58" t="str">
        <f aca="false">IF(Tasks[[#This Row],[Task Name]]="","",IF(Tasks[[#This Row],[_IsSummary]],MAX(INDEX(Tasks[_LeafLateFinish],Tasks[[#This Row],[_Row]]+1):INDEX(Tasks[_LeafLateFinish],Tasks[[#This Row],[_Row]]+Tasks[[#This Row],[_Descendants]])),Tasks[[#This Row],[_LeafLateFinish]]))</f>
        <v/>
      </c>
      <c r="AC45" s="67" t="str">
        <f aca="false">IF(Tasks[[#This Row],[Task Name]]="","",IF(Tasks[[#This Row],[_IsSummary]],MIN(INDEX(Tasks[_LeafTotalSlack],Tasks[[#This Row],[_Row]]+1):INDEX(Tasks[_LeafTotalSlack],Tasks[[#This Row],[_Row]]+Tasks[[#This Row],[_Descendants]])),Tasks[[#This Row],[_LeafTotalSlack]]))</f>
        <v/>
      </c>
      <c r="AD4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4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4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45" s="60"/>
      <c r="AH4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4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45" s="69" t="str">
        <f aca="false">IF(Tasks[[#This Row],[Task Name]]="","",IF(Tasks[[#This Row],[_IsSummary]],SUM(INDEX(Tasks[_LeafTotalWork],Tasks[[#This Row],[_Row]]+1):INDEX(Tasks[_LeafTotalWork],Tasks[[#This Row],[_Row]]+Tasks[[#This Row],[_Descendants]])),Tasks[[#This Row],[_LeafTotalWork]]))</f>
        <v/>
      </c>
      <c r="AK4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45" s="70" t="str">
        <f aca="false">IF(Tasks[[#This Row],[Task Name]]="","",IF(Tasks[[#This Row],[_IsSummary]],SUM(INDEX(Tasks[_LeafTotalCost],Tasks[[#This Row],[_Row]]+1):INDEX(Tasks[_LeafTotalCost],Tasks[[#This Row],[_Row]]+Tasks[[#This Row],[_Descendants]])),Tasks[[#This Row],[_LeafTotalCost]]))</f>
        <v/>
      </c>
      <c r="AM45" s="71"/>
      <c r="AN45" s="20" t="str">
        <f aca="false">IF(OR(Tasks[[#This Row],[Task Name]]="",Tasks[[#This Row],[Baseline Duration]]=""),"",Tasks[[#This Row],[BL Source Duration]]-N(Tasks[[#This Row],[Baseline Duration]]))</f>
        <v/>
      </c>
      <c r="AO45" s="69" t="str">
        <f aca="false">IF(OR(Tasks[[#This Row],[Task Name]]="",Tasks[[#This Row],[Baseline Work]]=""),"",Tasks[[#This Row],[Work]]-N(Tasks[[#This Row],[Baseline Work]]))</f>
        <v/>
      </c>
      <c r="AP45" s="70" t="str">
        <f aca="false">IF(OR(Tasks[[#This Row],[Task Name]]="",Tasks[[#This Row],[Baseline Cost]]=""),"",Tasks[[#This Row],[Cost]]-N(Tasks[[#This Row],[Baseline Cost]]))</f>
        <v/>
      </c>
      <c r="AQ45" s="58" t="str">
        <f aca="false">IF(Tasks[[#This Row],[Task Name]]="","",Tasks[[#This Row],[Start]])</f>
        <v/>
      </c>
      <c r="AR45" s="58" t="str">
        <f aca="false">IF(Tasks[[#This Row],[Task Name]]="","",Tasks[[#This Row],[Finish]])</f>
        <v/>
      </c>
      <c r="AS45" s="67" t="str">
        <f aca="false">IF(Tasks[[#This Row],[Task Name]]="","",IF(Tasks[[#This Row],[_IsSummary]],NETWORKDAYS.INTL(Tasks[[#This Row],[Start]],Tasks[[#This Row],[Finish]],WorkWeek,Holidays),N(Tasks[[#This Row],[Duration]])))</f>
        <v/>
      </c>
      <c r="AT45" s="69" t="str">
        <f aca="false">IF(Tasks[[#This Row],[Task Name]]="","",Tasks[[#This Row],[Work]])</f>
        <v/>
      </c>
      <c r="AU45" s="70" t="str">
        <f aca="false">IF(Tasks[[#This Row],[Task Name]]="","",Tasks[[#This Row],[Cost]])</f>
        <v/>
      </c>
      <c r="AV45" s="7"/>
      <c r="AW45" s="7"/>
      <c r="AX45" s="21"/>
      <c r="AY45" s="72"/>
      <c r="AZ45" s="71"/>
      <c r="BA45" s="70" t="str">
        <f aca="false">IF(Tasks[[#This Row],[Task Name]]="","",IF(Tasks[[#This Row],[_IsSummary]],SUM(INDEX(Tasks[_LeafEV],Tasks[[#This Row],[_Row]]+1):INDEX(Tasks[_LeafEV],Tasks[[#This Row],[_Row]]+Tasks[[#This Row],[_Descendants]])),Tasks[[#This Row],[_LeafEV]]))</f>
        <v/>
      </c>
      <c r="BB45" s="70" t="str">
        <f aca="false">IF(Tasks[[#This Row],[Task Name]]="","",IF(Tasks[[#This Row],[_IsSummary]],SUM(INDEX(Tasks[_LeafBudget],Tasks[[#This Row],[_Row]]+1):INDEX(Tasks[_LeafBudget],Tasks[[#This Row],[_Row]]+Tasks[[#This Row],[_Descendants]])),Tasks[[#This Row],[_LeafBudget]]))</f>
        <v/>
      </c>
      <c r="BC45" s="70" t="str">
        <f aca="false">IF(Tasks[[#This Row],[Task Name]]="","",IF(Tasks[[#This Row],[_IsSummary]],SUM(INDEX(Tasks[_LeafPV],Tasks[[#This Row],[_Row]]+1):INDEX(Tasks[_LeafPV],Tasks[[#This Row],[_Row]]+Tasks[[#This Row],[_Descendants]])),Tasks[[#This Row],[_LeafPV]]))</f>
        <v/>
      </c>
      <c r="BD45" s="70" t="str">
        <f aca="false">IF(Tasks[[#This Row],[Task Name]]="","",IF(Tasks[[#This Row],[_IsSummary]],SUM(INDEX(Tasks[_LeafAC],Tasks[[#This Row],[_Row]]+1):INDEX(Tasks[_LeafAC],Tasks[[#This Row],[_Row]]+Tasks[[#This Row],[_Descendants]])),Tasks[[#This Row],[_LeafAC]]))</f>
        <v/>
      </c>
      <c r="BE45" s="45" t="str">
        <f aca="false">IF(Tasks[[#This Row],[Task Name]]="","",MAX(1,N(Tasks[[#This Row],[Level]])))</f>
        <v/>
      </c>
      <c r="BF45" s="45" t="n">
        <f aca="false">ROW()-ROW(Tasks[[#Headers],[ID]])</f>
        <v>40</v>
      </c>
      <c r="BG45" s="45" t="n">
        <f aca="false">IF(OR(Tasks[[#This Row],[Task Name]]="",Tasks[[#This Row],[_Level]]&lt;=1),0,IFERROR(LOOKUP(2,1/(Tasks[[#Headers],[_Level]]:Tasks[[#This Row],[_Level]]=Tasks[[#This Row],[_Level]]-1),ROW(Tasks[[#Headers],[_Level]]:Tasks[[#This Row],[_Level]])),0))</f>
        <v>0</v>
      </c>
      <c r="BH45" s="45" t="n">
        <f aca="false">IFERROR(N(INDEX(Tasks[_Level],Tasks[[#This Row],[_Row]]+1)),0)</f>
        <v>0</v>
      </c>
      <c r="BI45" s="73" t="b">
        <f aca="false">AND(Tasks[[#This Row],[Task Name]]&lt;&gt;"",Tasks[[#This Row],[_NextLevel]]&gt;Tasks[[#This Row],[_Level]])</f>
        <v>0</v>
      </c>
      <c r="BJ45" s="45" t="n">
        <f aca="false">IF(Tasks[[#This Row],[_IsSummary]],COUNTIF(Tasks[WBS],Tasks[[#This Row],[WBS]]&amp;".*"),0)</f>
        <v>0</v>
      </c>
      <c r="BK45" s="45" t="n">
        <f aca="false">IF(AND(Tasks[[#This Row],[Task Name]]&lt;&gt;"",NOT(Tasks[[#This Row],[_IsSummary]])),1,0)</f>
        <v>0</v>
      </c>
      <c r="BL45" s="45" t="n">
        <f aca="false">IF(N(Tasks[[#This Row],[_Pred1UID]])=0,0,IFERROR(MATCH(Tasks[[#This Row],[_Pred1UID]],Tasks[UID],0),-1))</f>
        <v>0</v>
      </c>
      <c r="BM45" s="45" t="n">
        <f aca="false">IF(N(Tasks[[#This Row],[_Pred2UID]])=0,0,IFERROR(MATCH(Tasks[[#This Row],[_Pred2UID]],Tasks[UID],0),-1))</f>
        <v>0</v>
      </c>
      <c r="BN45" s="45" t="n">
        <f aca="false">IF(N(Tasks[[#This Row],[_Pred3UID]])=0,0,IFERROR(MATCH(Tasks[[#This Row],[_Pred3UID]],Tasks[UID],0),-1))</f>
        <v>0</v>
      </c>
      <c r="BO45" s="45" t="n">
        <f aca="false">IF(N(Tasks[[#This Row],[_Pred4UID]])=0,0,IFERROR(MATCH(Tasks[[#This Row],[_Pred4UID]],Tasks[UID],0),-1))</f>
        <v>0</v>
      </c>
      <c r="BP4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4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45" s="74" t="n">
        <f aca="false">IF(OR(Tasks[[#This Row],[_ConstraintCode]]=2,Tasks[[#This Row],[_ConstraintCode]]=3,Tasks[[#This Row],[_ConstraintCode]]=4,Tasks[[#This Row],[_ConstraintCode]]=6),Tasks[[#This Row],[_ConstraintStart]],0)</f>
        <v>0</v>
      </c>
      <c r="BS45" s="74" t="n">
        <f aca="false">IF(OR(Tasks[[#This Row],[_ConstraintCode]]=2,Tasks[[#This Row],[_ConstraintCode]]=3,Tasks[[#This Row],[_ConstraintCode]]=5,Tasks[[#This Row],[_ConstraintCode]]=7),Tasks[[#This Row],[_ConstraintStart]],2958465)</f>
        <v>2958465</v>
      </c>
      <c r="BT4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45" s="74" t="str">
        <f aca="false">IF(NOT(Tasks[[#This Row],[_IsLeaf]]=1),"",IF(N(Tasks[[#This Row],[Duration]])&lt;=0,Tasks[[#This Row],[_LeafCalcStart]],WORKDAY.INTL(Tasks[[#This Row],[_LeafCalcStart]],Tasks[[#This Row],[Duration]]-1,WorkWeek,Holidays)))</f>
        <v/>
      </c>
      <c r="BV4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4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45" s="45" t="str">
        <f aca="false">IF(Tasks[[#This Row],[Predecessors]]="","",TRIM(MID(SUBSTITUTE(SUBSTITUTE(SUBSTITUTE(UPPER(Tasks[[#This Row],[Predecessors]]),";",",")," ",""),",",REPT(" ",99)),1,99)))</f>
        <v/>
      </c>
      <c r="BY45" s="45" t="str">
        <f aca="false">IF(Tasks[[#This Row],[_Pred1Text]]="","",IFERROR(VALUE(LEFT(Tasks[[#This Row],[_Pred1Text]],MIN(FIND("F",Tasks[[#This Row],[_Pred1Text]]&amp;"F"),FIND("S",Tasks[[#This Row],[_Pred1Text]]&amp;"S"),FIND("+",Tasks[[#This Row],[_Pred1Text]]&amp;"+"),FIND("-",Tasks[[#This Row],[_Pred1Text]]&amp;"-"))-1)),""))</f>
        <v/>
      </c>
      <c r="BZ4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4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45" s="45" t="str">
        <f aca="false">IF(Tasks[[#This Row],[_Pred1Text]]="","",TRIM(MID(SUBSTITUTE(SUBSTITUTE(SUBSTITUTE(UPPER(Tasks[[#This Row],[Predecessors]]),";",",")," ",""),",",REPT(" ",99)),100,99)))</f>
        <v/>
      </c>
      <c r="CC45" s="45" t="str">
        <f aca="false">IF(Tasks[[#This Row],[_Pred2Text]]="","",IFERROR(VALUE(LEFT(Tasks[[#This Row],[_Pred2Text]],MIN(FIND("F",Tasks[[#This Row],[_Pred2Text]]&amp;"F"),FIND("S",Tasks[[#This Row],[_Pred2Text]]&amp;"S"),FIND("+",Tasks[[#This Row],[_Pred2Text]]&amp;"+"),FIND("-",Tasks[[#This Row],[_Pred2Text]]&amp;"-"))-1)),""))</f>
        <v/>
      </c>
      <c r="CD4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4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45" s="45" t="str">
        <f aca="false">IF(Tasks[[#This Row],[_Pred2Text]]="","",TRIM(MID(SUBSTITUTE(SUBSTITUTE(SUBSTITUTE(UPPER(Tasks[[#This Row],[Predecessors]]),";",",")," ",""),",",REPT(" ",99)),199,99)))</f>
        <v/>
      </c>
      <c r="CG45" s="45" t="str">
        <f aca="false">IF(Tasks[[#This Row],[_Pred3Text]]="","",IFERROR(VALUE(LEFT(Tasks[[#This Row],[_Pred3Text]],MIN(FIND("F",Tasks[[#This Row],[_Pred3Text]]&amp;"F"),FIND("S",Tasks[[#This Row],[_Pred3Text]]&amp;"S"),FIND("+",Tasks[[#This Row],[_Pred3Text]]&amp;"+"),FIND("-",Tasks[[#This Row],[_Pred3Text]]&amp;"-"))-1)),""))</f>
        <v/>
      </c>
      <c r="CH4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4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45" s="45" t="str">
        <f aca="false">IF(Tasks[[#This Row],[_Pred3Text]]="","",TRIM(MID(SUBSTITUTE(SUBSTITUTE(SUBSTITUTE(UPPER(Tasks[[#This Row],[Predecessors]]),";",",")," ",""),",",REPT(" ",99)),298,99)))</f>
        <v/>
      </c>
      <c r="CK45" s="45" t="str">
        <f aca="false">IF(Tasks[[#This Row],[_Pred4Text]]="","",IFERROR(VALUE(LEFT(Tasks[[#This Row],[_Pred4Text]],MIN(FIND("F",Tasks[[#This Row],[_Pred4Text]]&amp;"F"),FIND("S",Tasks[[#This Row],[_Pred4Text]]&amp;"S"),FIND("+",Tasks[[#This Row],[_Pred4Text]]&amp;"+"),FIND("-",Tasks[[#This Row],[_Pred4Text]]&amp;"-"))-1)),""))</f>
        <v/>
      </c>
      <c r="CL4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4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45" s="45" t="str">
        <f aca="false">IF(OR(Tasks[[#This Row],[Task Name]]="",Tasks[[#This Row],[Resources]]=""),"",TRIM(MID(SUBSTITUTE(Tasks[[#This Row],[Resources]],",",REPT(" ",99)),1,99)))</f>
        <v/>
      </c>
      <c r="CO45" s="45" t="str">
        <f aca="false">IF(Tasks[[#This Row],[_Res1Text]]="","",TRIM(MID(SUBSTITUTE(Tasks[[#This Row],[Resources]],",",REPT(" ",99)),100,99)))</f>
        <v/>
      </c>
      <c r="CP45" s="45" t="str">
        <f aca="false">IF(Tasks[[#This Row],[_Res2Text]]="","",TRIM(MID(SUBSTITUTE(Tasks[[#This Row],[Resources]],",",REPT(" ",99)),199,99)))</f>
        <v/>
      </c>
      <c r="CQ45" s="45" t="str">
        <f aca="false">IF(Tasks[[#This Row],[_Res3Text]]="","",TRIM(MID(SUBSTITUTE(Tasks[[#This Row],[Resources]],",",REPT(" ",99)),298,99)))</f>
        <v/>
      </c>
      <c r="CR4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4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5" s="45" t="n">
        <f aca="false">IF(NOT(Tasks[[#This Row],[_IsLeaf]]=1),0,(Tasks[[#This Row],[_Resource1]]&lt;&gt;"")+(Tasks[[#This Row],[_Res2]]&lt;&gt;"")+(Tasks[[#This Row],[_Res3]]&lt;&gt;"")+(Tasks[[#This Row],[_Res4]]&lt;&gt;""))</f>
        <v>0</v>
      </c>
      <c r="CU4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4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5" s="45" t="n">
        <f aca="false">IF(OR(NOT(Tasks[[#This Row],[_IsLeaf]]=1),Tasks[[#This Row],[_Res2]]=""),0,IF(ISNA(MATCH(Tasks[[#This Row],[_Res2]],res_Name,0)),0,N(Tasks[[#This Row],[Duration]])*HoursPerDay*IF(Tasks[[#This Row],[_Res2Units]]="",DefaultUnits,Tasks[[#This Row],[_Res2Units]])))</f>
        <v>0</v>
      </c>
      <c r="CX45" s="45" t="n">
        <f aca="false">IF(Tasks[[#This Row],[_Res2Work]]=0,0,Tasks[[#This Row],[_Res2Work]]*IFERROR(INDEX(res_Rate,MATCH(Tasks[[#This Row],[_Res2]],res_Name,0)),0))</f>
        <v>0</v>
      </c>
      <c r="CY45" s="45" t="n">
        <f aca="false">IF(AND(AND(Tasks[[#This Row],[_IsLeaf]]=1,Tasks[[#This Row],[_LeafTotalWork]]&gt;0),Tasks[[#This Row],[_Res2Work]]&gt;0),Tasks[[#This Row],[_Res2Work]]/(Tasks[[#This Row],[_FinishWorkday]]-Tasks[[#This Row],[_StartWorkday]]+1),0)</f>
        <v>0</v>
      </c>
      <c r="CZ45" s="45" t="n">
        <f aca="false">Tasks[[#This Row],[_Res2WorkPerWD]]*MAX(0,Tasks[[#This Row],[_StartWorkday]]-1)</f>
        <v>0</v>
      </c>
      <c r="DA45" s="45" t="n">
        <f aca="false">Tasks[[#This Row],[_Res2Work]]*Tasks[[#This Row],[_LeafProgress]]</f>
        <v>0</v>
      </c>
      <c r="DB45" s="45" t="n">
        <f aca="false">IF(Tasks[[#This Row],[_LeafTotalCost]]=0,0,Tasks[[#This Row],[_LeafAC]]*Tasks[[#This Row],[_Res2Cost]]/Tasks[[#This Row],[_LeafTotalCost]])</f>
        <v>0</v>
      </c>
      <c r="DC4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4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45" s="45" t="n">
        <f aca="false">IF(OR(NOT(Tasks[[#This Row],[_IsLeaf]]=1),Tasks[[#This Row],[_Res3]]=""),0,IF(ISNA(MATCH(Tasks[[#This Row],[_Res3]],res_Name,0)),0,N(Tasks[[#This Row],[Duration]])*HoursPerDay*IF(Tasks[[#This Row],[_Res3Units]]="",DefaultUnits,Tasks[[#This Row],[_Res3Units]])))</f>
        <v>0</v>
      </c>
      <c r="DF45" s="45" t="n">
        <f aca="false">IF(Tasks[[#This Row],[_Res3Work]]=0,0,Tasks[[#This Row],[_Res3Work]]*IFERROR(INDEX(res_Rate,MATCH(Tasks[[#This Row],[_Res3]],res_Name,0)),0))</f>
        <v>0</v>
      </c>
      <c r="DG45" s="45" t="n">
        <f aca="false">IF(AND(AND(Tasks[[#This Row],[_IsLeaf]]=1,Tasks[[#This Row],[_LeafTotalWork]]&gt;0),Tasks[[#This Row],[_Res3Work]]&gt;0),Tasks[[#This Row],[_Res3Work]]/(Tasks[[#This Row],[_FinishWorkday]]-Tasks[[#This Row],[_StartWorkday]]+1),0)</f>
        <v>0</v>
      </c>
      <c r="DH45" s="45" t="n">
        <f aca="false">Tasks[[#This Row],[_Res3WorkPerWD]]*MAX(0,Tasks[[#This Row],[_StartWorkday]]-1)</f>
        <v>0</v>
      </c>
      <c r="DI45" s="45" t="n">
        <f aca="false">Tasks[[#This Row],[_Res3Work]]*Tasks[[#This Row],[_LeafProgress]]</f>
        <v>0</v>
      </c>
      <c r="DJ45" s="45" t="n">
        <f aca="false">IF(Tasks[[#This Row],[_LeafTotalCost]]=0,0,Tasks[[#This Row],[_LeafAC]]*Tasks[[#This Row],[_Res3Cost]]/Tasks[[#This Row],[_LeafTotalCost]])</f>
        <v>0</v>
      </c>
      <c r="DK4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4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45" s="45" t="n">
        <f aca="false">IF(OR(NOT(Tasks[[#This Row],[_IsLeaf]]=1),Tasks[[#This Row],[_Res4]]=""),0,IF(ISNA(MATCH(Tasks[[#This Row],[_Res4]],res_Name,0)),0,N(Tasks[[#This Row],[Duration]])*HoursPerDay*IF(Tasks[[#This Row],[_Res4Units]]="",DefaultUnits,Tasks[[#This Row],[_Res4Units]])))</f>
        <v>0</v>
      </c>
      <c r="DN45" s="45" t="n">
        <f aca="false">IF(Tasks[[#This Row],[_Res4Work]]=0,0,Tasks[[#This Row],[_Res4Work]]*IFERROR(INDEX(res_Rate,MATCH(Tasks[[#This Row],[_Res4]],res_Name,0)),0))</f>
        <v>0</v>
      </c>
      <c r="DO45" s="45" t="n">
        <f aca="false">IF(AND(AND(Tasks[[#This Row],[_IsLeaf]]=1,Tasks[[#This Row],[_LeafTotalWork]]&gt;0),Tasks[[#This Row],[_Res4Work]]&gt;0),Tasks[[#This Row],[_Res4Work]]/(Tasks[[#This Row],[_FinishWorkday]]-Tasks[[#This Row],[_StartWorkday]]+1),0)</f>
        <v>0</v>
      </c>
      <c r="DP45" s="45" t="n">
        <f aca="false">Tasks[[#This Row],[_Res4WorkPerWD]]*MAX(0,Tasks[[#This Row],[_StartWorkday]]-1)</f>
        <v>0</v>
      </c>
      <c r="DQ45" s="45" t="n">
        <f aca="false">Tasks[[#This Row],[_Res4Work]]*Tasks[[#This Row],[_LeafProgress]]</f>
        <v>0</v>
      </c>
      <c r="DR45" s="45" t="n">
        <f aca="false">IF(Tasks[[#This Row],[_LeafTotalCost]]=0,0,Tasks[[#This Row],[_LeafAC]]*Tasks[[#This Row],[_Res4Cost]]/Tasks[[#This Row],[_LeafTotalCost]])</f>
        <v>0</v>
      </c>
      <c r="DS45" s="45" t="n">
        <f aca="false">IF(ISNUMBER(Tasks[[#This Row],[% Complete]]),Tasks[[#This Row],[% Complete]],IF(Tasks[[#This Row],[Stage]]="",0,IFERROR(INDEX(stg_Pct,MATCH(Tasks[[#This Row],[Stage]],stg_Name,0)),0)))</f>
        <v>0</v>
      </c>
      <c r="DT45" s="45" t="n">
        <f aca="false">IF(NOT(Tasks[[#This Row],[_IsLeaf]]=1),0,IF(N(Tasks[[#This Row],[Actual Finish]])&gt;0,1,MIN(1,Tasks[[#This Row],[_Pct]])))</f>
        <v>0</v>
      </c>
      <c r="DU45" s="45" t="n">
        <f aca="false">IF(OR(NOT(Tasks[[#This Row],[_IsLeaf]]=1),Tasks[[#This Row],[_Resource1]]=""),0,IF(ISNA(MATCH(Tasks[[#This Row],[_Resource1]],res_Name,0)),0,N(Tasks[[#This Row],[Duration]])*HoursPerDay*IF(Tasks[[#This Row],[_Units1]]="",DefaultUnits,Tasks[[#This Row],[_Units1]])))</f>
        <v>0</v>
      </c>
      <c r="DV45" s="45" t="n">
        <f aca="false">IF(Tasks[[#This Row],[_LeafWork]]=0,0,Tasks[[#This Row],[_LeafWork]]*IFERROR(INDEX(res_Rate,MATCH(Tasks[[#This Row],[_Resource1]],res_Name,0)),0))</f>
        <v>0</v>
      </c>
      <c r="DW45" s="45" t="n">
        <f aca="false">Tasks[[#This Row],[_LeafWork]]+Tasks[[#This Row],[_Res2Work]]+Tasks[[#This Row],[_Res3Work]]+Tasks[[#This Row],[_Res4Work]]</f>
        <v>0</v>
      </c>
      <c r="DX45" s="45" t="n">
        <f aca="false">Tasks[[#This Row],[_LeafCost]]+Tasks[[#This Row],[_Res2Cost]]+Tasks[[#This Row],[_Res3Cost]]+Tasks[[#This Row],[_Res4Cost]]</f>
        <v>0</v>
      </c>
      <c r="DY45" s="45" t="n">
        <f aca="false">IF(Tasks[[#This Row],[_LeafTotalCost]]=0,Tasks[[#This Row],[_LeafAC]],Tasks[[#This Row],[_LeafAC]]*Tasks[[#This Row],[_LeafCost]]/Tasks[[#This Row],[_LeafTotalCost]])</f>
        <v>0</v>
      </c>
      <c r="DZ4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4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4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4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4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4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4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4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45" s="45" t="n">
        <f aca="false">IF(NOT(Tasks[[#This Row],[_IsLeaf]]=1),0,MAX(_xlfn.MAXIFS(Tasks[_Row],Tasks[_Pred1UID],Tasks[[#This Row],[UID]]),_xlfn.MAXIFS(Tasks[_Row],Tasks[_Pred2UID],Tasks[[#This Row],[UID]]),_xlfn.MAXIFS(Tasks[_Row],Tasks[_Pred3UID],Tasks[[#This Row],[UID]]),_xlfn.MAXIFS(Tasks[_Row],Tasks[_Pred4UID],Tasks[[#This Row],[UID]])))</f>
        <v>0</v>
      </c>
      <c r="EI4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4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45" s="74" t="str">
        <f aca="false">IF(NOT(Tasks[[#This Row],[_IsLeaf]]=1),"",IF(N(Tasks[[#This Row],[Duration]])&lt;=0,Tasks[[#This Row],[_LeafLateFinish]],WORKDAY.INTL(Tasks[[#This Row],[_LeafLateFinish]],-(Tasks[[#This Row],[Duration]]-1),WorkWeek,Holidays)))</f>
        <v/>
      </c>
      <c r="EL4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45" s="73" t="b">
        <f aca="false">AND(Tasks[[#This Row],[_IsLeaf]]=1,Tasks[[#This Row],[_LeafProgress]]&lt;1,N(Tasks[[#This Row],[_LeafTotalSlack]])&lt;=CriticalSlackDays)</f>
        <v>0</v>
      </c>
      <c r="EN45" s="45" t="n">
        <f aca="false">IF(AND(Tasks[[#This Row],[_IsLeaf]]=1,Tasks[[#This Row],[_ConstraintCode]]=1,Tasks[[#This Row],[Mode]]&lt;&gt;"Manual",N(Tasks[[#This Row],[Actual Start]])=0),MAX(0,N(Tasks[[#This Row],[Free Slack]])),0)</f>
        <v>0</v>
      </c>
      <c r="EO45" s="74" t="str">
        <f aca="false">IF(NOT(Tasks[[#This Row],[_IsLeaf]]=1),"",IF(Tasks[[#This Row],[_AlapShift]]=0,Tasks[[#This Row],[_LeafCalcStart]],WORKDAY.INTL(Tasks[[#This Row],[_LeafCalcStart]],Tasks[[#This Row],[_AlapShift]],WorkWeek,Holidays)))</f>
        <v/>
      </c>
      <c r="EP45" s="74" t="str">
        <f aca="false">IF(NOT(Tasks[[#This Row],[_IsLeaf]]=1),"",IF(Tasks[[#This Row],[_AlapShift]]=0,Tasks[[#This Row],[_LeafCalcFinish]],WORKDAY.INTL(Tasks[[#This Row],[_LeafCalcFinish]],Tasks[[#This Row],[_AlapShift]],WorkWeek,Holidays)))</f>
        <v/>
      </c>
      <c r="EQ45" s="74" t="str">
        <f aca="false">IF(NOT(Tasks[[#This Row],[_IsLeaf]]=1),"",IF(Tasks[[#This Row],[_AlapShift]]=0,Tasks[[#This Row],[_LeafFcstStart]],WORKDAY.INTL(Tasks[[#This Row],[_LeafFcstStart]],Tasks[[#This Row],[_AlapShift]],WorkWeek,Holidays)))</f>
        <v/>
      </c>
      <c r="ER45" s="74" t="str">
        <f aca="false">IF(NOT(Tasks[[#This Row],[_IsLeaf]]=1),"",IF(Tasks[[#This Row],[_AlapShift]]=0,Tasks[[#This Row],[_LeafFcstFinish]],WORKDAY.INTL(Tasks[[#This Row],[_LeafFcstFinish]],Tasks[[#This Row],[_AlapShift]],WorkWeek,Holidays)))</f>
        <v/>
      </c>
      <c r="ES45" s="74" t="str">
        <f aca="false">IF(Tasks[[#This Row],[Task Name]]="","",IF(Tasks[[#This Row],[_IsSummary]],MIN(INDEX(Tasks[_ShownCalcStart],Tasks[[#This Row],[_Row]]+1):INDEX(Tasks[_ShownCalcStart],Tasks[[#This Row],[_Row]]+Tasks[[#This Row],[_Descendants]])),Tasks[[#This Row],[_ShownCalcStart]]))</f>
        <v/>
      </c>
      <c r="ET45" s="74" t="str">
        <f aca="false">IF(Tasks[[#This Row],[Task Name]]="","",IF(Tasks[[#This Row],[_IsSummary]],MAX(INDEX(Tasks[_ShownCalcFinish],Tasks[[#This Row],[_Row]]+1):INDEX(Tasks[_ShownCalcFinish],Tasks[[#This Row],[_Row]]+Tasks[[#This Row],[_Descendants]])),Tasks[[#This Row],[_ShownCalcFinish]]))</f>
        <v/>
      </c>
      <c r="EU4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4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4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4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4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4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4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4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4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4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4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4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45" s="45" t="n">
        <f aca="false">IF(AND(Tasks[[#This Row],[_IsLeaf]]=1,Tasks[[#This Row],[_LeafTotalWork]]&gt;0),NETWORKDAYS.INTL(ProjectStart,Tasks[[#This Row],[_ShownFcstStart]],WorkWeek,Holidays),0)</f>
        <v>0</v>
      </c>
      <c r="FH45" s="45" t="n">
        <f aca="false">IF(AND(Tasks[[#This Row],[_IsLeaf]]=1,Tasks[[#This Row],[_LeafTotalWork]]&gt;0),MAX(Tasks[[#This Row],[_StartWorkday]],NETWORKDAYS.INTL(ProjectStart,Tasks[[#This Row],[_ShownFcstFinish]],WorkWeek,Holidays)),0)</f>
        <v>0</v>
      </c>
      <c r="FI45" s="45" t="n">
        <f aca="false">IF(AND(Tasks[[#This Row],[_IsLeaf]]=1,Tasks[[#This Row],[_LeafTotalWork]]&gt;0),Tasks[[#This Row],[_LeafWork]]/(Tasks[[#This Row],[_FinishWorkday]]-Tasks[[#This Row],[_StartWorkday]]+1),0)</f>
        <v>0</v>
      </c>
      <c r="FJ45" s="45" t="n">
        <f aca="false">Tasks[[#This Row],[_WorkPerWorkday]]*(Tasks[[#This Row],[_StartWorkday]]-1)</f>
        <v>-0</v>
      </c>
      <c r="FK45" s="45" t="n">
        <f aca="false">IF(Tasks[[#This Row],[_IsLeaf]]=1,MAX(N(Tasks[[#This Row],[Duration]]),0.1),0)</f>
        <v>0</v>
      </c>
      <c r="FL45" s="45" t="n">
        <f aca="false">Tasks[[#This Row],[_WeightDur]]*Tasks[[#This Row],[_LeafProgress]]</f>
        <v>0</v>
      </c>
      <c r="FM4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45" s="45" t="str">
        <f aca="false">IF(AND(Tasks[[#This Row],[_IsLeaf]]=1,N(Tasks[[#This Row],[Duration]])=0,Tasks[[#This Row],[_LeafProgress]]&lt;1),Tasks[[#This Row],[_ShownFcstFinish]]+Tasks[[#This Row],[_Row]]/100000,"")</f>
        <v/>
      </c>
      <c r="FO4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45" s="45" t="n">
        <f aca="false">IF(NOT(Tasks[[#This Row],[_IsLeaf]]=1),0,IF(Tasks[[#This Row],[Baseline Cost]]="",Tasks[[#This Row],[_LeafTotalCost]],N(Tasks[[#This Row],[Baseline Cost]])))</f>
        <v>0</v>
      </c>
      <c r="FQ45" s="45" t="n">
        <f aca="false">Tasks[[#This Row],[_LeafBudget]]*Tasks[[#This Row],[_PlannedPct]]</f>
        <v>0</v>
      </c>
      <c r="FR45" s="45" t="n">
        <f aca="false">Tasks[[#This Row],[_LeafBudget]]*Tasks[[#This Row],[_LeafProgress]]</f>
        <v>0</v>
      </c>
      <c r="FS45" s="45" t="n">
        <f aca="false">IF(NOT(Tasks[[#This Row],[_IsLeaf]]=1),0,IF(Tasks[[#This Row],[Actual Cost]]="",Tasks[[#This Row],[_LeafTotalCost]]*Tasks[[#This Row],[_LeafProgress]],N(Tasks[[#This Row],[Actual Cost]])))</f>
        <v>0</v>
      </c>
      <c r="FT45" s="45" t="str">
        <f aca="false">IF(Tasks[[#This Row],[Task Name]]="","",LEFT(Tasks[[#This Row],[WBS]],FIND(".",Tasks[[#This Row],[WBS]]&amp;".")-1))</f>
        <v/>
      </c>
      <c r="FU45" s="45" t="str">
        <f aca="false">IF(AND(Tasks[[#This Row],[Task Name]]&lt;&gt;"",Tasks[[#This Row],[_Level]]=1),Tasks[[#This Row],[_Row]],"")</f>
        <v/>
      </c>
      <c r="FV45" s="45" t="str">
        <f aca="false">IF(AND(Tasks[[#This Row],[_IsLeaf]]=1,N(Tasks[[#This Row],[Duration]])=0),Tasks[[#This Row],[Planned Finish]]+Tasks[[#This Row],[_Row]]/100000,"")</f>
        <v/>
      </c>
      <c r="FW45" s="45" t="str">
        <f aca="false">IF(AND(Tasks[[#This Row],[_IsLeaf]]=1,Tasks[[#This Row],[_LeafProgress]]&lt;1,OR(N(Tasks[[#This Row],[Finish Var]])&gt;0,Tasks[[#This Row],[Status]]="Late Start")),MAX(0,Tasks[[#This Row],[Finish Var]])+1-Tasks[[#This Row],[_Row]]/1000000,"")</f>
        <v/>
      </c>
      <c r="FX45" s="45" t="str">
        <f aca="false">IF(AND(Tasks[[#This Row],[_IsLeaf]]=1,N(Tasks[[#This Row],[Actual Start]])=0,Tasks[[#This Row],[_ShownFcstStart]]&gt;=StatusDate,Tasks[[#This Row],[_ShownFcstStart]]&lt;=LookaheadEnd),Tasks[[#This Row],[_ShownFcstStart]]+Tasks[[#This Row],[_Row]]/100000,"")</f>
        <v/>
      </c>
      <c r="FY45" s="45" t="str">
        <f aca="false">IF(AND(Tasks[[#This Row],[_IsLeaf]]=1,Tasks[[#This Row],[_LeafProgress]]&lt;1,Tasks[[#This Row],[_ShownFcstFinish]]&gt;=StatusDate,Tasks[[#This Row],[_ShownFcstFinish]]&lt;=LookaheadEnd),Tasks[[#This Row],[_ShownFcstFinish]]+Tasks[[#This Row],[_Row]]/100000,"")</f>
        <v/>
      </c>
      <c r="FZ45" s="45" t="str">
        <f aca="false">IF(Tasks[[#This Row],[_LeafCritical]],Tasks[[#This Row],[_ShownFcstStart]]+Tasks[[#This Row],[_Row]]/100000,"")</f>
        <v/>
      </c>
      <c r="GA45" s="45" t="n">
        <f aca="false">Tasks[[#This Row],[_LeafWork]]*Tasks[[#This Row],[_LeafProgress]]</f>
        <v>0</v>
      </c>
      <c r="GB45" s="74" t="str">
        <f aca="false">IF(AND(Tasks[[#This Row],[_IsLeaf]]=1,Tasks[[#This Row],[_LeafProgress]]&gt;=1),IF(N(Tasks[[#This Row],[Actual Finish]])&gt;0,Tasks[[#This Row],[Actual Finish]],Tasks[[#This Row],[_ShownFcstFinish]]),"")</f>
        <v/>
      </c>
    </row>
    <row r="46" customFormat="false" ht="15" hidden="false" customHeight="false" outlineLevel="0" collapsed="false">
      <c r="A46" s="67" t="str">
        <f aca="false">IF(Tasks[[#This Row],[Task Name]]="","",COUNTA(Tasks[[#Headers],[Task Name]]:Tasks[[#This Row],[Task Name]])-1)</f>
        <v/>
      </c>
      <c r="B46" s="21" t="n">
        <v>41</v>
      </c>
      <c r="C4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21"/>
      <c r="E46" s="22"/>
      <c r="F46" s="21"/>
      <c r="G46" s="22"/>
      <c r="H46" s="22"/>
      <c r="I46" s="22"/>
      <c r="J46" s="7"/>
      <c r="K46" s="7"/>
      <c r="L46" s="22"/>
      <c r="M46" s="58" t="str">
        <f aca="false">IF(Tasks[[#This Row],[Task Name]]="","",IF(Tasks[[#This Row],[_IsSummary]],MIN(INDEX(Tasks[_ShownFcstStart],Tasks[[#This Row],[_Row]]+1):INDEX(Tasks[_ShownFcstStart],Tasks[[#This Row],[_Row]]+Tasks[[#This Row],[_Descendants]])),Tasks[[#This Row],[_ShownFcstStart]]))</f>
        <v/>
      </c>
      <c r="N46" s="58" t="str">
        <f aca="false">IF(Tasks[[#This Row],[Task Name]]="","",IF(Tasks[[#This Row],[_IsSummary]],MAX(INDEX(Tasks[_ShownFcstFinish],Tasks[[#This Row],[_Row]]+1):INDEX(Tasks[_ShownFcstFinish],Tasks[[#This Row],[_Row]]+Tasks[[#This Row],[_Descendants]])),Tasks[[#This Row],[_ShownFcstFinish]]))</f>
        <v/>
      </c>
      <c r="O46" s="20" t="str">
        <f aca="false">IF(Tasks[[#This Row],[Task Name]]="","",IF(Tasks[[#This Row],[Progress]]&gt;=1,"Complete",IF(OR(N(Tasks[[#This Row],[Actual Start]])&gt;0,Tasks[[#This Row],[Progress]]&gt;0),IF(Tasks[[#This Row],[Finish Var]]&gt;0,"Behind","In Progress"),IF(Tasks[[#This Row],[Planned Start]]&lt;StatusDate,"Late Start","Not Started"))))</f>
        <v/>
      </c>
      <c r="P46" s="20" t="str">
        <f aca="false">IF(Tasks[[#This Row],[Task Name]]="","",IF(IF(Tasks[[#This Row],[_IsSummary]],COUNTIF(INDEX(Tasks[_LeafCritical],Tasks[[#This Row],[_Row]]+1):INDEX(Tasks[_LeafCritical],Tasks[[#This Row],[_Row]]+Tasks[[#This Row],[_Descendants]]),TRUE())&gt;0,Tasks[[#This Row],[_LeafCritical]]),"Yes",""))</f>
        <v/>
      </c>
      <c r="Q4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46" s="67" t="str">
        <f aca="false">IF(Tasks[[#This Row],[Task Name]]="","",IF(Tasks[[#This Row],[_Level]]&lt;=OutlineShowLevel,"Yes","No"))</f>
        <v/>
      </c>
      <c r="S46" s="7"/>
      <c r="T46" s="21"/>
      <c r="U46" s="22"/>
      <c r="V46" s="7"/>
      <c r="W46" s="67" t="str">
        <f aca="false">IF(Tasks[[#This Row],[Task Name]]="","",IF(Tasks[[#This Row],[Finish]]&gt;=Tasks[[#This Row],[Planned Finish]],NETWORKDAYS.INTL(Tasks[[#This Row],[Planned Finish]],Tasks[[#This Row],[Finish]],WorkWeek,Holidays)-1,1-NETWORKDAYS.INTL(Tasks[[#This Row],[Finish]],Tasks[[#This Row],[Planned Finish]],WorkWeek,Holidays)))</f>
        <v/>
      </c>
      <c r="X46" s="58" t="str">
        <f aca="false">IF(Tasks[[#This Row],[Task Name]]="","",IF(N(Tasks[[#This Row],[Baseline Start]])&gt;0,Tasks[[#This Row],[Baseline Start]],Tasks[[#This Row],[_CalcStart]]))</f>
        <v/>
      </c>
      <c r="Y46" s="58" t="str">
        <f aca="false">IF(Tasks[[#This Row],[Task Name]]="","",IF(N(Tasks[[#This Row],[Baseline Finish]])&gt;0,Tasks[[#This Row],[Baseline Finish]],Tasks[[#This Row],[_CalcFinish]]))</f>
        <v/>
      </c>
      <c r="Z46" s="67" t="str">
        <f aca="false">IF(Tasks[[#This Row],[Task Name]]="","",IF(Tasks[[#This Row],[Start]]&gt;=Tasks[[#This Row],[Planned Start]],NETWORKDAYS.INTL(Tasks[[#This Row],[Planned Start]],Tasks[[#This Row],[Start]],WorkWeek,Holidays)-1,1-NETWORKDAYS.INTL(Tasks[[#This Row],[Start]],Tasks[[#This Row],[Planned Start]],WorkWeek,Holidays)))</f>
        <v/>
      </c>
      <c r="AA46" s="58" t="str">
        <f aca="false">IF(Tasks[[#This Row],[Task Name]]="","",IF(Tasks[[#This Row],[_IsSummary]],MIN(INDEX(Tasks[_LeafLateStart],Tasks[[#This Row],[_Row]]+1):INDEX(Tasks[_LeafLateStart],Tasks[[#This Row],[_Row]]+Tasks[[#This Row],[_Descendants]])),Tasks[[#This Row],[_LeafLateStart]]))</f>
        <v/>
      </c>
      <c r="AB46" s="58" t="str">
        <f aca="false">IF(Tasks[[#This Row],[Task Name]]="","",IF(Tasks[[#This Row],[_IsSummary]],MAX(INDEX(Tasks[_LeafLateFinish],Tasks[[#This Row],[_Row]]+1):INDEX(Tasks[_LeafLateFinish],Tasks[[#This Row],[_Row]]+Tasks[[#This Row],[_Descendants]])),Tasks[[#This Row],[_LeafLateFinish]]))</f>
        <v/>
      </c>
      <c r="AC46" s="67" t="str">
        <f aca="false">IF(Tasks[[#This Row],[Task Name]]="","",IF(Tasks[[#This Row],[_IsSummary]],MIN(INDEX(Tasks[_LeafTotalSlack],Tasks[[#This Row],[_Row]]+1):INDEX(Tasks[_LeafTotalSlack],Tasks[[#This Row],[_Row]]+Tasks[[#This Row],[_Descendants]])),Tasks[[#This Row],[_LeafTotalSlack]]))</f>
        <v/>
      </c>
      <c r="AD4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4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4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46" s="60"/>
      <c r="AH4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4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46" s="69" t="str">
        <f aca="false">IF(Tasks[[#This Row],[Task Name]]="","",IF(Tasks[[#This Row],[_IsSummary]],SUM(INDEX(Tasks[_LeafTotalWork],Tasks[[#This Row],[_Row]]+1):INDEX(Tasks[_LeafTotalWork],Tasks[[#This Row],[_Row]]+Tasks[[#This Row],[_Descendants]])),Tasks[[#This Row],[_LeafTotalWork]]))</f>
        <v/>
      </c>
      <c r="AK4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46" s="70" t="str">
        <f aca="false">IF(Tasks[[#This Row],[Task Name]]="","",IF(Tasks[[#This Row],[_IsSummary]],SUM(INDEX(Tasks[_LeafTotalCost],Tasks[[#This Row],[_Row]]+1):INDEX(Tasks[_LeafTotalCost],Tasks[[#This Row],[_Row]]+Tasks[[#This Row],[_Descendants]])),Tasks[[#This Row],[_LeafTotalCost]]))</f>
        <v/>
      </c>
      <c r="AM46" s="71"/>
      <c r="AN46" s="20" t="str">
        <f aca="false">IF(OR(Tasks[[#This Row],[Task Name]]="",Tasks[[#This Row],[Baseline Duration]]=""),"",Tasks[[#This Row],[BL Source Duration]]-N(Tasks[[#This Row],[Baseline Duration]]))</f>
        <v/>
      </c>
      <c r="AO46" s="69" t="str">
        <f aca="false">IF(OR(Tasks[[#This Row],[Task Name]]="",Tasks[[#This Row],[Baseline Work]]=""),"",Tasks[[#This Row],[Work]]-N(Tasks[[#This Row],[Baseline Work]]))</f>
        <v/>
      </c>
      <c r="AP46" s="70" t="str">
        <f aca="false">IF(OR(Tasks[[#This Row],[Task Name]]="",Tasks[[#This Row],[Baseline Cost]]=""),"",Tasks[[#This Row],[Cost]]-N(Tasks[[#This Row],[Baseline Cost]]))</f>
        <v/>
      </c>
      <c r="AQ46" s="58" t="str">
        <f aca="false">IF(Tasks[[#This Row],[Task Name]]="","",Tasks[[#This Row],[Start]])</f>
        <v/>
      </c>
      <c r="AR46" s="58" t="str">
        <f aca="false">IF(Tasks[[#This Row],[Task Name]]="","",Tasks[[#This Row],[Finish]])</f>
        <v/>
      </c>
      <c r="AS46" s="67" t="str">
        <f aca="false">IF(Tasks[[#This Row],[Task Name]]="","",IF(Tasks[[#This Row],[_IsSummary]],NETWORKDAYS.INTL(Tasks[[#This Row],[Start]],Tasks[[#This Row],[Finish]],WorkWeek,Holidays),N(Tasks[[#This Row],[Duration]])))</f>
        <v/>
      </c>
      <c r="AT46" s="69" t="str">
        <f aca="false">IF(Tasks[[#This Row],[Task Name]]="","",Tasks[[#This Row],[Work]])</f>
        <v/>
      </c>
      <c r="AU46" s="70" t="str">
        <f aca="false">IF(Tasks[[#This Row],[Task Name]]="","",Tasks[[#This Row],[Cost]])</f>
        <v/>
      </c>
      <c r="AV46" s="7"/>
      <c r="AW46" s="7"/>
      <c r="AX46" s="21"/>
      <c r="AY46" s="72"/>
      <c r="AZ46" s="71"/>
      <c r="BA46" s="70" t="str">
        <f aca="false">IF(Tasks[[#This Row],[Task Name]]="","",IF(Tasks[[#This Row],[_IsSummary]],SUM(INDEX(Tasks[_LeafEV],Tasks[[#This Row],[_Row]]+1):INDEX(Tasks[_LeafEV],Tasks[[#This Row],[_Row]]+Tasks[[#This Row],[_Descendants]])),Tasks[[#This Row],[_LeafEV]]))</f>
        <v/>
      </c>
      <c r="BB46" s="70" t="str">
        <f aca="false">IF(Tasks[[#This Row],[Task Name]]="","",IF(Tasks[[#This Row],[_IsSummary]],SUM(INDEX(Tasks[_LeafBudget],Tasks[[#This Row],[_Row]]+1):INDEX(Tasks[_LeafBudget],Tasks[[#This Row],[_Row]]+Tasks[[#This Row],[_Descendants]])),Tasks[[#This Row],[_LeafBudget]]))</f>
        <v/>
      </c>
      <c r="BC46" s="70" t="str">
        <f aca="false">IF(Tasks[[#This Row],[Task Name]]="","",IF(Tasks[[#This Row],[_IsSummary]],SUM(INDEX(Tasks[_LeafPV],Tasks[[#This Row],[_Row]]+1):INDEX(Tasks[_LeafPV],Tasks[[#This Row],[_Row]]+Tasks[[#This Row],[_Descendants]])),Tasks[[#This Row],[_LeafPV]]))</f>
        <v/>
      </c>
      <c r="BD46" s="70" t="str">
        <f aca="false">IF(Tasks[[#This Row],[Task Name]]="","",IF(Tasks[[#This Row],[_IsSummary]],SUM(INDEX(Tasks[_LeafAC],Tasks[[#This Row],[_Row]]+1):INDEX(Tasks[_LeafAC],Tasks[[#This Row],[_Row]]+Tasks[[#This Row],[_Descendants]])),Tasks[[#This Row],[_LeafAC]]))</f>
        <v/>
      </c>
      <c r="BE46" s="45" t="str">
        <f aca="false">IF(Tasks[[#This Row],[Task Name]]="","",MAX(1,N(Tasks[[#This Row],[Level]])))</f>
        <v/>
      </c>
      <c r="BF46" s="45" t="n">
        <f aca="false">ROW()-ROW(Tasks[[#Headers],[ID]])</f>
        <v>41</v>
      </c>
      <c r="BG46" s="45" t="n">
        <f aca="false">IF(OR(Tasks[[#This Row],[Task Name]]="",Tasks[[#This Row],[_Level]]&lt;=1),0,IFERROR(LOOKUP(2,1/(Tasks[[#Headers],[_Level]]:Tasks[[#This Row],[_Level]]=Tasks[[#This Row],[_Level]]-1),ROW(Tasks[[#Headers],[_Level]]:Tasks[[#This Row],[_Level]])),0))</f>
        <v>0</v>
      </c>
      <c r="BH46" s="45" t="n">
        <f aca="false">IFERROR(N(INDEX(Tasks[_Level],Tasks[[#This Row],[_Row]]+1)),0)</f>
        <v>0</v>
      </c>
      <c r="BI46" s="73" t="b">
        <f aca="false">AND(Tasks[[#This Row],[Task Name]]&lt;&gt;"",Tasks[[#This Row],[_NextLevel]]&gt;Tasks[[#This Row],[_Level]])</f>
        <v>0</v>
      </c>
      <c r="BJ46" s="45" t="n">
        <f aca="false">IF(Tasks[[#This Row],[_IsSummary]],COUNTIF(Tasks[WBS],Tasks[[#This Row],[WBS]]&amp;".*"),0)</f>
        <v>0</v>
      </c>
      <c r="BK46" s="45" t="n">
        <f aca="false">IF(AND(Tasks[[#This Row],[Task Name]]&lt;&gt;"",NOT(Tasks[[#This Row],[_IsSummary]])),1,0)</f>
        <v>0</v>
      </c>
      <c r="BL46" s="45" t="n">
        <f aca="false">IF(N(Tasks[[#This Row],[_Pred1UID]])=0,0,IFERROR(MATCH(Tasks[[#This Row],[_Pred1UID]],Tasks[UID],0),-1))</f>
        <v>0</v>
      </c>
      <c r="BM46" s="45" t="n">
        <f aca="false">IF(N(Tasks[[#This Row],[_Pred2UID]])=0,0,IFERROR(MATCH(Tasks[[#This Row],[_Pred2UID]],Tasks[UID],0),-1))</f>
        <v>0</v>
      </c>
      <c r="BN46" s="45" t="n">
        <f aca="false">IF(N(Tasks[[#This Row],[_Pred3UID]])=0,0,IFERROR(MATCH(Tasks[[#This Row],[_Pred3UID]],Tasks[UID],0),-1))</f>
        <v>0</v>
      </c>
      <c r="BO46" s="45" t="n">
        <f aca="false">IF(N(Tasks[[#This Row],[_Pred4UID]])=0,0,IFERROR(MATCH(Tasks[[#This Row],[_Pred4UID]],Tasks[UID],0),-1))</f>
        <v>0</v>
      </c>
      <c r="BP4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4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46" s="74" t="n">
        <f aca="false">IF(OR(Tasks[[#This Row],[_ConstraintCode]]=2,Tasks[[#This Row],[_ConstraintCode]]=3,Tasks[[#This Row],[_ConstraintCode]]=4,Tasks[[#This Row],[_ConstraintCode]]=6),Tasks[[#This Row],[_ConstraintStart]],0)</f>
        <v>0</v>
      </c>
      <c r="BS46" s="74" t="n">
        <f aca="false">IF(OR(Tasks[[#This Row],[_ConstraintCode]]=2,Tasks[[#This Row],[_ConstraintCode]]=3,Tasks[[#This Row],[_ConstraintCode]]=5,Tasks[[#This Row],[_ConstraintCode]]=7),Tasks[[#This Row],[_ConstraintStart]],2958465)</f>
        <v>2958465</v>
      </c>
      <c r="BT4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46" s="74" t="str">
        <f aca="false">IF(NOT(Tasks[[#This Row],[_IsLeaf]]=1),"",IF(N(Tasks[[#This Row],[Duration]])&lt;=0,Tasks[[#This Row],[_LeafCalcStart]],WORKDAY.INTL(Tasks[[#This Row],[_LeafCalcStart]],Tasks[[#This Row],[Duration]]-1,WorkWeek,Holidays)))</f>
        <v/>
      </c>
      <c r="BV4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4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46" s="45" t="str">
        <f aca="false">IF(Tasks[[#This Row],[Predecessors]]="","",TRIM(MID(SUBSTITUTE(SUBSTITUTE(SUBSTITUTE(UPPER(Tasks[[#This Row],[Predecessors]]),";",",")," ",""),",",REPT(" ",99)),1,99)))</f>
        <v/>
      </c>
      <c r="BY46" s="45" t="str">
        <f aca="false">IF(Tasks[[#This Row],[_Pred1Text]]="","",IFERROR(VALUE(LEFT(Tasks[[#This Row],[_Pred1Text]],MIN(FIND("F",Tasks[[#This Row],[_Pred1Text]]&amp;"F"),FIND("S",Tasks[[#This Row],[_Pred1Text]]&amp;"S"),FIND("+",Tasks[[#This Row],[_Pred1Text]]&amp;"+"),FIND("-",Tasks[[#This Row],[_Pred1Text]]&amp;"-"))-1)),""))</f>
        <v/>
      </c>
      <c r="BZ4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4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46" s="45" t="str">
        <f aca="false">IF(Tasks[[#This Row],[_Pred1Text]]="","",TRIM(MID(SUBSTITUTE(SUBSTITUTE(SUBSTITUTE(UPPER(Tasks[[#This Row],[Predecessors]]),";",",")," ",""),",",REPT(" ",99)),100,99)))</f>
        <v/>
      </c>
      <c r="CC46" s="45" t="str">
        <f aca="false">IF(Tasks[[#This Row],[_Pred2Text]]="","",IFERROR(VALUE(LEFT(Tasks[[#This Row],[_Pred2Text]],MIN(FIND("F",Tasks[[#This Row],[_Pred2Text]]&amp;"F"),FIND("S",Tasks[[#This Row],[_Pred2Text]]&amp;"S"),FIND("+",Tasks[[#This Row],[_Pred2Text]]&amp;"+"),FIND("-",Tasks[[#This Row],[_Pred2Text]]&amp;"-"))-1)),""))</f>
        <v/>
      </c>
      <c r="CD4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4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46" s="45" t="str">
        <f aca="false">IF(Tasks[[#This Row],[_Pred2Text]]="","",TRIM(MID(SUBSTITUTE(SUBSTITUTE(SUBSTITUTE(UPPER(Tasks[[#This Row],[Predecessors]]),";",",")," ",""),",",REPT(" ",99)),199,99)))</f>
        <v/>
      </c>
      <c r="CG46" s="45" t="str">
        <f aca="false">IF(Tasks[[#This Row],[_Pred3Text]]="","",IFERROR(VALUE(LEFT(Tasks[[#This Row],[_Pred3Text]],MIN(FIND("F",Tasks[[#This Row],[_Pred3Text]]&amp;"F"),FIND("S",Tasks[[#This Row],[_Pred3Text]]&amp;"S"),FIND("+",Tasks[[#This Row],[_Pred3Text]]&amp;"+"),FIND("-",Tasks[[#This Row],[_Pred3Text]]&amp;"-"))-1)),""))</f>
        <v/>
      </c>
      <c r="CH4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4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46" s="45" t="str">
        <f aca="false">IF(Tasks[[#This Row],[_Pred3Text]]="","",TRIM(MID(SUBSTITUTE(SUBSTITUTE(SUBSTITUTE(UPPER(Tasks[[#This Row],[Predecessors]]),";",",")," ",""),",",REPT(" ",99)),298,99)))</f>
        <v/>
      </c>
      <c r="CK46" s="45" t="str">
        <f aca="false">IF(Tasks[[#This Row],[_Pred4Text]]="","",IFERROR(VALUE(LEFT(Tasks[[#This Row],[_Pred4Text]],MIN(FIND("F",Tasks[[#This Row],[_Pred4Text]]&amp;"F"),FIND("S",Tasks[[#This Row],[_Pred4Text]]&amp;"S"),FIND("+",Tasks[[#This Row],[_Pred4Text]]&amp;"+"),FIND("-",Tasks[[#This Row],[_Pred4Text]]&amp;"-"))-1)),""))</f>
        <v/>
      </c>
      <c r="CL4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4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46" s="45" t="str">
        <f aca="false">IF(OR(Tasks[[#This Row],[Task Name]]="",Tasks[[#This Row],[Resources]]=""),"",TRIM(MID(SUBSTITUTE(Tasks[[#This Row],[Resources]],",",REPT(" ",99)),1,99)))</f>
        <v/>
      </c>
      <c r="CO46" s="45" t="str">
        <f aca="false">IF(Tasks[[#This Row],[_Res1Text]]="","",TRIM(MID(SUBSTITUTE(Tasks[[#This Row],[Resources]],",",REPT(" ",99)),100,99)))</f>
        <v/>
      </c>
      <c r="CP46" s="45" t="str">
        <f aca="false">IF(Tasks[[#This Row],[_Res2Text]]="","",TRIM(MID(SUBSTITUTE(Tasks[[#This Row],[Resources]],",",REPT(" ",99)),199,99)))</f>
        <v/>
      </c>
      <c r="CQ46" s="45" t="str">
        <f aca="false">IF(Tasks[[#This Row],[_Res3Text]]="","",TRIM(MID(SUBSTITUTE(Tasks[[#This Row],[Resources]],",",REPT(" ",99)),298,99)))</f>
        <v/>
      </c>
      <c r="CR4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4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6" s="45" t="n">
        <f aca="false">IF(NOT(Tasks[[#This Row],[_IsLeaf]]=1),0,(Tasks[[#This Row],[_Resource1]]&lt;&gt;"")+(Tasks[[#This Row],[_Res2]]&lt;&gt;"")+(Tasks[[#This Row],[_Res3]]&lt;&gt;"")+(Tasks[[#This Row],[_Res4]]&lt;&gt;""))</f>
        <v>0</v>
      </c>
      <c r="CU4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4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6" s="45" t="n">
        <f aca="false">IF(OR(NOT(Tasks[[#This Row],[_IsLeaf]]=1),Tasks[[#This Row],[_Res2]]=""),0,IF(ISNA(MATCH(Tasks[[#This Row],[_Res2]],res_Name,0)),0,N(Tasks[[#This Row],[Duration]])*HoursPerDay*IF(Tasks[[#This Row],[_Res2Units]]="",DefaultUnits,Tasks[[#This Row],[_Res2Units]])))</f>
        <v>0</v>
      </c>
      <c r="CX46" s="45" t="n">
        <f aca="false">IF(Tasks[[#This Row],[_Res2Work]]=0,0,Tasks[[#This Row],[_Res2Work]]*IFERROR(INDEX(res_Rate,MATCH(Tasks[[#This Row],[_Res2]],res_Name,0)),0))</f>
        <v>0</v>
      </c>
      <c r="CY46" s="45" t="n">
        <f aca="false">IF(AND(AND(Tasks[[#This Row],[_IsLeaf]]=1,Tasks[[#This Row],[_LeafTotalWork]]&gt;0),Tasks[[#This Row],[_Res2Work]]&gt;0),Tasks[[#This Row],[_Res2Work]]/(Tasks[[#This Row],[_FinishWorkday]]-Tasks[[#This Row],[_StartWorkday]]+1),0)</f>
        <v>0</v>
      </c>
      <c r="CZ46" s="45" t="n">
        <f aca="false">Tasks[[#This Row],[_Res2WorkPerWD]]*MAX(0,Tasks[[#This Row],[_StartWorkday]]-1)</f>
        <v>0</v>
      </c>
      <c r="DA46" s="45" t="n">
        <f aca="false">Tasks[[#This Row],[_Res2Work]]*Tasks[[#This Row],[_LeafProgress]]</f>
        <v>0</v>
      </c>
      <c r="DB46" s="45" t="n">
        <f aca="false">IF(Tasks[[#This Row],[_LeafTotalCost]]=0,0,Tasks[[#This Row],[_LeafAC]]*Tasks[[#This Row],[_Res2Cost]]/Tasks[[#This Row],[_LeafTotalCost]])</f>
        <v>0</v>
      </c>
      <c r="DC4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4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46" s="45" t="n">
        <f aca="false">IF(OR(NOT(Tasks[[#This Row],[_IsLeaf]]=1),Tasks[[#This Row],[_Res3]]=""),0,IF(ISNA(MATCH(Tasks[[#This Row],[_Res3]],res_Name,0)),0,N(Tasks[[#This Row],[Duration]])*HoursPerDay*IF(Tasks[[#This Row],[_Res3Units]]="",DefaultUnits,Tasks[[#This Row],[_Res3Units]])))</f>
        <v>0</v>
      </c>
      <c r="DF46" s="45" t="n">
        <f aca="false">IF(Tasks[[#This Row],[_Res3Work]]=0,0,Tasks[[#This Row],[_Res3Work]]*IFERROR(INDEX(res_Rate,MATCH(Tasks[[#This Row],[_Res3]],res_Name,0)),0))</f>
        <v>0</v>
      </c>
      <c r="DG46" s="45" t="n">
        <f aca="false">IF(AND(AND(Tasks[[#This Row],[_IsLeaf]]=1,Tasks[[#This Row],[_LeafTotalWork]]&gt;0),Tasks[[#This Row],[_Res3Work]]&gt;0),Tasks[[#This Row],[_Res3Work]]/(Tasks[[#This Row],[_FinishWorkday]]-Tasks[[#This Row],[_StartWorkday]]+1),0)</f>
        <v>0</v>
      </c>
      <c r="DH46" s="45" t="n">
        <f aca="false">Tasks[[#This Row],[_Res3WorkPerWD]]*MAX(0,Tasks[[#This Row],[_StartWorkday]]-1)</f>
        <v>0</v>
      </c>
      <c r="DI46" s="45" t="n">
        <f aca="false">Tasks[[#This Row],[_Res3Work]]*Tasks[[#This Row],[_LeafProgress]]</f>
        <v>0</v>
      </c>
      <c r="DJ46" s="45" t="n">
        <f aca="false">IF(Tasks[[#This Row],[_LeafTotalCost]]=0,0,Tasks[[#This Row],[_LeafAC]]*Tasks[[#This Row],[_Res3Cost]]/Tasks[[#This Row],[_LeafTotalCost]])</f>
        <v>0</v>
      </c>
      <c r="DK4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4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46" s="45" t="n">
        <f aca="false">IF(OR(NOT(Tasks[[#This Row],[_IsLeaf]]=1),Tasks[[#This Row],[_Res4]]=""),0,IF(ISNA(MATCH(Tasks[[#This Row],[_Res4]],res_Name,0)),0,N(Tasks[[#This Row],[Duration]])*HoursPerDay*IF(Tasks[[#This Row],[_Res4Units]]="",DefaultUnits,Tasks[[#This Row],[_Res4Units]])))</f>
        <v>0</v>
      </c>
      <c r="DN46" s="45" t="n">
        <f aca="false">IF(Tasks[[#This Row],[_Res4Work]]=0,0,Tasks[[#This Row],[_Res4Work]]*IFERROR(INDEX(res_Rate,MATCH(Tasks[[#This Row],[_Res4]],res_Name,0)),0))</f>
        <v>0</v>
      </c>
      <c r="DO46" s="45" t="n">
        <f aca="false">IF(AND(AND(Tasks[[#This Row],[_IsLeaf]]=1,Tasks[[#This Row],[_LeafTotalWork]]&gt;0),Tasks[[#This Row],[_Res4Work]]&gt;0),Tasks[[#This Row],[_Res4Work]]/(Tasks[[#This Row],[_FinishWorkday]]-Tasks[[#This Row],[_StartWorkday]]+1),0)</f>
        <v>0</v>
      </c>
      <c r="DP46" s="45" t="n">
        <f aca="false">Tasks[[#This Row],[_Res4WorkPerWD]]*MAX(0,Tasks[[#This Row],[_StartWorkday]]-1)</f>
        <v>0</v>
      </c>
      <c r="DQ46" s="45" t="n">
        <f aca="false">Tasks[[#This Row],[_Res4Work]]*Tasks[[#This Row],[_LeafProgress]]</f>
        <v>0</v>
      </c>
      <c r="DR46" s="45" t="n">
        <f aca="false">IF(Tasks[[#This Row],[_LeafTotalCost]]=0,0,Tasks[[#This Row],[_LeafAC]]*Tasks[[#This Row],[_Res4Cost]]/Tasks[[#This Row],[_LeafTotalCost]])</f>
        <v>0</v>
      </c>
      <c r="DS46" s="45" t="n">
        <f aca="false">IF(ISNUMBER(Tasks[[#This Row],[% Complete]]),Tasks[[#This Row],[% Complete]],IF(Tasks[[#This Row],[Stage]]="",0,IFERROR(INDEX(stg_Pct,MATCH(Tasks[[#This Row],[Stage]],stg_Name,0)),0)))</f>
        <v>0</v>
      </c>
      <c r="DT46" s="45" t="n">
        <f aca="false">IF(NOT(Tasks[[#This Row],[_IsLeaf]]=1),0,IF(N(Tasks[[#This Row],[Actual Finish]])&gt;0,1,MIN(1,Tasks[[#This Row],[_Pct]])))</f>
        <v>0</v>
      </c>
      <c r="DU46" s="45" t="n">
        <f aca="false">IF(OR(NOT(Tasks[[#This Row],[_IsLeaf]]=1),Tasks[[#This Row],[_Resource1]]=""),0,IF(ISNA(MATCH(Tasks[[#This Row],[_Resource1]],res_Name,0)),0,N(Tasks[[#This Row],[Duration]])*HoursPerDay*IF(Tasks[[#This Row],[_Units1]]="",DefaultUnits,Tasks[[#This Row],[_Units1]])))</f>
        <v>0</v>
      </c>
      <c r="DV46" s="45" t="n">
        <f aca="false">IF(Tasks[[#This Row],[_LeafWork]]=0,0,Tasks[[#This Row],[_LeafWork]]*IFERROR(INDEX(res_Rate,MATCH(Tasks[[#This Row],[_Resource1]],res_Name,0)),0))</f>
        <v>0</v>
      </c>
      <c r="DW46" s="45" t="n">
        <f aca="false">Tasks[[#This Row],[_LeafWork]]+Tasks[[#This Row],[_Res2Work]]+Tasks[[#This Row],[_Res3Work]]+Tasks[[#This Row],[_Res4Work]]</f>
        <v>0</v>
      </c>
      <c r="DX46" s="45" t="n">
        <f aca="false">Tasks[[#This Row],[_LeafCost]]+Tasks[[#This Row],[_Res2Cost]]+Tasks[[#This Row],[_Res3Cost]]+Tasks[[#This Row],[_Res4Cost]]</f>
        <v>0</v>
      </c>
      <c r="DY46" s="45" t="n">
        <f aca="false">IF(Tasks[[#This Row],[_LeafTotalCost]]=0,Tasks[[#This Row],[_LeafAC]],Tasks[[#This Row],[_LeafAC]]*Tasks[[#This Row],[_LeafCost]]/Tasks[[#This Row],[_LeafTotalCost]])</f>
        <v>0</v>
      </c>
      <c r="DZ4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4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4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4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4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4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4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4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46" s="45" t="n">
        <f aca="false">IF(NOT(Tasks[[#This Row],[_IsLeaf]]=1),0,MAX(_xlfn.MAXIFS(Tasks[_Row],Tasks[_Pred1UID],Tasks[[#This Row],[UID]]),_xlfn.MAXIFS(Tasks[_Row],Tasks[_Pred2UID],Tasks[[#This Row],[UID]]),_xlfn.MAXIFS(Tasks[_Row],Tasks[_Pred3UID],Tasks[[#This Row],[UID]]),_xlfn.MAXIFS(Tasks[_Row],Tasks[_Pred4UID],Tasks[[#This Row],[UID]])))</f>
        <v>0</v>
      </c>
      <c r="EI4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4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46" s="74" t="str">
        <f aca="false">IF(NOT(Tasks[[#This Row],[_IsLeaf]]=1),"",IF(N(Tasks[[#This Row],[Duration]])&lt;=0,Tasks[[#This Row],[_LeafLateFinish]],WORKDAY.INTL(Tasks[[#This Row],[_LeafLateFinish]],-(Tasks[[#This Row],[Duration]]-1),WorkWeek,Holidays)))</f>
        <v/>
      </c>
      <c r="EL4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46" s="73" t="b">
        <f aca="false">AND(Tasks[[#This Row],[_IsLeaf]]=1,Tasks[[#This Row],[_LeafProgress]]&lt;1,N(Tasks[[#This Row],[_LeafTotalSlack]])&lt;=CriticalSlackDays)</f>
        <v>0</v>
      </c>
      <c r="EN46" s="45" t="n">
        <f aca="false">IF(AND(Tasks[[#This Row],[_IsLeaf]]=1,Tasks[[#This Row],[_ConstraintCode]]=1,Tasks[[#This Row],[Mode]]&lt;&gt;"Manual",N(Tasks[[#This Row],[Actual Start]])=0),MAX(0,N(Tasks[[#This Row],[Free Slack]])),0)</f>
        <v>0</v>
      </c>
      <c r="EO46" s="74" t="str">
        <f aca="false">IF(NOT(Tasks[[#This Row],[_IsLeaf]]=1),"",IF(Tasks[[#This Row],[_AlapShift]]=0,Tasks[[#This Row],[_LeafCalcStart]],WORKDAY.INTL(Tasks[[#This Row],[_LeafCalcStart]],Tasks[[#This Row],[_AlapShift]],WorkWeek,Holidays)))</f>
        <v/>
      </c>
      <c r="EP46" s="74" t="str">
        <f aca="false">IF(NOT(Tasks[[#This Row],[_IsLeaf]]=1),"",IF(Tasks[[#This Row],[_AlapShift]]=0,Tasks[[#This Row],[_LeafCalcFinish]],WORKDAY.INTL(Tasks[[#This Row],[_LeafCalcFinish]],Tasks[[#This Row],[_AlapShift]],WorkWeek,Holidays)))</f>
        <v/>
      </c>
      <c r="EQ46" s="74" t="str">
        <f aca="false">IF(NOT(Tasks[[#This Row],[_IsLeaf]]=1),"",IF(Tasks[[#This Row],[_AlapShift]]=0,Tasks[[#This Row],[_LeafFcstStart]],WORKDAY.INTL(Tasks[[#This Row],[_LeafFcstStart]],Tasks[[#This Row],[_AlapShift]],WorkWeek,Holidays)))</f>
        <v/>
      </c>
      <c r="ER46" s="74" t="str">
        <f aca="false">IF(NOT(Tasks[[#This Row],[_IsLeaf]]=1),"",IF(Tasks[[#This Row],[_AlapShift]]=0,Tasks[[#This Row],[_LeafFcstFinish]],WORKDAY.INTL(Tasks[[#This Row],[_LeafFcstFinish]],Tasks[[#This Row],[_AlapShift]],WorkWeek,Holidays)))</f>
        <v/>
      </c>
      <c r="ES46" s="74" t="str">
        <f aca="false">IF(Tasks[[#This Row],[Task Name]]="","",IF(Tasks[[#This Row],[_IsSummary]],MIN(INDEX(Tasks[_ShownCalcStart],Tasks[[#This Row],[_Row]]+1):INDEX(Tasks[_ShownCalcStart],Tasks[[#This Row],[_Row]]+Tasks[[#This Row],[_Descendants]])),Tasks[[#This Row],[_ShownCalcStart]]))</f>
        <v/>
      </c>
      <c r="ET46" s="74" t="str">
        <f aca="false">IF(Tasks[[#This Row],[Task Name]]="","",IF(Tasks[[#This Row],[_IsSummary]],MAX(INDEX(Tasks[_ShownCalcFinish],Tasks[[#This Row],[_Row]]+1):INDEX(Tasks[_ShownCalcFinish],Tasks[[#This Row],[_Row]]+Tasks[[#This Row],[_Descendants]])),Tasks[[#This Row],[_ShownCalcFinish]]))</f>
        <v/>
      </c>
      <c r="EU4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4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4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4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4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4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4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4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4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4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4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4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46" s="45" t="n">
        <f aca="false">IF(AND(Tasks[[#This Row],[_IsLeaf]]=1,Tasks[[#This Row],[_LeafTotalWork]]&gt;0),NETWORKDAYS.INTL(ProjectStart,Tasks[[#This Row],[_ShownFcstStart]],WorkWeek,Holidays),0)</f>
        <v>0</v>
      </c>
      <c r="FH46" s="45" t="n">
        <f aca="false">IF(AND(Tasks[[#This Row],[_IsLeaf]]=1,Tasks[[#This Row],[_LeafTotalWork]]&gt;0),MAX(Tasks[[#This Row],[_StartWorkday]],NETWORKDAYS.INTL(ProjectStart,Tasks[[#This Row],[_ShownFcstFinish]],WorkWeek,Holidays)),0)</f>
        <v>0</v>
      </c>
      <c r="FI46" s="45" t="n">
        <f aca="false">IF(AND(Tasks[[#This Row],[_IsLeaf]]=1,Tasks[[#This Row],[_LeafTotalWork]]&gt;0),Tasks[[#This Row],[_LeafWork]]/(Tasks[[#This Row],[_FinishWorkday]]-Tasks[[#This Row],[_StartWorkday]]+1),0)</f>
        <v>0</v>
      </c>
      <c r="FJ46" s="45" t="n">
        <f aca="false">Tasks[[#This Row],[_WorkPerWorkday]]*(Tasks[[#This Row],[_StartWorkday]]-1)</f>
        <v>-0</v>
      </c>
      <c r="FK46" s="45" t="n">
        <f aca="false">IF(Tasks[[#This Row],[_IsLeaf]]=1,MAX(N(Tasks[[#This Row],[Duration]]),0.1),0)</f>
        <v>0</v>
      </c>
      <c r="FL46" s="45" t="n">
        <f aca="false">Tasks[[#This Row],[_WeightDur]]*Tasks[[#This Row],[_LeafProgress]]</f>
        <v>0</v>
      </c>
      <c r="FM4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46" s="45" t="str">
        <f aca="false">IF(AND(Tasks[[#This Row],[_IsLeaf]]=1,N(Tasks[[#This Row],[Duration]])=0,Tasks[[#This Row],[_LeafProgress]]&lt;1),Tasks[[#This Row],[_ShownFcstFinish]]+Tasks[[#This Row],[_Row]]/100000,"")</f>
        <v/>
      </c>
      <c r="FO4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46" s="45" t="n">
        <f aca="false">IF(NOT(Tasks[[#This Row],[_IsLeaf]]=1),0,IF(Tasks[[#This Row],[Baseline Cost]]="",Tasks[[#This Row],[_LeafTotalCost]],N(Tasks[[#This Row],[Baseline Cost]])))</f>
        <v>0</v>
      </c>
      <c r="FQ46" s="45" t="n">
        <f aca="false">Tasks[[#This Row],[_LeafBudget]]*Tasks[[#This Row],[_PlannedPct]]</f>
        <v>0</v>
      </c>
      <c r="FR46" s="45" t="n">
        <f aca="false">Tasks[[#This Row],[_LeafBudget]]*Tasks[[#This Row],[_LeafProgress]]</f>
        <v>0</v>
      </c>
      <c r="FS46" s="45" t="n">
        <f aca="false">IF(NOT(Tasks[[#This Row],[_IsLeaf]]=1),0,IF(Tasks[[#This Row],[Actual Cost]]="",Tasks[[#This Row],[_LeafTotalCost]]*Tasks[[#This Row],[_LeafProgress]],N(Tasks[[#This Row],[Actual Cost]])))</f>
        <v>0</v>
      </c>
      <c r="FT46" s="45" t="str">
        <f aca="false">IF(Tasks[[#This Row],[Task Name]]="","",LEFT(Tasks[[#This Row],[WBS]],FIND(".",Tasks[[#This Row],[WBS]]&amp;".")-1))</f>
        <v/>
      </c>
      <c r="FU46" s="45" t="str">
        <f aca="false">IF(AND(Tasks[[#This Row],[Task Name]]&lt;&gt;"",Tasks[[#This Row],[_Level]]=1),Tasks[[#This Row],[_Row]],"")</f>
        <v/>
      </c>
      <c r="FV46" s="45" t="str">
        <f aca="false">IF(AND(Tasks[[#This Row],[_IsLeaf]]=1,N(Tasks[[#This Row],[Duration]])=0),Tasks[[#This Row],[Planned Finish]]+Tasks[[#This Row],[_Row]]/100000,"")</f>
        <v/>
      </c>
      <c r="FW46" s="45" t="str">
        <f aca="false">IF(AND(Tasks[[#This Row],[_IsLeaf]]=1,Tasks[[#This Row],[_LeafProgress]]&lt;1,OR(N(Tasks[[#This Row],[Finish Var]])&gt;0,Tasks[[#This Row],[Status]]="Late Start")),MAX(0,Tasks[[#This Row],[Finish Var]])+1-Tasks[[#This Row],[_Row]]/1000000,"")</f>
        <v/>
      </c>
      <c r="FX46" s="45" t="str">
        <f aca="false">IF(AND(Tasks[[#This Row],[_IsLeaf]]=1,N(Tasks[[#This Row],[Actual Start]])=0,Tasks[[#This Row],[_ShownFcstStart]]&gt;=StatusDate,Tasks[[#This Row],[_ShownFcstStart]]&lt;=LookaheadEnd),Tasks[[#This Row],[_ShownFcstStart]]+Tasks[[#This Row],[_Row]]/100000,"")</f>
        <v/>
      </c>
      <c r="FY46" s="45" t="str">
        <f aca="false">IF(AND(Tasks[[#This Row],[_IsLeaf]]=1,Tasks[[#This Row],[_LeafProgress]]&lt;1,Tasks[[#This Row],[_ShownFcstFinish]]&gt;=StatusDate,Tasks[[#This Row],[_ShownFcstFinish]]&lt;=LookaheadEnd),Tasks[[#This Row],[_ShownFcstFinish]]+Tasks[[#This Row],[_Row]]/100000,"")</f>
        <v/>
      </c>
      <c r="FZ46" s="45" t="str">
        <f aca="false">IF(Tasks[[#This Row],[_LeafCritical]],Tasks[[#This Row],[_ShownFcstStart]]+Tasks[[#This Row],[_Row]]/100000,"")</f>
        <v/>
      </c>
      <c r="GA46" s="45" t="n">
        <f aca="false">Tasks[[#This Row],[_LeafWork]]*Tasks[[#This Row],[_LeafProgress]]</f>
        <v>0</v>
      </c>
      <c r="GB46" s="74" t="str">
        <f aca="false">IF(AND(Tasks[[#This Row],[_IsLeaf]]=1,Tasks[[#This Row],[_LeafProgress]]&gt;=1),IF(N(Tasks[[#This Row],[Actual Finish]])&gt;0,Tasks[[#This Row],[Actual Finish]],Tasks[[#This Row],[_ShownFcstFinish]]),"")</f>
        <v/>
      </c>
    </row>
    <row r="47" customFormat="false" ht="15" hidden="false" customHeight="false" outlineLevel="0" collapsed="false">
      <c r="A47" s="67" t="str">
        <f aca="false">IF(Tasks[[#This Row],[Task Name]]="","",COUNTA(Tasks[[#Headers],[Task Name]]:Tasks[[#This Row],[Task Name]])-1)</f>
        <v/>
      </c>
      <c r="B47" s="21" t="n">
        <v>42</v>
      </c>
      <c r="C4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21"/>
      <c r="E47" s="22"/>
      <c r="F47" s="21"/>
      <c r="G47" s="22"/>
      <c r="H47" s="22"/>
      <c r="I47" s="22"/>
      <c r="J47" s="7"/>
      <c r="K47" s="7"/>
      <c r="L47" s="22"/>
      <c r="M47" s="58" t="str">
        <f aca="false">IF(Tasks[[#This Row],[Task Name]]="","",IF(Tasks[[#This Row],[_IsSummary]],MIN(INDEX(Tasks[_ShownFcstStart],Tasks[[#This Row],[_Row]]+1):INDEX(Tasks[_ShownFcstStart],Tasks[[#This Row],[_Row]]+Tasks[[#This Row],[_Descendants]])),Tasks[[#This Row],[_ShownFcstStart]]))</f>
        <v/>
      </c>
      <c r="N47" s="58" t="str">
        <f aca="false">IF(Tasks[[#This Row],[Task Name]]="","",IF(Tasks[[#This Row],[_IsSummary]],MAX(INDEX(Tasks[_ShownFcstFinish],Tasks[[#This Row],[_Row]]+1):INDEX(Tasks[_ShownFcstFinish],Tasks[[#This Row],[_Row]]+Tasks[[#This Row],[_Descendants]])),Tasks[[#This Row],[_ShownFcstFinish]]))</f>
        <v/>
      </c>
      <c r="O47" s="20" t="str">
        <f aca="false">IF(Tasks[[#This Row],[Task Name]]="","",IF(Tasks[[#This Row],[Progress]]&gt;=1,"Complete",IF(OR(N(Tasks[[#This Row],[Actual Start]])&gt;0,Tasks[[#This Row],[Progress]]&gt;0),IF(Tasks[[#This Row],[Finish Var]]&gt;0,"Behind","In Progress"),IF(Tasks[[#This Row],[Planned Start]]&lt;StatusDate,"Late Start","Not Started"))))</f>
        <v/>
      </c>
      <c r="P47" s="20" t="str">
        <f aca="false">IF(Tasks[[#This Row],[Task Name]]="","",IF(IF(Tasks[[#This Row],[_IsSummary]],COUNTIF(INDEX(Tasks[_LeafCritical],Tasks[[#This Row],[_Row]]+1):INDEX(Tasks[_LeafCritical],Tasks[[#This Row],[_Row]]+Tasks[[#This Row],[_Descendants]]),TRUE())&gt;0,Tasks[[#This Row],[_LeafCritical]]),"Yes",""))</f>
        <v/>
      </c>
      <c r="Q4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47" s="67" t="str">
        <f aca="false">IF(Tasks[[#This Row],[Task Name]]="","",IF(Tasks[[#This Row],[_Level]]&lt;=OutlineShowLevel,"Yes","No"))</f>
        <v/>
      </c>
      <c r="S47" s="7"/>
      <c r="T47" s="21"/>
      <c r="U47" s="22"/>
      <c r="V47" s="7"/>
      <c r="W47" s="67" t="str">
        <f aca="false">IF(Tasks[[#This Row],[Task Name]]="","",IF(Tasks[[#This Row],[Finish]]&gt;=Tasks[[#This Row],[Planned Finish]],NETWORKDAYS.INTL(Tasks[[#This Row],[Planned Finish]],Tasks[[#This Row],[Finish]],WorkWeek,Holidays)-1,1-NETWORKDAYS.INTL(Tasks[[#This Row],[Finish]],Tasks[[#This Row],[Planned Finish]],WorkWeek,Holidays)))</f>
        <v/>
      </c>
      <c r="X47" s="58" t="str">
        <f aca="false">IF(Tasks[[#This Row],[Task Name]]="","",IF(N(Tasks[[#This Row],[Baseline Start]])&gt;0,Tasks[[#This Row],[Baseline Start]],Tasks[[#This Row],[_CalcStart]]))</f>
        <v/>
      </c>
      <c r="Y47" s="58" t="str">
        <f aca="false">IF(Tasks[[#This Row],[Task Name]]="","",IF(N(Tasks[[#This Row],[Baseline Finish]])&gt;0,Tasks[[#This Row],[Baseline Finish]],Tasks[[#This Row],[_CalcFinish]]))</f>
        <v/>
      </c>
      <c r="Z47" s="67" t="str">
        <f aca="false">IF(Tasks[[#This Row],[Task Name]]="","",IF(Tasks[[#This Row],[Start]]&gt;=Tasks[[#This Row],[Planned Start]],NETWORKDAYS.INTL(Tasks[[#This Row],[Planned Start]],Tasks[[#This Row],[Start]],WorkWeek,Holidays)-1,1-NETWORKDAYS.INTL(Tasks[[#This Row],[Start]],Tasks[[#This Row],[Planned Start]],WorkWeek,Holidays)))</f>
        <v/>
      </c>
      <c r="AA47" s="58" t="str">
        <f aca="false">IF(Tasks[[#This Row],[Task Name]]="","",IF(Tasks[[#This Row],[_IsSummary]],MIN(INDEX(Tasks[_LeafLateStart],Tasks[[#This Row],[_Row]]+1):INDEX(Tasks[_LeafLateStart],Tasks[[#This Row],[_Row]]+Tasks[[#This Row],[_Descendants]])),Tasks[[#This Row],[_LeafLateStart]]))</f>
        <v/>
      </c>
      <c r="AB47" s="58" t="str">
        <f aca="false">IF(Tasks[[#This Row],[Task Name]]="","",IF(Tasks[[#This Row],[_IsSummary]],MAX(INDEX(Tasks[_LeafLateFinish],Tasks[[#This Row],[_Row]]+1):INDEX(Tasks[_LeafLateFinish],Tasks[[#This Row],[_Row]]+Tasks[[#This Row],[_Descendants]])),Tasks[[#This Row],[_LeafLateFinish]]))</f>
        <v/>
      </c>
      <c r="AC47" s="67" t="str">
        <f aca="false">IF(Tasks[[#This Row],[Task Name]]="","",IF(Tasks[[#This Row],[_IsSummary]],MIN(INDEX(Tasks[_LeafTotalSlack],Tasks[[#This Row],[_Row]]+1):INDEX(Tasks[_LeafTotalSlack],Tasks[[#This Row],[_Row]]+Tasks[[#This Row],[_Descendants]])),Tasks[[#This Row],[_LeafTotalSlack]]))</f>
        <v/>
      </c>
      <c r="AD4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4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4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47" s="60"/>
      <c r="AH4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4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47" s="69" t="str">
        <f aca="false">IF(Tasks[[#This Row],[Task Name]]="","",IF(Tasks[[#This Row],[_IsSummary]],SUM(INDEX(Tasks[_LeafTotalWork],Tasks[[#This Row],[_Row]]+1):INDEX(Tasks[_LeafTotalWork],Tasks[[#This Row],[_Row]]+Tasks[[#This Row],[_Descendants]])),Tasks[[#This Row],[_LeafTotalWork]]))</f>
        <v/>
      </c>
      <c r="AK4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47" s="70" t="str">
        <f aca="false">IF(Tasks[[#This Row],[Task Name]]="","",IF(Tasks[[#This Row],[_IsSummary]],SUM(INDEX(Tasks[_LeafTotalCost],Tasks[[#This Row],[_Row]]+1):INDEX(Tasks[_LeafTotalCost],Tasks[[#This Row],[_Row]]+Tasks[[#This Row],[_Descendants]])),Tasks[[#This Row],[_LeafTotalCost]]))</f>
        <v/>
      </c>
      <c r="AM47" s="71"/>
      <c r="AN47" s="20" t="str">
        <f aca="false">IF(OR(Tasks[[#This Row],[Task Name]]="",Tasks[[#This Row],[Baseline Duration]]=""),"",Tasks[[#This Row],[BL Source Duration]]-N(Tasks[[#This Row],[Baseline Duration]]))</f>
        <v/>
      </c>
      <c r="AO47" s="69" t="str">
        <f aca="false">IF(OR(Tasks[[#This Row],[Task Name]]="",Tasks[[#This Row],[Baseline Work]]=""),"",Tasks[[#This Row],[Work]]-N(Tasks[[#This Row],[Baseline Work]]))</f>
        <v/>
      </c>
      <c r="AP47" s="70" t="str">
        <f aca="false">IF(OR(Tasks[[#This Row],[Task Name]]="",Tasks[[#This Row],[Baseline Cost]]=""),"",Tasks[[#This Row],[Cost]]-N(Tasks[[#This Row],[Baseline Cost]]))</f>
        <v/>
      </c>
      <c r="AQ47" s="58" t="str">
        <f aca="false">IF(Tasks[[#This Row],[Task Name]]="","",Tasks[[#This Row],[Start]])</f>
        <v/>
      </c>
      <c r="AR47" s="58" t="str">
        <f aca="false">IF(Tasks[[#This Row],[Task Name]]="","",Tasks[[#This Row],[Finish]])</f>
        <v/>
      </c>
      <c r="AS47" s="67" t="str">
        <f aca="false">IF(Tasks[[#This Row],[Task Name]]="","",IF(Tasks[[#This Row],[_IsSummary]],NETWORKDAYS.INTL(Tasks[[#This Row],[Start]],Tasks[[#This Row],[Finish]],WorkWeek,Holidays),N(Tasks[[#This Row],[Duration]])))</f>
        <v/>
      </c>
      <c r="AT47" s="69" t="str">
        <f aca="false">IF(Tasks[[#This Row],[Task Name]]="","",Tasks[[#This Row],[Work]])</f>
        <v/>
      </c>
      <c r="AU47" s="70" t="str">
        <f aca="false">IF(Tasks[[#This Row],[Task Name]]="","",Tasks[[#This Row],[Cost]])</f>
        <v/>
      </c>
      <c r="AV47" s="7"/>
      <c r="AW47" s="7"/>
      <c r="AX47" s="21"/>
      <c r="AY47" s="72"/>
      <c r="AZ47" s="71"/>
      <c r="BA47" s="70" t="str">
        <f aca="false">IF(Tasks[[#This Row],[Task Name]]="","",IF(Tasks[[#This Row],[_IsSummary]],SUM(INDEX(Tasks[_LeafEV],Tasks[[#This Row],[_Row]]+1):INDEX(Tasks[_LeafEV],Tasks[[#This Row],[_Row]]+Tasks[[#This Row],[_Descendants]])),Tasks[[#This Row],[_LeafEV]]))</f>
        <v/>
      </c>
      <c r="BB47" s="70" t="str">
        <f aca="false">IF(Tasks[[#This Row],[Task Name]]="","",IF(Tasks[[#This Row],[_IsSummary]],SUM(INDEX(Tasks[_LeafBudget],Tasks[[#This Row],[_Row]]+1):INDEX(Tasks[_LeafBudget],Tasks[[#This Row],[_Row]]+Tasks[[#This Row],[_Descendants]])),Tasks[[#This Row],[_LeafBudget]]))</f>
        <v/>
      </c>
      <c r="BC47" s="70" t="str">
        <f aca="false">IF(Tasks[[#This Row],[Task Name]]="","",IF(Tasks[[#This Row],[_IsSummary]],SUM(INDEX(Tasks[_LeafPV],Tasks[[#This Row],[_Row]]+1):INDEX(Tasks[_LeafPV],Tasks[[#This Row],[_Row]]+Tasks[[#This Row],[_Descendants]])),Tasks[[#This Row],[_LeafPV]]))</f>
        <v/>
      </c>
      <c r="BD47" s="70" t="str">
        <f aca="false">IF(Tasks[[#This Row],[Task Name]]="","",IF(Tasks[[#This Row],[_IsSummary]],SUM(INDEX(Tasks[_LeafAC],Tasks[[#This Row],[_Row]]+1):INDEX(Tasks[_LeafAC],Tasks[[#This Row],[_Row]]+Tasks[[#This Row],[_Descendants]])),Tasks[[#This Row],[_LeafAC]]))</f>
        <v/>
      </c>
      <c r="BE47" s="45" t="str">
        <f aca="false">IF(Tasks[[#This Row],[Task Name]]="","",MAX(1,N(Tasks[[#This Row],[Level]])))</f>
        <v/>
      </c>
      <c r="BF47" s="45" t="n">
        <f aca="false">ROW()-ROW(Tasks[[#Headers],[ID]])</f>
        <v>42</v>
      </c>
      <c r="BG47" s="45" t="n">
        <f aca="false">IF(OR(Tasks[[#This Row],[Task Name]]="",Tasks[[#This Row],[_Level]]&lt;=1),0,IFERROR(LOOKUP(2,1/(Tasks[[#Headers],[_Level]]:Tasks[[#This Row],[_Level]]=Tasks[[#This Row],[_Level]]-1),ROW(Tasks[[#Headers],[_Level]]:Tasks[[#This Row],[_Level]])),0))</f>
        <v>0</v>
      </c>
      <c r="BH47" s="45" t="n">
        <f aca="false">IFERROR(N(INDEX(Tasks[_Level],Tasks[[#This Row],[_Row]]+1)),0)</f>
        <v>0</v>
      </c>
      <c r="BI47" s="73" t="b">
        <f aca="false">AND(Tasks[[#This Row],[Task Name]]&lt;&gt;"",Tasks[[#This Row],[_NextLevel]]&gt;Tasks[[#This Row],[_Level]])</f>
        <v>0</v>
      </c>
      <c r="BJ47" s="45" t="n">
        <f aca="false">IF(Tasks[[#This Row],[_IsSummary]],COUNTIF(Tasks[WBS],Tasks[[#This Row],[WBS]]&amp;".*"),0)</f>
        <v>0</v>
      </c>
      <c r="BK47" s="45" t="n">
        <f aca="false">IF(AND(Tasks[[#This Row],[Task Name]]&lt;&gt;"",NOT(Tasks[[#This Row],[_IsSummary]])),1,0)</f>
        <v>0</v>
      </c>
      <c r="BL47" s="45" t="n">
        <f aca="false">IF(N(Tasks[[#This Row],[_Pred1UID]])=0,0,IFERROR(MATCH(Tasks[[#This Row],[_Pred1UID]],Tasks[UID],0),-1))</f>
        <v>0</v>
      </c>
      <c r="BM47" s="45" t="n">
        <f aca="false">IF(N(Tasks[[#This Row],[_Pred2UID]])=0,0,IFERROR(MATCH(Tasks[[#This Row],[_Pred2UID]],Tasks[UID],0),-1))</f>
        <v>0</v>
      </c>
      <c r="BN47" s="45" t="n">
        <f aca="false">IF(N(Tasks[[#This Row],[_Pred3UID]])=0,0,IFERROR(MATCH(Tasks[[#This Row],[_Pred3UID]],Tasks[UID],0),-1))</f>
        <v>0</v>
      </c>
      <c r="BO47" s="45" t="n">
        <f aca="false">IF(N(Tasks[[#This Row],[_Pred4UID]])=0,0,IFERROR(MATCH(Tasks[[#This Row],[_Pred4UID]],Tasks[UID],0),-1))</f>
        <v>0</v>
      </c>
      <c r="BP4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4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47" s="74" t="n">
        <f aca="false">IF(OR(Tasks[[#This Row],[_ConstraintCode]]=2,Tasks[[#This Row],[_ConstraintCode]]=3,Tasks[[#This Row],[_ConstraintCode]]=4,Tasks[[#This Row],[_ConstraintCode]]=6),Tasks[[#This Row],[_ConstraintStart]],0)</f>
        <v>0</v>
      </c>
      <c r="BS47" s="74" t="n">
        <f aca="false">IF(OR(Tasks[[#This Row],[_ConstraintCode]]=2,Tasks[[#This Row],[_ConstraintCode]]=3,Tasks[[#This Row],[_ConstraintCode]]=5,Tasks[[#This Row],[_ConstraintCode]]=7),Tasks[[#This Row],[_ConstraintStart]],2958465)</f>
        <v>2958465</v>
      </c>
      <c r="BT4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47" s="74" t="str">
        <f aca="false">IF(NOT(Tasks[[#This Row],[_IsLeaf]]=1),"",IF(N(Tasks[[#This Row],[Duration]])&lt;=0,Tasks[[#This Row],[_LeafCalcStart]],WORKDAY.INTL(Tasks[[#This Row],[_LeafCalcStart]],Tasks[[#This Row],[Duration]]-1,WorkWeek,Holidays)))</f>
        <v/>
      </c>
      <c r="BV4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4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47" s="45" t="str">
        <f aca="false">IF(Tasks[[#This Row],[Predecessors]]="","",TRIM(MID(SUBSTITUTE(SUBSTITUTE(SUBSTITUTE(UPPER(Tasks[[#This Row],[Predecessors]]),";",",")," ",""),",",REPT(" ",99)),1,99)))</f>
        <v/>
      </c>
      <c r="BY47" s="45" t="str">
        <f aca="false">IF(Tasks[[#This Row],[_Pred1Text]]="","",IFERROR(VALUE(LEFT(Tasks[[#This Row],[_Pred1Text]],MIN(FIND("F",Tasks[[#This Row],[_Pred1Text]]&amp;"F"),FIND("S",Tasks[[#This Row],[_Pred1Text]]&amp;"S"),FIND("+",Tasks[[#This Row],[_Pred1Text]]&amp;"+"),FIND("-",Tasks[[#This Row],[_Pred1Text]]&amp;"-"))-1)),""))</f>
        <v/>
      </c>
      <c r="BZ4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4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47" s="45" t="str">
        <f aca="false">IF(Tasks[[#This Row],[_Pred1Text]]="","",TRIM(MID(SUBSTITUTE(SUBSTITUTE(SUBSTITUTE(UPPER(Tasks[[#This Row],[Predecessors]]),";",",")," ",""),",",REPT(" ",99)),100,99)))</f>
        <v/>
      </c>
      <c r="CC47" s="45" t="str">
        <f aca="false">IF(Tasks[[#This Row],[_Pred2Text]]="","",IFERROR(VALUE(LEFT(Tasks[[#This Row],[_Pred2Text]],MIN(FIND("F",Tasks[[#This Row],[_Pred2Text]]&amp;"F"),FIND("S",Tasks[[#This Row],[_Pred2Text]]&amp;"S"),FIND("+",Tasks[[#This Row],[_Pred2Text]]&amp;"+"),FIND("-",Tasks[[#This Row],[_Pred2Text]]&amp;"-"))-1)),""))</f>
        <v/>
      </c>
      <c r="CD4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4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47" s="45" t="str">
        <f aca="false">IF(Tasks[[#This Row],[_Pred2Text]]="","",TRIM(MID(SUBSTITUTE(SUBSTITUTE(SUBSTITUTE(UPPER(Tasks[[#This Row],[Predecessors]]),";",",")," ",""),",",REPT(" ",99)),199,99)))</f>
        <v/>
      </c>
      <c r="CG47" s="45" t="str">
        <f aca="false">IF(Tasks[[#This Row],[_Pred3Text]]="","",IFERROR(VALUE(LEFT(Tasks[[#This Row],[_Pred3Text]],MIN(FIND("F",Tasks[[#This Row],[_Pred3Text]]&amp;"F"),FIND("S",Tasks[[#This Row],[_Pred3Text]]&amp;"S"),FIND("+",Tasks[[#This Row],[_Pred3Text]]&amp;"+"),FIND("-",Tasks[[#This Row],[_Pred3Text]]&amp;"-"))-1)),""))</f>
        <v/>
      </c>
      <c r="CH4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4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47" s="45" t="str">
        <f aca="false">IF(Tasks[[#This Row],[_Pred3Text]]="","",TRIM(MID(SUBSTITUTE(SUBSTITUTE(SUBSTITUTE(UPPER(Tasks[[#This Row],[Predecessors]]),";",",")," ",""),",",REPT(" ",99)),298,99)))</f>
        <v/>
      </c>
      <c r="CK47" s="45" t="str">
        <f aca="false">IF(Tasks[[#This Row],[_Pred4Text]]="","",IFERROR(VALUE(LEFT(Tasks[[#This Row],[_Pred4Text]],MIN(FIND("F",Tasks[[#This Row],[_Pred4Text]]&amp;"F"),FIND("S",Tasks[[#This Row],[_Pred4Text]]&amp;"S"),FIND("+",Tasks[[#This Row],[_Pred4Text]]&amp;"+"),FIND("-",Tasks[[#This Row],[_Pred4Text]]&amp;"-"))-1)),""))</f>
        <v/>
      </c>
      <c r="CL4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4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47" s="45" t="str">
        <f aca="false">IF(OR(Tasks[[#This Row],[Task Name]]="",Tasks[[#This Row],[Resources]]=""),"",TRIM(MID(SUBSTITUTE(Tasks[[#This Row],[Resources]],",",REPT(" ",99)),1,99)))</f>
        <v/>
      </c>
      <c r="CO47" s="45" t="str">
        <f aca="false">IF(Tasks[[#This Row],[_Res1Text]]="","",TRIM(MID(SUBSTITUTE(Tasks[[#This Row],[Resources]],",",REPT(" ",99)),100,99)))</f>
        <v/>
      </c>
      <c r="CP47" s="45" t="str">
        <f aca="false">IF(Tasks[[#This Row],[_Res2Text]]="","",TRIM(MID(SUBSTITUTE(Tasks[[#This Row],[Resources]],",",REPT(" ",99)),199,99)))</f>
        <v/>
      </c>
      <c r="CQ47" s="45" t="str">
        <f aca="false">IF(Tasks[[#This Row],[_Res3Text]]="","",TRIM(MID(SUBSTITUTE(Tasks[[#This Row],[Resources]],",",REPT(" ",99)),298,99)))</f>
        <v/>
      </c>
      <c r="CR4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4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7" s="45" t="n">
        <f aca="false">IF(NOT(Tasks[[#This Row],[_IsLeaf]]=1),0,(Tasks[[#This Row],[_Resource1]]&lt;&gt;"")+(Tasks[[#This Row],[_Res2]]&lt;&gt;"")+(Tasks[[#This Row],[_Res3]]&lt;&gt;"")+(Tasks[[#This Row],[_Res4]]&lt;&gt;""))</f>
        <v>0</v>
      </c>
      <c r="CU4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4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7" s="45" t="n">
        <f aca="false">IF(OR(NOT(Tasks[[#This Row],[_IsLeaf]]=1),Tasks[[#This Row],[_Res2]]=""),0,IF(ISNA(MATCH(Tasks[[#This Row],[_Res2]],res_Name,0)),0,N(Tasks[[#This Row],[Duration]])*HoursPerDay*IF(Tasks[[#This Row],[_Res2Units]]="",DefaultUnits,Tasks[[#This Row],[_Res2Units]])))</f>
        <v>0</v>
      </c>
      <c r="CX47" s="45" t="n">
        <f aca="false">IF(Tasks[[#This Row],[_Res2Work]]=0,0,Tasks[[#This Row],[_Res2Work]]*IFERROR(INDEX(res_Rate,MATCH(Tasks[[#This Row],[_Res2]],res_Name,0)),0))</f>
        <v>0</v>
      </c>
      <c r="CY47" s="45" t="n">
        <f aca="false">IF(AND(AND(Tasks[[#This Row],[_IsLeaf]]=1,Tasks[[#This Row],[_LeafTotalWork]]&gt;0),Tasks[[#This Row],[_Res2Work]]&gt;0),Tasks[[#This Row],[_Res2Work]]/(Tasks[[#This Row],[_FinishWorkday]]-Tasks[[#This Row],[_StartWorkday]]+1),0)</f>
        <v>0</v>
      </c>
      <c r="CZ47" s="45" t="n">
        <f aca="false">Tasks[[#This Row],[_Res2WorkPerWD]]*MAX(0,Tasks[[#This Row],[_StartWorkday]]-1)</f>
        <v>0</v>
      </c>
      <c r="DA47" s="45" t="n">
        <f aca="false">Tasks[[#This Row],[_Res2Work]]*Tasks[[#This Row],[_LeafProgress]]</f>
        <v>0</v>
      </c>
      <c r="DB47" s="45" t="n">
        <f aca="false">IF(Tasks[[#This Row],[_LeafTotalCost]]=0,0,Tasks[[#This Row],[_LeafAC]]*Tasks[[#This Row],[_Res2Cost]]/Tasks[[#This Row],[_LeafTotalCost]])</f>
        <v>0</v>
      </c>
      <c r="DC4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4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47" s="45" t="n">
        <f aca="false">IF(OR(NOT(Tasks[[#This Row],[_IsLeaf]]=1),Tasks[[#This Row],[_Res3]]=""),0,IF(ISNA(MATCH(Tasks[[#This Row],[_Res3]],res_Name,0)),0,N(Tasks[[#This Row],[Duration]])*HoursPerDay*IF(Tasks[[#This Row],[_Res3Units]]="",DefaultUnits,Tasks[[#This Row],[_Res3Units]])))</f>
        <v>0</v>
      </c>
      <c r="DF47" s="45" t="n">
        <f aca="false">IF(Tasks[[#This Row],[_Res3Work]]=0,0,Tasks[[#This Row],[_Res3Work]]*IFERROR(INDEX(res_Rate,MATCH(Tasks[[#This Row],[_Res3]],res_Name,0)),0))</f>
        <v>0</v>
      </c>
      <c r="DG47" s="45" t="n">
        <f aca="false">IF(AND(AND(Tasks[[#This Row],[_IsLeaf]]=1,Tasks[[#This Row],[_LeafTotalWork]]&gt;0),Tasks[[#This Row],[_Res3Work]]&gt;0),Tasks[[#This Row],[_Res3Work]]/(Tasks[[#This Row],[_FinishWorkday]]-Tasks[[#This Row],[_StartWorkday]]+1),0)</f>
        <v>0</v>
      </c>
      <c r="DH47" s="45" t="n">
        <f aca="false">Tasks[[#This Row],[_Res3WorkPerWD]]*MAX(0,Tasks[[#This Row],[_StartWorkday]]-1)</f>
        <v>0</v>
      </c>
      <c r="DI47" s="45" t="n">
        <f aca="false">Tasks[[#This Row],[_Res3Work]]*Tasks[[#This Row],[_LeafProgress]]</f>
        <v>0</v>
      </c>
      <c r="DJ47" s="45" t="n">
        <f aca="false">IF(Tasks[[#This Row],[_LeafTotalCost]]=0,0,Tasks[[#This Row],[_LeafAC]]*Tasks[[#This Row],[_Res3Cost]]/Tasks[[#This Row],[_LeafTotalCost]])</f>
        <v>0</v>
      </c>
      <c r="DK4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4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47" s="45" t="n">
        <f aca="false">IF(OR(NOT(Tasks[[#This Row],[_IsLeaf]]=1),Tasks[[#This Row],[_Res4]]=""),0,IF(ISNA(MATCH(Tasks[[#This Row],[_Res4]],res_Name,0)),0,N(Tasks[[#This Row],[Duration]])*HoursPerDay*IF(Tasks[[#This Row],[_Res4Units]]="",DefaultUnits,Tasks[[#This Row],[_Res4Units]])))</f>
        <v>0</v>
      </c>
      <c r="DN47" s="45" t="n">
        <f aca="false">IF(Tasks[[#This Row],[_Res4Work]]=0,0,Tasks[[#This Row],[_Res4Work]]*IFERROR(INDEX(res_Rate,MATCH(Tasks[[#This Row],[_Res4]],res_Name,0)),0))</f>
        <v>0</v>
      </c>
      <c r="DO47" s="45" t="n">
        <f aca="false">IF(AND(AND(Tasks[[#This Row],[_IsLeaf]]=1,Tasks[[#This Row],[_LeafTotalWork]]&gt;0),Tasks[[#This Row],[_Res4Work]]&gt;0),Tasks[[#This Row],[_Res4Work]]/(Tasks[[#This Row],[_FinishWorkday]]-Tasks[[#This Row],[_StartWorkday]]+1),0)</f>
        <v>0</v>
      </c>
      <c r="DP47" s="45" t="n">
        <f aca="false">Tasks[[#This Row],[_Res4WorkPerWD]]*MAX(0,Tasks[[#This Row],[_StartWorkday]]-1)</f>
        <v>0</v>
      </c>
      <c r="DQ47" s="45" t="n">
        <f aca="false">Tasks[[#This Row],[_Res4Work]]*Tasks[[#This Row],[_LeafProgress]]</f>
        <v>0</v>
      </c>
      <c r="DR47" s="45" t="n">
        <f aca="false">IF(Tasks[[#This Row],[_LeafTotalCost]]=0,0,Tasks[[#This Row],[_LeafAC]]*Tasks[[#This Row],[_Res4Cost]]/Tasks[[#This Row],[_LeafTotalCost]])</f>
        <v>0</v>
      </c>
      <c r="DS47" s="45" t="n">
        <f aca="false">IF(ISNUMBER(Tasks[[#This Row],[% Complete]]),Tasks[[#This Row],[% Complete]],IF(Tasks[[#This Row],[Stage]]="",0,IFERROR(INDEX(stg_Pct,MATCH(Tasks[[#This Row],[Stage]],stg_Name,0)),0)))</f>
        <v>0</v>
      </c>
      <c r="DT47" s="45" t="n">
        <f aca="false">IF(NOT(Tasks[[#This Row],[_IsLeaf]]=1),0,IF(N(Tasks[[#This Row],[Actual Finish]])&gt;0,1,MIN(1,Tasks[[#This Row],[_Pct]])))</f>
        <v>0</v>
      </c>
      <c r="DU47" s="45" t="n">
        <f aca="false">IF(OR(NOT(Tasks[[#This Row],[_IsLeaf]]=1),Tasks[[#This Row],[_Resource1]]=""),0,IF(ISNA(MATCH(Tasks[[#This Row],[_Resource1]],res_Name,0)),0,N(Tasks[[#This Row],[Duration]])*HoursPerDay*IF(Tasks[[#This Row],[_Units1]]="",DefaultUnits,Tasks[[#This Row],[_Units1]])))</f>
        <v>0</v>
      </c>
      <c r="DV47" s="45" t="n">
        <f aca="false">IF(Tasks[[#This Row],[_LeafWork]]=0,0,Tasks[[#This Row],[_LeafWork]]*IFERROR(INDEX(res_Rate,MATCH(Tasks[[#This Row],[_Resource1]],res_Name,0)),0))</f>
        <v>0</v>
      </c>
      <c r="DW47" s="45" t="n">
        <f aca="false">Tasks[[#This Row],[_LeafWork]]+Tasks[[#This Row],[_Res2Work]]+Tasks[[#This Row],[_Res3Work]]+Tasks[[#This Row],[_Res4Work]]</f>
        <v>0</v>
      </c>
      <c r="DX47" s="45" t="n">
        <f aca="false">Tasks[[#This Row],[_LeafCost]]+Tasks[[#This Row],[_Res2Cost]]+Tasks[[#This Row],[_Res3Cost]]+Tasks[[#This Row],[_Res4Cost]]</f>
        <v>0</v>
      </c>
      <c r="DY47" s="45" t="n">
        <f aca="false">IF(Tasks[[#This Row],[_LeafTotalCost]]=0,Tasks[[#This Row],[_LeafAC]],Tasks[[#This Row],[_LeafAC]]*Tasks[[#This Row],[_LeafCost]]/Tasks[[#This Row],[_LeafTotalCost]])</f>
        <v>0</v>
      </c>
      <c r="DZ4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4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4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4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4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4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4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4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47" s="45" t="n">
        <f aca="false">IF(NOT(Tasks[[#This Row],[_IsLeaf]]=1),0,MAX(_xlfn.MAXIFS(Tasks[_Row],Tasks[_Pred1UID],Tasks[[#This Row],[UID]]),_xlfn.MAXIFS(Tasks[_Row],Tasks[_Pred2UID],Tasks[[#This Row],[UID]]),_xlfn.MAXIFS(Tasks[_Row],Tasks[_Pred3UID],Tasks[[#This Row],[UID]]),_xlfn.MAXIFS(Tasks[_Row],Tasks[_Pred4UID],Tasks[[#This Row],[UID]])))</f>
        <v>0</v>
      </c>
      <c r="EI4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4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47" s="74" t="str">
        <f aca="false">IF(NOT(Tasks[[#This Row],[_IsLeaf]]=1),"",IF(N(Tasks[[#This Row],[Duration]])&lt;=0,Tasks[[#This Row],[_LeafLateFinish]],WORKDAY.INTL(Tasks[[#This Row],[_LeafLateFinish]],-(Tasks[[#This Row],[Duration]]-1),WorkWeek,Holidays)))</f>
        <v/>
      </c>
      <c r="EL4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47" s="73" t="b">
        <f aca="false">AND(Tasks[[#This Row],[_IsLeaf]]=1,Tasks[[#This Row],[_LeafProgress]]&lt;1,N(Tasks[[#This Row],[_LeafTotalSlack]])&lt;=CriticalSlackDays)</f>
        <v>0</v>
      </c>
      <c r="EN47" s="45" t="n">
        <f aca="false">IF(AND(Tasks[[#This Row],[_IsLeaf]]=1,Tasks[[#This Row],[_ConstraintCode]]=1,Tasks[[#This Row],[Mode]]&lt;&gt;"Manual",N(Tasks[[#This Row],[Actual Start]])=0),MAX(0,N(Tasks[[#This Row],[Free Slack]])),0)</f>
        <v>0</v>
      </c>
      <c r="EO47" s="74" t="str">
        <f aca="false">IF(NOT(Tasks[[#This Row],[_IsLeaf]]=1),"",IF(Tasks[[#This Row],[_AlapShift]]=0,Tasks[[#This Row],[_LeafCalcStart]],WORKDAY.INTL(Tasks[[#This Row],[_LeafCalcStart]],Tasks[[#This Row],[_AlapShift]],WorkWeek,Holidays)))</f>
        <v/>
      </c>
      <c r="EP47" s="74" t="str">
        <f aca="false">IF(NOT(Tasks[[#This Row],[_IsLeaf]]=1),"",IF(Tasks[[#This Row],[_AlapShift]]=0,Tasks[[#This Row],[_LeafCalcFinish]],WORKDAY.INTL(Tasks[[#This Row],[_LeafCalcFinish]],Tasks[[#This Row],[_AlapShift]],WorkWeek,Holidays)))</f>
        <v/>
      </c>
      <c r="EQ47" s="74" t="str">
        <f aca="false">IF(NOT(Tasks[[#This Row],[_IsLeaf]]=1),"",IF(Tasks[[#This Row],[_AlapShift]]=0,Tasks[[#This Row],[_LeafFcstStart]],WORKDAY.INTL(Tasks[[#This Row],[_LeafFcstStart]],Tasks[[#This Row],[_AlapShift]],WorkWeek,Holidays)))</f>
        <v/>
      </c>
      <c r="ER47" s="74" t="str">
        <f aca="false">IF(NOT(Tasks[[#This Row],[_IsLeaf]]=1),"",IF(Tasks[[#This Row],[_AlapShift]]=0,Tasks[[#This Row],[_LeafFcstFinish]],WORKDAY.INTL(Tasks[[#This Row],[_LeafFcstFinish]],Tasks[[#This Row],[_AlapShift]],WorkWeek,Holidays)))</f>
        <v/>
      </c>
      <c r="ES47" s="74" t="str">
        <f aca="false">IF(Tasks[[#This Row],[Task Name]]="","",IF(Tasks[[#This Row],[_IsSummary]],MIN(INDEX(Tasks[_ShownCalcStart],Tasks[[#This Row],[_Row]]+1):INDEX(Tasks[_ShownCalcStart],Tasks[[#This Row],[_Row]]+Tasks[[#This Row],[_Descendants]])),Tasks[[#This Row],[_ShownCalcStart]]))</f>
        <v/>
      </c>
      <c r="ET47" s="74" t="str">
        <f aca="false">IF(Tasks[[#This Row],[Task Name]]="","",IF(Tasks[[#This Row],[_IsSummary]],MAX(INDEX(Tasks[_ShownCalcFinish],Tasks[[#This Row],[_Row]]+1):INDEX(Tasks[_ShownCalcFinish],Tasks[[#This Row],[_Row]]+Tasks[[#This Row],[_Descendants]])),Tasks[[#This Row],[_ShownCalcFinish]]))</f>
        <v/>
      </c>
      <c r="EU4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4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4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4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4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4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4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4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4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4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4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4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47" s="45" t="n">
        <f aca="false">IF(AND(Tasks[[#This Row],[_IsLeaf]]=1,Tasks[[#This Row],[_LeafTotalWork]]&gt;0),NETWORKDAYS.INTL(ProjectStart,Tasks[[#This Row],[_ShownFcstStart]],WorkWeek,Holidays),0)</f>
        <v>0</v>
      </c>
      <c r="FH47" s="45" t="n">
        <f aca="false">IF(AND(Tasks[[#This Row],[_IsLeaf]]=1,Tasks[[#This Row],[_LeafTotalWork]]&gt;0),MAX(Tasks[[#This Row],[_StartWorkday]],NETWORKDAYS.INTL(ProjectStart,Tasks[[#This Row],[_ShownFcstFinish]],WorkWeek,Holidays)),0)</f>
        <v>0</v>
      </c>
      <c r="FI47" s="45" t="n">
        <f aca="false">IF(AND(Tasks[[#This Row],[_IsLeaf]]=1,Tasks[[#This Row],[_LeafTotalWork]]&gt;0),Tasks[[#This Row],[_LeafWork]]/(Tasks[[#This Row],[_FinishWorkday]]-Tasks[[#This Row],[_StartWorkday]]+1),0)</f>
        <v>0</v>
      </c>
      <c r="FJ47" s="45" t="n">
        <f aca="false">Tasks[[#This Row],[_WorkPerWorkday]]*(Tasks[[#This Row],[_StartWorkday]]-1)</f>
        <v>-0</v>
      </c>
      <c r="FK47" s="45" t="n">
        <f aca="false">IF(Tasks[[#This Row],[_IsLeaf]]=1,MAX(N(Tasks[[#This Row],[Duration]]),0.1),0)</f>
        <v>0</v>
      </c>
      <c r="FL47" s="45" t="n">
        <f aca="false">Tasks[[#This Row],[_WeightDur]]*Tasks[[#This Row],[_LeafProgress]]</f>
        <v>0</v>
      </c>
      <c r="FM4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47" s="45" t="str">
        <f aca="false">IF(AND(Tasks[[#This Row],[_IsLeaf]]=1,N(Tasks[[#This Row],[Duration]])=0,Tasks[[#This Row],[_LeafProgress]]&lt;1),Tasks[[#This Row],[_ShownFcstFinish]]+Tasks[[#This Row],[_Row]]/100000,"")</f>
        <v/>
      </c>
      <c r="FO4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47" s="45" t="n">
        <f aca="false">IF(NOT(Tasks[[#This Row],[_IsLeaf]]=1),0,IF(Tasks[[#This Row],[Baseline Cost]]="",Tasks[[#This Row],[_LeafTotalCost]],N(Tasks[[#This Row],[Baseline Cost]])))</f>
        <v>0</v>
      </c>
      <c r="FQ47" s="45" t="n">
        <f aca="false">Tasks[[#This Row],[_LeafBudget]]*Tasks[[#This Row],[_PlannedPct]]</f>
        <v>0</v>
      </c>
      <c r="FR47" s="45" t="n">
        <f aca="false">Tasks[[#This Row],[_LeafBudget]]*Tasks[[#This Row],[_LeafProgress]]</f>
        <v>0</v>
      </c>
      <c r="FS47" s="45" t="n">
        <f aca="false">IF(NOT(Tasks[[#This Row],[_IsLeaf]]=1),0,IF(Tasks[[#This Row],[Actual Cost]]="",Tasks[[#This Row],[_LeafTotalCost]]*Tasks[[#This Row],[_LeafProgress]],N(Tasks[[#This Row],[Actual Cost]])))</f>
        <v>0</v>
      </c>
      <c r="FT47" s="45" t="str">
        <f aca="false">IF(Tasks[[#This Row],[Task Name]]="","",LEFT(Tasks[[#This Row],[WBS]],FIND(".",Tasks[[#This Row],[WBS]]&amp;".")-1))</f>
        <v/>
      </c>
      <c r="FU47" s="45" t="str">
        <f aca="false">IF(AND(Tasks[[#This Row],[Task Name]]&lt;&gt;"",Tasks[[#This Row],[_Level]]=1),Tasks[[#This Row],[_Row]],"")</f>
        <v/>
      </c>
      <c r="FV47" s="45" t="str">
        <f aca="false">IF(AND(Tasks[[#This Row],[_IsLeaf]]=1,N(Tasks[[#This Row],[Duration]])=0),Tasks[[#This Row],[Planned Finish]]+Tasks[[#This Row],[_Row]]/100000,"")</f>
        <v/>
      </c>
      <c r="FW47" s="45" t="str">
        <f aca="false">IF(AND(Tasks[[#This Row],[_IsLeaf]]=1,Tasks[[#This Row],[_LeafProgress]]&lt;1,OR(N(Tasks[[#This Row],[Finish Var]])&gt;0,Tasks[[#This Row],[Status]]="Late Start")),MAX(0,Tasks[[#This Row],[Finish Var]])+1-Tasks[[#This Row],[_Row]]/1000000,"")</f>
        <v/>
      </c>
      <c r="FX47" s="45" t="str">
        <f aca="false">IF(AND(Tasks[[#This Row],[_IsLeaf]]=1,N(Tasks[[#This Row],[Actual Start]])=0,Tasks[[#This Row],[_ShownFcstStart]]&gt;=StatusDate,Tasks[[#This Row],[_ShownFcstStart]]&lt;=LookaheadEnd),Tasks[[#This Row],[_ShownFcstStart]]+Tasks[[#This Row],[_Row]]/100000,"")</f>
        <v/>
      </c>
      <c r="FY47" s="45" t="str">
        <f aca="false">IF(AND(Tasks[[#This Row],[_IsLeaf]]=1,Tasks[[#This Row],[_LeafProgress]]&lt;1,Tasks[[#This Row],[_ShownFcstFinish]]&gt;=StatusDate,Tasks[[#This Row],[_ShownFcstFinish]]&lt;=LookaheadEnd),Tasks[[#This Row],[_ShownFcstFinish]]+Tasks[[#This Row],[_Row]]/100000,"")</f>
        <v/>
      </c>
      <c r="FZ47" s="45" t="str">
        <f aca="false">IF(Tasks[[#This Row],[_LeafCritical]],Tasks[[#This Row],[_ShownFcstStart]]+Tasks[[#This Row],[_Row]]/100000,"")</f>
        <v/>
      </c>
      <c r="GA47" s="45" t="n">
        <f aca="false">Tasks[[#This Row],[_LeafWork]]*Tasks[[#This Row],[_LeafProgress]]</f>
        <v>0</v>
      </c>
      <c r="GB47" s="74" t="str">
        <f aca="false">IF(AND(Tasks[[#This Row],[_IsLeaf]]=1,Tasks[[#This Row],[_LeafProgress]]&gt;=1),IF(N(Tasks[[#This Row],[Actual Finish]])&gt;0,Tasks[[#This Row],[Actual Finish]],Tasks[[#This Row],[_ShownFcstFinish]]),"")</f>
        <v/>
      </c>
    </row>
    <row r="48" customFormat="false" ht="15" hidden="false" customHeight="false" outlineLevel="0" collapsed="false">
      <c r="A48" s="67" t="str">
        <f aca="false">IF(Tasks[[#This Row],[Task Name]]="","",COUNTA(Tasks[[#Headers],[Task Name]]:Tasks[[#This Row],[Task Name]])-1)</f>
        <v/>
      </c>
      <c r="B48" s="21" t="n">
        <v>43</v>
      </c>
      <c r="C4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21"/>
      <c r="E48" s="22"/>
      <c r="F48" s="21"/>
      <c r="G48" s="22"/>
      <c r="H48" s="22"/>
      <c r="I48" s="22"/>
      <c r="J48" s="7"/>
      <c r="K48" s="7"/>
      <c r="L48" s="22"/>
      <c r="M48" s="58" t="str">
        <f aca="false">IF(Tasks[[#This Row],[Task Name]]="","",IF(Tasks[[#This Row],[_IsSummary]],MIN(INDEX(Tasks[_ShownFcstStart],Tasks[[#This Row],[_Row]]+1):INDEX(Tasks[_ShownFcstStart],Tasks[[#This Row],[_Row]]+Tasks[[#This Row],[_Descendants]])),Tasks[[#This Row],[_ShownFcstStart]]))</f>
        <v/>
      </c>
      <c r="N48" s="58" t="str">
        <f aca="false">IF(Tasks[[#This Row],[Task Name]]="","",IF(Tasks[[#This Row],[_IsSummary]],MAX(INDEX(Tasks[_ShownFcstFinish],Tasks[[#This Row],[_Row]]+1):INDEX(Tasks[_ShownFcstFinish],Tasks[[#This Row],[_Row]]+Tasks[[#This Row],[_Descendants]])),Tasks[[#This Row],[_ShownFcstFinish]]))</f>
        <v/>
      </c>
      <c r="O48" s="20" t="str">
        <f aca="false">IF(Tasks[[#This Row],[Task Name]]="","",IF(Tasks[[#This Row],[Progress]]&gt;=1,"Complete",IF(OR(N(Tasks[[#This Row],[Actual Start]])&gt;0,Tasks[[#This Row],[Progress]]&gt;0),IF(Tasks[[#This Row],[Finish Var]]&gt;0,"Behind","In Progress"),IF(Tasks[[#This Row],[Planned Start]]&lt;StatusDate,"Late Start","Not Started"))))</f>
        <v/>
      </c>
      <c r="P48" s="20" t="str">
        <f aca="false">IF(Tasks[[#This Row],[Task Name]]="","",IF(IF(Tasks[[#This Row],[_IsSummary]],COUNTIF(INDEX(Tasks[_LeafCritical],Tasks[[#This Row],[_Row]]+1):INDEX(Tasks[_LeafCritical],Tasks[[#This Row],[_Row]]+Tasks[[#This Row],[_Descendants]]),TRUE())&gt;0,Tasks[[#This Row],[_LeafCritical]]),"Yes",""))</f>
        <v/>
      </c>
      <c r="Q4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48" s="67" t="str">
        <f aca="false">IF(Tasks[[#This Row],[Task Name]]="","",IF(Tasks[[#This Row],[_Level]]&lt;=OutlineShowLevel,"Yes","No"))</f>
        <v/>
      </c>
      <c r="S48" s="7"/>
      <c r="T48" s="21"/>
      <c r="U48" s="22"/>
      <c r="V48" s="7"/>
      <c r="W48" s="67" t="str">
        <f aca="false">IF(Tasks[[#This Row],[Task Name]]="","",IF(Tasks[[#This Row],[Finish]]&gt;=Tasks[[#This Row],[Planned Finish]],NETWORKDAYS.INTL(Tasks[[#This Row],[Planned Finish]],Tasks[[#This Row],[Finish]],WorkWeek,Holidays)-1,1-NETWORKDAYS.INTL(Tasks[[#This Row],[Finish]],Tasks[[#This Row],[Planned Finish]],WorkWeek,Holidays)))</f>
        <v/>
      </c>
      <c r="X48" s="58" t="str">
        <f aca="false">IF(Tasks[[#This Row],[Task Name]]="","",IF(N(Tasks[[#This Row],[Baseline Start]])&gt;0,Tasks[[#This Row],[Baseline Start]],Tasks[[#This Row],[_CalcStart]]))</f>
        <v/>
      </c>
      <c r="Y48" s="58" t="str">
        <f aca="false">IF(Tasks[[#This Row],[Task Name]]="","",IF(N(Tasks[[#This Row],[Baseline Finish]])&gt;0,Tasks[[#This Row],[Baseline Finish]],Tasks[[#This Row],[_CalcFinish]]))</f>
        <v/>
      </c>
      <c r="Z48" s="67" t="str">
        <f aca="false">IF(Tasks[[#This Row],[Task Name]]="","",IF(Tasks[[#This Row],[Start]]&gt;=Tasks[[#This Row],[Planned Start]],NETWORKDAYS.INTL(Tasks[[#This Row],[Planned Start]],Tasks[[#This Row],[Start]],WorkWeek,Holidays)-1,1-NETWORKDAYS.INTL(Tasks[[#This Row],[Start]],Tasks[[#This Row],[Planned Start]],WorkWeek,Holidays)))</f>
        <v/>
      </c>
      <c r="AA48" s="58" t="str">
        <f aca="false">IF(Tasks[[#This Row],[Task Name]]="","",IF(Tasks[[#This Row],[_IsSummary]],MIN(INDEX(Tasks[_LeafLateStart],Tasks[[#This Row],[_Row]]+1):INDEX(Tasks[_LeafLateStart],Tasks[[#This Row],[_Row]]+Tasks[[#This Row],[_Descendants]])),Tasks[[#This Row],[_LeafLateStart]]))</f>
        <v/>
      </c>
      <c r="AB48" s="58" t="str">
        <f aca="false">IF(Tasks[[#This Row],[Task Name]]="","",IF(Tasks[[#This Row],[_IsSummary]],MAX(INDEX(Tasks[_LeafLateFinish],Tasks[[#This Row],[_Row]]+1):INDEX(Tasks[_LeafLateFinish],Tasks[[#This Row],[_Row]]+Tasks[[#This Row],[_Descendants]])),Tasks[[#This Row],[_LeafLateFinish]]))</f>
        <v/>
      </c>
      <c r="AC48" s="67" t="str">
        <f aca="false">IF(Tasks[[#This Row],[Task Name]]="","",IF(Tasks[[#This Row],[_IsSummary]],MIN(INDEX(Tasks[_LeafTotalSlack],Tasks[[#This Row],[_Row]]+1):INDEX(Tasks[_LeafTotalSlack],Tasks[[#This Row],[_Row]]+Tasks[[#This Row],[_Descendants]])),Tasks[[#This Row],[_LeafTotalSlack]]))</f>
        <v/>
      </c>
      <c r="AD4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4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4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48" s="60"/>
      <c r="AH4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4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48" s="69" t="str">
        <f aca="false">IF(Tasks[[#This Row],[Task Name]]="","",IF(Tasks[[#This Row],[_IsSummary]],SUM(INDEX(Tasks[_LeafTotalWork],Tasks[[#This Row],[_Row]]+1):INDEX(Tasks[_LeafTotalWork],Tasks[[#This Row],[_Row]]+Tasks[[#This Row],[_Descendants]])),Tasks[[#This Row],[_LeafTotalWork]]))</f>
        <v/>
      </c>
      <c r="AK4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48" s="70" t="str">
        <f aca="false">IF(Tasks[[#This Row],[Task Name]]="","",IF(Tasks[[#This Row],[_IsSummary]],SUM(INDEX(Tasks[_LeafTotalCost],Tasks[[#This Row],[_Row]]+1):INDEX(Tasks[_LeafTotalCost],Tasks[[#This Row],[_Row]]+Tasks[[#This Row],[_Descendants]])),Tasks[[#This Row],[_LeafTotalCost]]))</f>
        <v/>
      </c>
      <c r="AM48" s="71"/>
      <c r="AN48" s="20" t="str">
        <f aca="false">IF(OR(Tasks[[#This Row],[Task Name]]="",Tasks[[#This Row],[Baseline Duration]]=""),"",Tasks[[#This Row],[BL Source Duration]]-N(Tasks[[#This Row],[Baseline Duration]]))</f>
        <v/>
      </c>
      <c r="AO48" s="69" t="str">
        <f aca="false">IF(OR(Tasks[[#This Row],[Task Name]]="",Tasks[[#This Row],[Baseline Work]]=""),"",Tasks[[#This Row],[Work]]-N(Tasks[[#This Row],[Baseline Work]]))</f>
        <v/>
      </c>
      <c r="AP48" s="70" t="str">
        <f aca="false">IF(OR(Tasks[[#This Row],[Task Name]]="",Tasks[[#This Row],[Baseline Cost]]=""),"",Tasks[[#This Row],[Cost]]-N(Tasks[[#This Row],[Baseline Cost]]))</f>
        <v/>
      </c>
      <c r="AQ48" s="58" t="str">
        <f aca="false">IF(Tasks[[#This Row],[Task Name]]="","",Tasks[[#This Row],[Start]])</f>
        <v/>
      </c>
      <c r="AR48" s="58" t="str">
        <f aca="false">IF(Tasks[[#This Row],[Task Name]]="","",Tasks[[#This Row],[Finish]])</f>
        <v/>
      </c>
      <c r="AS48" s="67" t="str">
        <f aca="false">IF(Tasks[[#This Row],[Task Name]]="","",IF(Tasks[[#This Row],[_IsSummary]],NETWORKDAYS.INTL(Tasks[[#This Row],[Start]],Tasks[[#This Row],[Finish]],WorkWeek,Holidays),N(Tasks[[#This Row],[Duration]])))</f>
        <v/>
      </c>
      <c r="AT48" s="69" t="str">
        <f aca="false">IF(Tasks[[#This Row],[Task Name]]="","",Tasks[[#This Row],[Work]])</f>
        <v/>
      </c>
      <c r="AU48" s="70" t="str">
        <f aca="false">IF(Tasks[[#This Row],[Task Name]]="","",Tasks[[#This Row],[Cost]])</f>
        <v/>
      </c>
      <c r="AV48" s="7"/>
      <c r="AW48" s="7"/>
      <c r="AX48" s="21"/>
      <c r="AY48" s="72"/>
      <c r="AZ48" s="71"/>
      <c r="BA48" s="70" t="str">
        <f aca="false">IF(Tasks[[#This Row],[Task Name]]="","",IF(Tasks[[#This Row],[_IsSummary]],SUM(INDEX(Tasks[_LeafEV],Tasks[[#This Row],[_Row]]+1):INDEX(Tasks[_LeafEV],Tasks[[#This Row],[_Row]]+Tasks[[#This Row],[_Descendants]])),Tasks[[#This Row],[_LeafEV]]))</f>
        <v/>
      </c>
      <c r="BB48" s="70" t="str">
        <f aca="false">IF(Tasks[[#This Row],[Task Name]]="","",IF(Tasks[[#This Row],[_IsSummary]],SUM(INDEX(Tasks[_LeafBudget],Tasks[[#This Row],[_Row]]+1):INDEX(Tasks[_LeafBudget],Tasks[[#This Row],[_Row]]+Tasks[[#This Row],[_Descendants]])),Tasks[[#This Row],[_LeafBudget]]))</f>
        <v/>
      </c>
      <c r="BC48" s="70" t="str">
        <f aca="false">IF(Tasks[[#This Row],[Task Name]]="","",IF(Tasks[[#This Row],[_IsSummary]],SUM(INDEX(Tasks[_LeafPV],Tasks[[#This Row],[_Row]]+1):INDEX(Tasks[_LeafPV],Tasks[[#This Row],[_Row]]+Tasks[[#This Row],[_Descendants]])),Tasks[[#This Row],[_LeafPV]]))</f>
        <v/>
      </c>
      <c r="BD48" s="70" t="str">
        <f aca="false">IF(Tasks[[#This Row],[Task Name]]="","",IF(Tasks[[#This Row],[_IsSummary]],SUM(INDEX(Tasks[_LeafAC],Tasks[[#This Row],[_Row]]+1):INDEX(Tasks[_LeafAC],Tasks[[#This Row],[_Row]]+Tasks[[#This Row],[_Descendants]])),Tasks[[#This Row],[_LeafAC]]))</f>
        <v/>
      </c>
      <c r="BE48" s="45" t="str">
        <f aca="false">IF(Tasks[[#This Row],[Task Name]]="","",MAX(1,N(Tasks[[#This Row],[Level]])))</f>
        <v/>
      </c>
      <c r="BF48" s="45" t="n">
        <f aca="false">ROW()-ROW(Tasks[[#Headers],[ID]])</f>
        <v>43</v>
      </c>
      <c r="BG48" s="45" t="n">
        <f aca="false">IF(OR(Tasks[[#This Row],[Task Name]]="",Tasks[[#This Row],[_Level]]&lt;=1),0,IFERROR(LOOKUP(2,1/(Tasks[[#Headers],[_Level]]:Tasks[[#This Row],[_Level]]=Tasks[[#This Row],[_Level]]-1),ROW(Tasks[[#Headers],[_Level]]:Tasks[[#This Row],[_Level]])),0))</f>
        <v>0</v>
      </c>
      <c r="BH48" s="45" t="n">
        <f aca="false">IFERROR(N(INDEX(Tasks[_Level],Tasks[[#This Row],[_Row]]+1)),0)</f>
        <v>0</v>
      </c>
      <c r="BI48" s="73" t="b">
        <f aca="false">AND(Tasks[[#This Row],[Task Name]]&lt;&gt;"",Tasks[[#This Row],[_NextLevel]]&gt;Tasks[[#This Row],[_Level]])</f>
        <v>0</v>
      </c>
      <c r="BJ48" s="45" t="n">
        <f aca="false">IF(Tasks[[#This Row],[_IsSummary]],COUNTIF(Tasks[WBS],Tasks[[#This Row],[WBS]]&amp;".*"),0)</f>
        <v>0</v>
      </c>
      <c r="BK48" s="45" t="n">
        <f aca="false">IF(AND(Tasks[[#This Row],[Task Name]]&lt;&gt;"",NOT(Tasks[[#This Row],[_IsSummary]])),1,0)</f>
        <v>0</v>
      </c>
      <c r="BL48" s="45" t="n">
        <f aca="false">IF(N(Tasks[[#This Row],[_Pred1UID]])=0,0,IFERROR(MATCH(Tasks[[#This Row],[_Pred1UID]],Tasks[UID],0),-1))</f>
        <v>0</v>
      </c>
      <c r="BM48" s="45" t="n">
        <f aca="false">IF(N(Tasks[[#This Row],[_Pred2UID]])=0,0,IFERROR(MATCH(Tasks[[#This Row],[_Pred2UID]],Tasks[UID],0),-1))</f>
        <v>0</v>
      </c>
      <c r="BN48" s="45" t="n">
        <f aca="false">IF(N(Tasks[[#This Row],[_Pred3UID]])=0,0,IFERROR(MATCH(Tasks[[#This Row],[_Pred3UID]],Tasks[UID],0),-1))</f>
        <v>0</v>
      </c>
      <c r="BO48" s="45" t="n">
        <f aca="false">IF(N(Tasks[[#This Row],[_Pred4UID]])=0,0,IFERROR(MATCH(Tasks[[#This Row],[_Pred4UID]],Tasks[UID],0),-1))</f>
        <v>0</v>
      </c>
      <c r="BP4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4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48" s="74" t="n">
        <f aca="false">IF(OR(Tasks[[#This Row],[_ConstraintCode]]=2,Tasks[[#This Row],[_ConstraintCode]]=3,Tasks[[#This Row],[_ConstraintCode]]=4,Tasks[[#This Row],[_ConstraintCode]]=6),Tasks[[#This Row],[_ConstraintStart]],0)</f>
        <v>0</v>
      </c>
      <c r="BS48" s="74" t="n">
        <f aca="false">IF(OR(Tasks[[#This Row],[_ConstraintCode]]=2,Tasks[[#This Row],[_ConstraintCode]]=3,Tasks[[#This Row],[_ConstraintCode]]=5,Tasks[[#This Row],[_ConstraintCode]]=7),Tasks[[#This Row],[_ConstraintStart]],2958465)</f>
        <v>2958465</v>
      </c>
      <c r="BT4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48" s="74" t="str">
        <f aca="false">IF(NOT(Tasks[[#This Row],[_IsLeaf]]=1),"",IF(N(Tasks[[#This Row],[Duration]])&lt;=0,Tasks[[#This Row],[_LeafCalcStart]],WORKDAY.INTL(Tasks[[#This Row],[_LeafCalcStart]],Tasks[[#This Row],[Duration]]-1,WorkWeek,Holidays)))</f>
        <v/>
      </c>
      <c r="BV4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4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48" s="45" t="str">
        <f aca="false">IF(Tasks[[#This Row],[Predecessors]]="","",TRIM(MID(SUBSTITUTE(SUBSTITUTE(SUBSTITUTE(UPPER(Tasks[[#This Row],[Predecessors]]),";",",")," ",""),",",REPT(" ",99)),1,99)))</f>
        <v/>
      </c>
      <c r="BY48" s="45" t="str">
        <f aca="false">IF(Tasks[[#This Row],[_Pred1Text]]="","",IFERROR(VALUE(LEFT(Tasks[[#This Row],[_Pred1Text]],MIN(FIND("F",Tasks[[#This Row],[_Pred1Text]]&amp;"F"),FIND("S",Tasks[[#This Row],[_Pred1Text]]&amp;"S"),FIND("+",Tasks[[#This Row],[_Pred1Text]]&amp;"+"),FIND("-",Tasks[[#This Row],[_Pred1Text]]&amp;"-"))-1)),""))</f>
        <v/>
      </c>
      <c r="BZ4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4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48" s="45" t="str">
        <f aca="false">IF(Tasks[[#This Row],[_Pred1Text]]="","",TRIM(MID(SUBSTITUTE(SUBSTITUTE(SUBSTITUTE(UPPER(Tasks[[#This Row],[Predecessors]]),";",",")," ",""),",",REPT(" ",99)),100,99)))</f>
        <v/>
      </c>
      <c r="CC48" s="45" t="str">
        <f aca="false">IF(Tasks[[#This Row],[_Pred2Text]]="","",IFERROR(VALUE(LEFT(Tasks[[#This Row],[_Pred2Text]],MIN(FIND("F",Tasks[[#This Row],[_Pred2Text]]&amp;"F"),FIND("S",Tasks[[#This Row],[_Pred2Text]]&amp;"S"),FIND("+",Tasks[[#This Row],[_Pred2Text]]&amp;"+"),FIND("-",Tasks[[#This Row],[_Pred2Text]]&amp;"-"))-1)),""))</f>
        <v/>
      </c>
      <c r="CD4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4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48" s="45" t="str">
        <f aca="false">IF(Tasks[[#This Row],[_Pred2Text]]="","",TRIM(MID(SUBSTITUTE(SUBSTITUTE(SUBSTITUTE(UPPER(Tasks[[#This Row],[Predecessors]]),";",",")," ",""),",",REPT(" ",99)),199,99)))</f>
        <v/>
      </c>
      <c r="CG48" s="45" t="str">
        <f aca="false">IF(Tasks[[#This Row],[_Pred3Text]]="","",IFERROR(VALUE(LEFT(Tasks[[#This Row],[_Pred3Text]],MIN(FIND("F",Tasks[[#This Row],[_Pred3Text]]&amp;"F"),FIND("S",Tasks[[#This Row],[_Pred3Text]]&amp;"S"),FIND("+",Tasks[[#This Row],[_Pred3Text]]&amp;"+"),FIND("-",Tasks[[#This Row],[_Pred3Text]]&amp;"-"))-1)),""))</f>
        <v/>
      </c>
      <c r="CH4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4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48" s="45" t="str">
        <f aca="false">IF(Tasks[[#This Row],[_Pred3Text]]="","",TRIM(MID(SUBSTITUTE(SUBSTITUTE(SUBSTITUTE(UPPER(Tasks[[#This Row],[Predecessors]]),";",",")," ",""),",",REPT(" ",99)),298,99)))</f>
        <v/>
      </c>
      <c r="CK48" s="45" t="str">
        <f aca="false">IF(Tasks[[#This Row],[_Pred4Text]]="","",IFERROR(VALUE(LEFT(Tasks[[#This Row],[_Pred4Text]],MIN(FIND("F",Tasks[[#This Row],[_Pred4Text]]&amp;"F"),FIND("S",Tasks[[#This Row],[_Pred4Text]]&amp;"S"),FIND("+",Tasks[[#This Row],[_Pred4Text]]&amp;"+"),FIND("-",Tasks[[#This Row],[_Pred4Text]]&amp;"-"))-1)),""))</f>
        <v/>
      </c>
      <c r="CL4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4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48" s="45" t="str">
        <f aca="false">IF(OR(Tasks[[#This Row],[Task Name]]="",Tasks[[#This Row],[Resources]]=""),"",TRIM(MID(SUBSTITUTE(Tasks[[#This Row],[Resources]],",",REPT(" ",99)),1,99)))</f>
        <v/>
      </c>
      <c r="CO48" s="45" t="str">
        <f aca="false">IF(Tasks[[#This Row],[_Res1Text]]="","",TRIM(MID(SUBSTITUTE(Tasks[[#This Row],[Resources]],",",REPT(" ",99)),100,99)))</f>
        <v/>
      </c>
      <c r="CP48" s="45" t="str">
        <f aca="false">IF(Tasks[[#This Row],[_Res2Text]]="","",TRIM(MID(SUBSTITUTE(Tasks[[#This Row],[Resources]],",",REPT(" ",99)),199,99)))</f>
        <v/>
      </c>
      <c r="CQ48" s="45" t="str">
        <f aca="false">IF(Tasks[[#This Row],[_Res3Text]]="","",TRIM(MID(SUBSTITUTE(Tasks[[#This Row],[Resources]],",",REPT(" ",99)),298,99)))</f>
        <v/>
      </c>
      <c r="CR4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4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8" s="45" t="n">
        <f aca="false">IF(NOT(Tasks[[#This Row],[_IsLeaf]]=1),0,(Tasks[[#This Row],[_Resource1]]&lt;&gt;"")+(Tasks[[#This Row],[_Res2]]&lt;&gt;"")+(Tasks[[#This Row],[_Res3]]&lt;&gt;"")+(Tasks[[#This Row],[_Res4]]&lt;&gt;""))</f>
        <v>0</v>
      </c>
      <c r="CU4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4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8" s="45" t="n">
        <f aca="false">IF(OR(NOT(Tasks[[#This Row],[_IsLeaf]]=1),Tasks[[#This Row],[_Res2]]=""),0,IF(ISNA(MATCH(Tasks[[#This Row],[_Res2]],res_Name,0)),0,N(Tasks[[#This Row],[Duration]])*HoursPerDay*IF(Tasks[[#This Row],[_Res2Units]]="",DefaultUnits,Tasks[[#This Row],[_Res2Units]])))</f>
        <v>0</v>
      </c>
      <c r="CX48" s="45" t="n">
        <f aca="false">IF(Tasks[[#This Row],[_Res2Work]]=0,0,Tasks[[#This Row],[_Res2Work]]*IFERROR(INDEX(res_Rate,MATCH(Tasks[[#This Row],[_Res2]],res_Name,0)),0))</f>
        <v>0</v>
      </c>
      <c r="CY48" s="45" t="n">
        <f aca="false">IF(AND(AND(Tasks[[#This Row],[_IsLeaf]]=1,Tasks[[#This Row],[_LeafTotalWork]]&gt;0),Tasks[[#This Row],[_Res2Work]]&gt;0),Tasks[[#This Row],[_Res2Work]]/(Tasks[[#This Row],[_FinishWorkday]]-Tasks[[#This Row],[_StartWorkday]]+1),0)</f>
        <v>0</v>
      </c>
      <c r="CZ48" s="45" t="n">
        <f aca="false">Tasks[[#This Row],[_Res2WorkPerWD]]*MAX(0,Tasks[[#This Row],[_StartWorkday]]-1)</f>
        <v>0</v>
      </c>
      <c r="DA48" s="45" t="n">
        <f aca="false">Tasks[[#This Row],[_Res2Work]]*Tasks[[#This Row],[_LeafProgress]]</f>
        <v>0</v>
      </c>
      <c r="DB48" s="45" t="n">
        <f aca="false">IF(Tasks[[#This Row],[_LeafTotalCost]]=0,0,Tasks[[#This Row],[_LeafAC]]*Tasks[[#This Row],[_Res2Cost]]/Tasks[[#This Row],[_LeafTotalCost]])</f>
        <v>0</v>
      </c>
      <c r="DC4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4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48" s="45" t="n">
        <f aca="false">IF(OR(NOT(Tasks[[#This Row],[_IsLeaf]]=1),Tasks[[#This Row],[_Res3]]=""),0,IF(ISNA(MATCH(Tasks[[#This Row],[_Res3]],res_Name,0)),0,N(Tasks[[#This Row],[Duration]])*HoursPerDay*IF(Tasks[[#This Row],[_Res3Units]]="",DefaultUnits,Tasks[[#This Row],[_Res3Units]])))</f>
        <v>0</v>
      </c>
      <c r="DF48" s="45" t="n">
        <f aca="false">IF(Tasks[[#This Row],[_Res3Work]]=0,0,Tasks[[#This Row],[_Res3Work]]*IFERROR(INDEX(res_Rate,MATCH(Tasks[[#This Row],[_Res3]],res_Name,0)),0))</f>
        <v>0</v>
      </c>
      <c r="DG48" s="45" t="n">
        <f aca="false">IF(AND(AND(Tasks[[#This Row],[_IsLeaf]]=1,Tasks[[#This Row],[_LeafTotalWork]]&gt;0),Tasks[[#This Row],[_Res3Work]]&gt;0),Tasks[[#This Row],[_Res3Work]]/(Tasks[[#This Row],[_FinishWorkday]]-Tasks[[#This Row],[_StartWorkday]]+1),0)</f>
        <v>0</v>
      </c>
      <c r="DH48" s="45" t="n">
        <f aca="false">Tasks[[#This Row],[_Res3WorkPerWD]]*MAX(0,Tasks[[#This Row],[_StartWorkday]]-1)</f>
        <v>0</v>
      </c>
      <c r="DI48" s="45" t="n">
        <f aca="false">Tasks[[#This Row],[_Res3Work]]*Tasks[[#This Row],[_LeafProgress]]</f>
        <v>0</v>
      </c>
      <c r="DJ48" s="45" t="n">
        <f aca="false">IF(Tasks[[#This Row],[_LeafTotalCost]]=0,0,Tasks[[#This Row],[_LeafAC]]*Tasks[[#This Row],[_Res3Cost]]/Tasks[[#This Row],[_LeafTotalCost]])</f>
        <v>0</v>
      </c>
      <c r="DK4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4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48" s="45" t="n">
        <f aca="false">IF(OR(NOT(Tasks[[#This Row],[_IsLeaf]]=1),Tasks[[#This Row],[_Res4]]=""),0,IF(ISNA(MATCH(Tasks[[#This Row],[_Res4]],res_Name,0)),0,N(Tasks[[#This Row],[Duration]])*HoursPerDay*IF(Tasks[[#This Row],[_Res4Units]]="",DefaultUnits,Tasks[[#This Row],[_Res4Units]])))</f>
        <v>0</v>
      </c>
      <c r="DN48" s="45" t="n">
        <f aca="false">IF(Tasks[[#This Row],[_Res4Work]]=0,0,Tasks[[#This Row],[_Res4Work]]*IFERROR(INDEX(res_Rate,MATCH(Tasks[[#This Row],[_Res4]],res_Name,0)),0))</f>
        <v>0</v>
      </c>
      <c r="DO48" s="45" t="n">
        <f aca="false">IF(AND(AND(Tasks[[#This Row],[_IsLeaf]]=1,Tasks[[#This Row],[_LeafTotalWork]]&gt;0),Tasks[[#This Row],[_Res4Work]]&gt;0),Tasks[[#This Row],[_Res4Work]]/(Tasks[[#This Row],[_FinishWorkday]]-Tasks[[#This Row],[_StartWorkday]]+1),0)</f>
        <v>0</v>
      </c>
      <c r="DP48" s="45" t="n">
        <f aca="false">Tasks[[#This Row],[_Res4WorkPerWD]]*MAX(0,Tasks[[#This Row],[_StartWorkday]]-1)</f>
        <v>0</v>
      </c>
      <c r="DQ48" s="45" t="n">
        <f aca="false">Tasks[[#This Row],[_Res4Work]]*Tasks[[#This Row],[_LeafProgress]]</f>
        <v>0</v>
      </c>
      <c r="DR48" s="45" t="n">
        <f aca="false">IF(Tasks[[#This Row],[_LeafTotalCost]]=0,0,Tasks[[#This Row],[_LeafAC]]*Tasks[[#This Row],[_Res4Cost]]/Tasks[[#This Row],[_LeafTotalCost]])</f>
        <v>0</v>
      </c>
      <c r="DS48" s="45" t="n">
        <f aca="false">IF(ISNUMBER(Tasks[[#This Row],[% Complete]]),Tasks[[#This Row],[% Complete]],IF(Tasks[[#This Row],[Stage]]="",0,IFERROR(INDEX(stg_Pct,MATCH(Tasks[[#This Row],[Stage]],stg_Name,0)),0)))</f>
        <v>0</v>
      </c>
      <c r="DT48" s="45" t="n">
        <f aca="false">IF(NOT(Tasks[[#This Row],[_IsLeaf]]=1),0,IF(N(Tasks[[#This Row],[Actual Finish]])&gt;0,1,MIN(1,Tasks[[#This Row],[_Pct]])))</f>
        <v>0</v>
      </c>
      <c r="DU48" s="45" t="n">
        <f aca="false">IF(OR(NOT(Tasks[[#This Row],[_IsLeaf]]=1),Tasks[[#This Row],[_Resource1]]=""),0,IF(ISNA(MATCH(Tasks[[#This Row],[_Resource1]],res_Name,0)),0,N(Tasks[[#This Row],[Duration]])*HoursPerDay*IF(Tasks[[#This Row],[_Units1]]="",DefaultUnits,Tasks[[#This Row],[_Units1]])))</f>
        <v>0</v>
      </c>
      <c r="DV48" s="45" t="n">
        <f aca="false">IF(Tasks[[#This Row],[_LeafWork]]=0,0,Tasks[[#This Row],[_LeafWork]]*IFERROR(INDEX(res_Rate,MATCH(Tasks[[#This Row],[_Resource1]],res_Name,0)),0))</f>
        <v>0</v>
      </c>
      <c r="DW48" s="45" t="n">
        <f aca="false">Tasks[[#This Row],[_LeafWork]]+Tasks[[#This Row],[_Res2Work]]+Tasks[[#This Row],[_Res3Work]]+Tasks[[#This Row],[_Res4Work]]</f>
        <v>0</v>
      </c>
      <c r="DX48" s="45" t="n">
        <f aca="false">Tasks[[#This Row],[_LeafCost]]+Tasks[[#This Row],[_Res2Cost]]+Tasks[[#This Row],[_Res3Cost]]+Tasks[[#This Row],[_Res4Cost]]</f>
        <v>0</v>
      </c>
      <c r="DY48" s="45" t="n">
        <f aca="false">IF(Tasks[[#This Row],[_LeafTotalCost]]=0,Tasks[[#This Row],[_LeafAC]],Tasks[[#This Row],[_LeafAC]]*Tasks[[#This Row],[_LeafCost]]/Tasks[[#This Row],[_LeafTotalCost]])</f>
        <v>0</v>
      </c>
      <c r="DZ4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4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4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4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4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4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4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4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48" s="45" t="n">
        <f aca="false">IF(NOT(Tasks[[#This Row],[_IsLeaf]]=1),0,MAX(_xlfn.MAXIFS(Tasks[_Row],Tasks[_Pred1UID],Tasks[[#This Row],[UID]]),_xlfn.MAXIFS(Tasks[_Row],Tasks[_Pred2UID],Tasks[[#This Row],[UID]]),_xlfn.MAXIFS(Tasks[_Row],Tasks[_Pred3UID],Tasks[[#This Row],[UID]]),_xlfn.MAXIFS(Tasks[_Row],Tasks[_Pred4UID],Tasks[[#This Row],[UID]])))</f>
        <v>0</v>
      </c>
      <c r="EI4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4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48" s="74" t="str">
        <f aca="false">IF(NOT(Tasks[[#This Row],[_IsLeaf]]=1),"",IF(N(Tasks[[#This Row],[Duration]])&lt;=0,Tasks[[#This Row],[_LeafLateFinish]],WORKDAY.INTL(Tasks[[#This Row],[_LeafLateFinish]],-(Tasks[[#This Row],[Duration]]-1),WorkWeek,Holidays)))</f>
        <v/>
      </c>
      <c r="EL4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48" s="73" t="b">
        <f aca="false">AND(Tasks[[#This Row],[_IsLeaf]]=1,Tasks[[#This Row],[_LeafProgress]]&lt;1,N(Tasks[[#This Row],[_LeafTotalSlack]])&lt;=CriticalSlackDays)</f>
        <v>0</v>
      </c>
      <c r="EN48" s="45" t="n">
        <f aca="false">IF(AND(Tasks[[#This Row],[_IsLeaf]]=1,Tasks[[#This Row],[_ConstraintCode]]=1,Tasks[[#This Row],[Mode]]&lt;&gt;"Manual",N(Tasks[[#This Row],[Actual Start]])=0),MAX(0,N(Tasks[[#This Row],[Free Slack]])),0)</f>
        <v>0</v>
      </c>
      <c r="EO48" s="74" t="str">
        <f aca="false">IF(NOT(Tasks[[#This Row],[_IsLeaf]]=1),"",IF(Tasks[[#This Row],[_AlapShift]]=0,Tasks[[#This Row],[_LeafCalcStart]],WORKDAY.INTL(Tasks[[#This Row],[_LeafCalcStart]],Tasks[[#This Row],[_AlapShift]],WorkWeek,Holidays)))</f>
        <v/>
      </c>
      <c r="EP48" s="74" t="str">
        <f aca="false">IF(NOT(Tasks[[#This Row],[_IsLeaf]]=1),"",IF(Tasks[[#This Row],[_AlapShift]]=0,Tasks[[#This Row],[_LeafCalcFinish]],WORKDAY.INTL(Tasks[[#This Row],[_LeafCalcFinish]],Tasks[[#This Row],[_AlapShift]],WorkWeek,Holidays)))</f>
        <v/>
      </c>
      <c r="EQ48" s="74" t="str">
        <f aca="false">IF(NOT(Tasks[[#This Row],[_IsLeaf]]=1),"",IF(Tasks[[#This Row],[_AlapShift]]=0,Tasks[[#This Row],[_LeafFcstStart]],WORKDAY.INTL(Tasks[[#This Row],[_LeafFcstStart]],Tasks[[#This Row],[_AlapShift]],WorkWeek,Holidays)))</f>
        <v/>
      </c>
      <c r="ER48" s="74" t="str">
        <f aca="false">IF(NOT(Tasks[[#This Row],[_IsLeaf]]=1),"",IF(Tasks[[#This Row],[_AlapShift]]=0,Tasks[[#This Row],[_LeafFcstFinish]],WORKDAY.INTL(Tasks[[#This Row],[_LeafFcstFinish]],Tasks[[#This Row],[_AlapShift]],WorkWeek,Holidays)))</f>
        <v/>
      </c>
      <c r="ES48" s="74" t="str">
        <f aca="false">IF(Tasks[[#This Row],[Task Name]]="","",IF(Tasks[[#This Row],[_IsSummary]],MIN(INDEX(Tasks[_ShownCalcStart],Tasks[[#This Row],[_Row]]+1):INDEX(Tasks[_ShownCalcStart],Tasks[[#This Row],[_Row]]+Tasks[[#This Row],[_Descendants]])),Tasks[[#This Row],[_ShownCalcStart]]))</f>
        <v/>
      </c>
      <c r="ET48" s="74" t="str">
        <f aca="false">IF(Tasks[[#This Row],[Task Name]]="","",IF(Tasks[[#This Row],[_IsSummary]],MAX(INDEX(Tasks[_ShownCalcFinish],Tasks[[#This Row],[_Row]]+1):INDEX(Tasks[_ShownCalcFinish],Tasks[[#This Row],[_Row]]+Tasks[[#This Row],[_Descendants]])),Tasks[[#This Row],[_ShownCalcFinish]]))</f>
        <v/>
      </c>
      <c r="EU4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4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4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4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4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4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4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4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4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4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4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4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48" s="45" t="n">
        <f aca="false">IF(AND(Tasks[[#This Row],[_IsLeaf]]=1,Tasks[[#This Row],[_LeafTotalWork]]&gt;0),NETWORKDAYS.INTL(ProjectStart,Tasks[[#This Row],[_ShownFcstStart]],WorkWeek,Holidays),0)</f>
        <v>0</v>
      </c>
      <c r="FH48" s="45" t="n">
        <f aca="false">IF(AND(Tasks[[#This Row],[_IsLeaf]]=1,Tasks[[#This Row],[_LeafTotalWork]]&gt;0),MAX(Tasks[[#This Row],[_StartWorkday]],NETWORKDAYS.INTL(ProjectStart,Tasks[[#This Row],[_ShownFcstFinish]],WorkWeek,Holidays)),0)</f>
        <v>0</v>
      </c>
      <c r="FI48" s="45" t="n">
        <f aca="false">IF(AND(Tasks[[#This Row],[_IsLeaf]]=1,Tasks[[#This Row],[_LeafTotalWork]]&gt;0),Tasks[[#This Row],[_LeafWork]]/(Tasks[[#This Row],[_FinishWorkday]]-Tasks[[#This Row],[_StartWorkday]]+1),0)</f>
        <v>0</v>
      </c>
      <c r="FJ48" s="45" t="n">
        <f aca="false">Tasks[[#This Row],[_WorkPerWorkday]]*(Tasks[[#This Row],[_StartWorkday]]-1)</f>
        <v>-0</v>
      </c>
      <c r="FK48" s="45" t="n">
        <f aca="false">IF(Tasks[[#This Row],[_IsLeaf]]=1,MAX(N(Tasks[[#This Row],[Duration]]),0.1),0)</f>
        <v>0</v>
      </c>
      <c r="FL48" s="45" t="n">
        <f aca="false">Tasks[[#This Row],[_WeightDur]]*Tasks[[#This Row],[_LeafProgress]]</f>
        <v>0</v>
      </c>
      <c r="FM4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48" s="45" t="str">
        <f aca="false">IF(AND(Tasks[[#This Row],[_IsLeaf]]=1,N(Tasks[[#This Row],[Duration]])=0,Tasks[[#This Row],[_LeafProgress]]&lt;1),Tasks[[#This Row],[_ShownFcstFinish]]+Tasks[[#This Row],[_Row]]/100000,"")</f>
        <v/>
      </c>
      <c r="FO4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48" s="45" t="n">
        <f aca="false">IF(NOT(Tasks[[#This Row],[_IsLeaf]]=1),0,IF(Tasks[[#This Row],[Baseline Cost]]="",Tasks[[#This Row],[_LeafTotalCost]],N(Tasks[[#This Row],[Baseline Cost]])))</f>
        <v>0</v>
      </c>
      <c r="FQ48" s="45" t="n">
        <f aca="false">Tasks[[#This Row],[_LeafBudget]]*Tasks[[#This Row],[_PlannedPct]]</f>
        <v>0</v>
      </c>
      <c r="FR48" s="45" t="n">
        <f aca="false">Tasks[[#This Row],[_LeafBudget]]*Tasks[[#This Row],[_LeafProgress]]</f>
        <v>0</v>
      </c>
      <c r="FS48" s="45" t="n">
        <f aca="false">IF(NOT(Tasks[[#This Row],[_IsLeaf]]=1),0,IF(Tasks[[#This Row],[Actual Cost]]="",Tasks[[#This Row],[_LeafTotalCost]]*Tasks[[#This Row],[_LeafProgress]],N(Tasks[[#This Row],[Actual Cost]])))</f>
        <v>0</v>
      </c>
      <c r="FT48" s="45" t="str">
        <f aca="false">IF(Tasks[[#This Row],[Task Name]]="","",LEFT(Tasks[[#This Row],[WBS]],FIND(".",Tasks[[#This Row],[WBS]]&amp;".")-1))</f>
        <v/>
      </c>
      <c r="FU48" s="45" t="str">
        <f aca="false">IF(AND(Tasks[[#This Row],[Task Name]]&lt;&gt;"",Tasks[[#This Row],[_Level]]=1),Tasks[[#This Row],[_Row]],"")</f>
        <v/>
      </c>
      <c r="FV48" s="45" t="str">
        <f aca="false">IF(AND(Tasks[[#This Row],[_IsLeaf]]=1,N(Tasks[[#This Row],[Duration]])=0),Tasks[[#This Row],[Planned Finish]]+Tasks[[#This Row],[_Row]]/100000,"")</f>
        <v/>
      </c>
      <c r="FW48" s="45" t="str">
        <f aca="false">IF(AND(Tasks[[#This Row],[_IsLeaf]]=1,Tasks[[#This Row],[_LeafProgress]]&lt;1,OR(N(Tasks[[#This Row],[Finish Var]])&gt;0,Tasks[[#This Row],[Status]]="Late Start")),MAX(0,Tasks[[#This Row],[Finish Var]])+1-Tasks[[#This Row],[_Row]]/1000000,"")</f>
        <v/>
      </c>
      <c r="FX48" s="45" t="str">
        <f aca="false">IF(AND(Tasks[[#This Row],[_IsLeaf]]=1,N(Tasks[[#This Row],[Actual Start]])=0,Tasks[[#This Row],[_ShownFcstStart]]&gt;=StatusDate,Tasks[[#This Row],[_ShownFcstStart]]&lt;=LookaheadEnd),Tasks[[#This Row],[_ShownFcstStart]]+Tasks[[#This Row],[_Row]]/100000,"")</f>
        <v/>
      </c>
      <c r="FY48" s="45" t="str">
        <f aca="false">IF(AND(Tasks[[#This Row],[_IsLeaf]]=1,Tasks[[#This Row],[_LeafProgress]]&lt;1,Tasks[[#This Row],[_ShownFcstFinish]]&gt;=StatusDate,Tasks[[#This Row],[_ShownFcstFinish]]&lt;=LookaheadEnd),Tasks[[#This Row],[_ShownFcstFinish]]+Tasks[[#This Row],[_Row]]/100000,"")</f>
        <v/>
      </c>
      <c r="FZ48" s="45" t="str">
        <f aca="false">IF(Tasks[[#This Row],[_LeafCritical]],Tasks[[#This Row],[_ShownFcstStart]]+Tasks[[#This Row],[_Row]]/100000,"")</f>
        <v/>
      </c>
      <c r="GA48" s="45" t="n">
        <f aca="false">Tasks[[#This Row],[_LeafWork]]*Tasks[[#This Row],[_LeafProgress]]</f>
        <v>0</v>
      </c>
      <c r="GB48" s="74" t="str">
        <f aca="false">IF(AND(Tasks[[#This Row],[_IsLeaf]]=1,Tasks[[#This Row],[_LeafProgress]]&gt;=1),IF(N(Tasks[[#This Row],[Actual Finish]])&gt;0,Tasks[[#This Row],[Actual Finish]],Tasks[[#This Row],[_ShownFcstFinish]]),"")</f>
        <v/>
      </c>
    </row>
    <row r="49" customFormat="false" ht="15" hidden="false" customHeight="false" outlineLevel="0" collapsed="false">
      <c r="A49" s="67" t="str">
        <f aca="false">IF(Tasks[[#This Row],[Task Name]]="","",COUNTA(Tasks[[#Headers],[Task Name]]:Tasks[[#This Row],[Task Name]])-1)</f>
        <v/>
      </c>
      <c r="B49" s="21" t="n">
        <v>44</v>
      </c>
      <c r="C4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21"/>
      <c r="E49" s="22"/>
      <c r="F49" s="21"/>
      <c r="G49" s="22"/>
      <c r="H49" s="22"/>
      <c r="I49" s="22"/>
      <c r="J49" s="7"/>
      <c r="K49" s="7"/>
      <c r="L49" s="22"/>
      <c r="M49" s="58" t="str">
        <f aca="false">IF(Tasks[[#This Row],[Task Name]]="","",IF(Tasks[[#This Row],[_IsSummary]],MIN(INDEX(Tasks[_ShownFcstStart],Tasks[[#This Row],[_Row]]+1):INDEX(Tasks[_ShownFcstStart],Tasks[[#This Row],[_Row]]+Tasks[[#This Row],[_Descendants]])),Tasks[[#This Row],[_ShownFcstStart]]))</f>
        <v/>
      </c>
      <c r="N49" s="58" t="str">
        <f aca="false">IF(Tasks[[#This Row],[Task Name]]="","",IF(Tasks[[#This Row],[_IsSummary]],MAX(INDEX(Tasks[_ShownFcstFinish],Tasks[[#This Row],[_Row]]+1):INDEX(Tasks[_ShownFcstFinish],Tasks[[#This Row],[_Row]]+Tasks[[#This Row],[_Descendants]])),Tasks[[#This Row],[_ShownFcstFinish]]))</f>
        <v/>
      </c>
      <c r="O49" s="20" t="str">
        <f aca="false">IF(Tasks[[#This Row],[Task Name]]="","",IF(Tasks[[#This Row],[Progress]]&gt;=1,"Complete",IF(OR(N(Tasks[[#This Row],[Actual Start]])&gt;0,Tasks[[#This Row],[Progress]]&gt;0),IF(Tasks[[#This Row],[Finish Var]]&gt;0,"Behind","In Progress"),IF(Tasks[[#This Row],[Planned Start]]&lt;StatusDate,"Late Start","Not Started"))))</f>
        <v/>
      </c>
      <c r="P49" s="20" t="str">
        <f aca="false">IF(Tasks[[#This Row],[Task Name]]="","",IF(IF(Tasks[[#This Row],[_IsSummary]],COUNTIF(INDEX(Tasks[_LeafCritical],Tasks[[#This Row],[_Row]]+1):INDEX(Tasks[_LeafCritical],Tasks[[#This Row],[_Row]]+Tasks[[#This Row],[_Descendants]]),TRUE())&gt;0,Tasks[[#This Row],[_LeafCritical]]),"Yes",""))</f>
        <v/>
      </c>
      <c r="Q4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49" s="67" t="str">
        <f aca="false">IF(Tasks[[#This Row],[Task Name]]="","",IF(Tasks[[#This Row],[_Level]]&lt;=OutlineShowLevel,"Yes","No"))</f>
        <v/>
      </c>
      <c r="S49" s="7"/>
      <c r="T49" s="21"/>
      <c r="U49" s="22"/>
      <c r="V49" s="7"/>
      <c r="W49" s="67" t="str">
        <f aca="false">IF(Tasks[[#This Row],[Task Name]]="","",IF(Tasks[[#This Row],[Finish]]&gt;=Tasks[[#This Row],[Planned Finish]],NETWORKDAYS.INTL(Tasks[[#This Row],[Planned Finish]],Tasks[[#This Row],[Finish]],WorkWeek,Holidays)-1,1-NETWORKDAYS.INTL(Tasks[[#This Row],[Finish]],Tasks[[#This Row],[Planned Finish]],WorkWeek,Holidays)))</f>
        <v/>
      </c>
      <c r="X49" s="58" t="str">
        <f aca="false">IF(Tasks[[#This Row],[Task Name]]="","",IF(N(Tasks[[#This Row],[Baseline Start]])&gt;0,Tasks[[#This Row],[Baseline Start]],Tasks[[#This Row],[_CalcStart]]))</f>
        <v/>
      </c>
      <c r="Y49" s="58" t="str">
        <f aca="false">IF(Tasks[[#This Row],[Task Name]]="","",IF(N(Tasks[[#This Row],[Baseline Finish]])&gt;0,Tasks[[#This Row],[Baseline Finish]],Tasks[[#This Row],[_CalcFinish]]))</f>
        <v/>
      </c>
      <c r="Z49" s="67" t="str">
        <f aca="false">IF(Tasks[[#This Row],[Task Name]]="","",IF(Tasks[[#This Row],[Start]]&gt;=Tasks[[#This Row],[Planned Start]],NETWORKDAYS.INTL(Tasks[[#This Row],[Planned Start]],Tasks[[#This Row],[Start]],WorkWeek,Holidays)-1,1-NETWORKDAYS.INTL(Tasks[[#This Row],[Start]],Tasks[[#This Row],[Planned Start]],WorkWeek,Holidays)))</f>
        <v/>
      </c>
      <c r="AA49" s="58" t="str">
        <f aca="false">IF(Tasks[[#This Row],[Task Name]]="","",IF(Tasks[[#This Row],[_IsSummary]],MIN(INDEX(Tasks[_LeafLateStart],Tasks[[#This Row],[_Row]]+1):INDEX(Tasks[_LeafLateStart],Tasks[[#This Row],[_Row]]+Tasks[[#This Row],[_Descendants]])),Tasks[[#This Row],[_LeafLateStart]]))</f>
        <v/>
      </c>
      <c r="AB49" s="58" t="str">
        <f aca="false">IF(Tasks[[#This Row],[Task Name]]="","",IF(Tasks[[#This Row],[_IsSummary]],MAX(INDEX(Tasks[_LeafLateFinish],Tasks[[#This Row],[_Row]]+1):INDEX(Tasks[_LeafLateFinish],Tasks[[#This Row],[_Row]]+Tasks[[#This Row],[_Descendants]])),Tasks[[#This Row],[_LeafLateFinish]]))</f>
        <v/>
      </c>
      <c r="AC49" s="67" t="str">
        <f aca="false">IF(Tasks[[#This Row],[Task Name]]="","",IF(Tasks[[#This Row],[_IsSummary]],MIN(INDEX(Tasks[_LeafTotalSlack],Tasks[[#This Row],[_Row]]+1):INDEX(Tasks[_LeafTotalSlack],Tasks[[#This Row],[_Row]]+Tasks[[#This Row],[_Descendants]])),Tasks[[#This Row],[_LeafTotalSlack]]))</f>
        <v/>
      </c>
      <c r="AD4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4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4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49" s="60"/>
      <c r="AH4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4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49" s="69" t="str">
        <f aca="false">IF(Tasks[[#This Row],[Task Name]]="","",IF(Tasks[[#This Row],[_IsSummary]],SUM(INDEX(Tasks[_LeafTotalWork],Tasks[[#This Row],[_Row]]+1):INDEX(Tasks[_LeafTotalWork],Tasks[[#This Row],[_Row]]+Tasks[[#This Row],[_Descendants]])),Tasks[[#This Row],[_LeafTotalWork]]))</f>
        <v/>
      </c>
      <c r="AK4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49" s="70" t="str">
        <f aca="false">IF(Tasks[[#This Row],[Task Name]]="","",IF(Tasks[[#This Row],[_IsSummary]],SUM(INDEX(Tasks[_LeafTotalCost],Tasks[[#This Row],[_Row]]+1):INDEX(Tasks[_LeafTotalCost],Tasks[[#This Row],[_Row]]+Tasks[[#This Row],[_Descendants]])),Tasks[[#This Row],[_LeafTotalCost]]))</f>
        <v/>
      </c>
      <c r="AM49" s="71"/>
      <c r="AN49" s="20" t="str">
        <f aca="false">IF(OR(Tasks[[#This Row],[Task Name]]="",Tasks[[#This Row],[Baseline Duration]]=""),"",Tasks[[#This Row],[BL Source Duration]]-N(Tasks[[#This Row],[Baseline Duration]]))</f>
        <v/>
      </c>
      <c r="AO49" s="69" t="str">
        <f aca="false">IF(OR(Tasks[[#This Row],[Task Name]]="",Tasks[[#This Row],[Baseline Work]]=""),"",Tasks[[#This Row],[Work]]-N(Tasks[[#This Row],[Baseline Work]]))</f>
        <v/>
      </c>
      <c r="AP49" s="70" t="str">
        <f aca="false">IF(OR(Tasks[[#This Row],[Task Name]]="",Tasks[[#This Row],[Baseline Cost]]=""),"",Tasks[[#This Row],[Cost]]-N(Tasks[[#This Row],[Baseline Cost]]))</f>
        <v/>
      </c>
      <c r="AQ49" s="58" t="str">
        <f aca="false">IF(Tasks[[#This Row],[Task Name]]="","",Tasks[[#This Row],[Start]])</f>
        <v/>
      </c>
      <c r="AR49" s="58" t="str">
        <f aca="false">IF(Tasks[[#This Row],[Task Name]]="","",Tasks[[#This Row],[Finish]])</f>
        <v/>
      </c>
      <c r="AS49" s="67" t="str">
        <f aca="false">IF(Tasks[[#This Row],[Task Name]]="","",IF(Tasks[[#This Row],[_IsSummary]],NETWORKDAYS.INTL(Tasks[[#This Row],[Start]],Tasks[[#This Row],[Finish]],WorkWeek,Holidays),N(Tasks[[#This Row],[Duration]])))</f>
        <v/>
      </c>
      <c r="AT49" s="69" t="str">
        <f aca="false">IF(Tasks[[#This Row],[Task Name]]="","",Tasks[[#This Row],[Work]])</f>
        <v/>
      </c>
      <c r="AU49" s="70" t="str">
        <f aca="false">IF(Tasks[[#This Row],[Task Name]]="","",Tasks[[#This Row],[Cost]])</f>
        <v/>
      </c>
      <c r="AV49" s="7"/>
      <c r="AW49" s="7"/>
      <c r="AX49" s="21"/>
      <c r="AY49" s="72"/>
      <c r="AZ49" s="71"/>
      <c r="BA49" s="70" t="str">
        <f aca="false">IF(Tasks[[#This Row],[Task Name]]="","",IF(Tasks[[#This Row],[_IsSummary]],SUM(INDEX(Tasks[_LeafEV],Tasks[[#This Row],[_Row]]+1):INDEX(Tasks[_LeafEV],Tasks[[#This Row],[_Row]]+Tasks[[#This Row],[_Descendants]])),Tasks[[#This Row],[_LeafEV]]))</f>
        <v/>
      </c>
      <c r="BB49" s="70" t="str">
        <f aca="false">IF(Tasks[[#This Row],[Task Name]]="","",IF(Tasks[[#This Row],[_IsSummary]],SUM(INDEX(Tasks[_LeafBudget],Tasks[[#This Row],[_Row]]+1):INDEX(Tasks[_LeafBudget],Tasks[[#This Row],[_Row]]+Tasks[[#This Row],[_Descendants]])),Tasks[[#This Row],[_LeafBudget]]))</f>
        <v/>
      </c>
      <c r="BC49" s="70" t="str">
        <f aca="false">IF(Tasks[[#This Row],[Task Name]]="","",IF(Tasks[[#This Row],[_IsSummary]],SUM(INDEX(Tasks[_LeafPV],Tasks[[#This Row],[_Row]]+1):INDEX(Tasks[_LeafPV],Tasks[[#This Row],[_Row]]+Tasks[[#This Row],[_Descendants]])),Tasks[[#This Row],[_LeafPV]]))</f>
        <v/>
      </c>
      <c r="BD49" s="70" t="str">
        <f aca="false">IF(Tasks[[#This Row],[Task Name]]="","",IF(Tasks[[#This Row],[_IsSummary]],SUM(INDEX(Tasks[_LeafAC],Tasks[[#This Row],[_Row]]+1):INDEX(Tasks[_LeafAC],Tasks[[#This Row],[_Row]]+Tasks[[#This Row],[_Descendants]])),Tasks[[#This Row],[_LeafAC]]))</f>
        <v/>
      </c>
      <c r="BE49" s="45" t="str">
        <f aca="false">IF(Tasks[[#This Row],[Task Name]]="","",MAX(1,N(Tasks[[#This Row],[Level]])))</f>
        <v/>
      </c>
      <c r="BF49" s="45" t="n">
        <f aca="false">ROW()-ROW(Tasks[[#Headers],[ID]])</f>
        <v>44</v>
      </c>
      <c r="BG49" s="45" t="n">
        <f aca="false">IF(OR(Tasks[[#This Row],[Task Name]]="",Tasks[[#This Row],[_Level]]&lt;=1),0,IFERROR(LOOKUP(2,1/(Tasks[[#Headers],[_Level]]:Tasks[[#This Row],[_Level]]=Tasks[[#This Row],[_Level]]-1),ROW(Tasks[[#Headers],[_Level]]:Tasks[[#This Row],[_Level]])),0))</f>
        <v>0</v>
      </c>
      <c r="BH49" s="45" t="n">
        <f aca="false">IFERROR(N(INDEX(Tasks[_Level],Tasks[[#This Row],[_Row]]+1)),0)</f>
        <v>0</v>
      </c>
      <c r="BI49" s="73" t="b">
        <f aca="false">AND(Tasks[[#This Row],[Task Name]]&lt;&gt;"",Tasks[[#This Row],[_NextLevel]]&gt;Tasks[[#This Row],[_Level]])</f>
        <v>0</v>
      </c>
      <c r="BJ49" s="45" t="n">
        <f aca="false">IF(Tasks[[#This Row],[_IsSummary]],COUNTIF(Tasks[WBS],Tasks[[#This Row],[WBS]]&amp;".*"),0)</f>
        <v>0</v>
      </c>
      <c r="BK49" s="45" t="n">
        <f aca="false">IF(AND(Tasks[[#This Row],[Task Name]]&lt;&gt;"",NOT(Tasks[[#This Row],[_IsSummary]])),1,0)</f>
        <v>0</v>
      </c>
      <c r="BL49" s="45" t="n">
        <f aca="false">IF(N(Tasks[[#This Row],[_Pred1UID]])=0,0,IFERROR(MATCH(Tasks[[#This Row],[_Pred1UID]],Tasks[UID],0),-1))</f>
        <v>0</v>
      </c>
      <c r="BM49" s="45" t="n">
        <f aca="false">IF(N(Tasks[[#This Row],[_Pred2UID]])=0,0,IFERROR(MATCH(Tasks[[#This Row],[_Pred2UID]],Tasks[UID],0),-1))</f>
        <v>0</v>
      </c>
      <c r="BN49" s="45" t="n">
        <f aca="false">IF(N(Tasks[[#This Row],[_Pred3UID]])=0,0,IFERROR(MATCH(Tasks[[#This Row],[_Pred3UID]],Tasks[UID],0),-1))</f>
        <v>0</v>
      </c>
      <c r="BO49" s="45" t="n">
        <f aca="false">IF(N(Tasks[[#This Row],[_Pred4UID]])=0,0,IFERROR(MATCH(Tasks[[#This Row],[_Pred4UID]],Tasks[UID],0),-1))</f>
        <v>0</v>
      </c>
      <c r="BP4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4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49" s="74" t="n">
        <f aca="false">IF(OR(Tasks[[#This Row],[_ConstraintCode]]=2,Tasks[[#This Row],[_ConstraintCode]]=3,Tasks[[#This Row],[_ConstraintCode]]=4,Tasks[[#This Row],[_ConstraintCode]]=6),Tasks[[#This Row],[_ConstraintStart]],0)</f>
        <v>0</v>
      </c>
      <c r="BS49" s="74" t="n">
        <f aca="false">IF(OR(Tasks[[#This Row],[_ConstraintCode]]=2,Tasks[[#This Row],[_ConstraintCode]]=3,Tasks[[#This Row],[_ConstraintCode]]=5,Tasks[[#This Row],[_ConstraintCode]]=7),Tasks[[#This Row],[_ConstraintStart]],2958465)</f>
        <v>2958465</v>
      </c>
      <c r="BT4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49" s="74" t="str">
        <f aca="false">IF(NOT(Tasks[[#This Row],[_IsLeaf]]=1),"",IF(N(Tasks[[#This Row],[Duration]])&lt;=0,Tasks[[#This Row],[_LeafCalcStart]],WORKDAY.INTL(Tasks[[#This Row],[_LeafCalcStart]],Tasks[[#This Row],[Duration]]-1,WorkWeek,Holidays)))</f>
        <v/>
      </c>
      <c r="BV4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4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49" s="45" t="str">
        <f aca="false">IF(Tasks[[#This Row],[Predecessors]]="","",TRIM(MID(SUBSTITUTE(SUBSTITUTE(SUBSTITUTE(UPPER(Tasks[[#This Row],[Predecessors]]),";",",")," ",""),",",REPT(" ",99)),1,99)))</f>
        <v/>
      </c>
      <c r="BY49" s="45" t="str">
        <f aca="false">IF(Tasks[[#This Row],[_Pred1Text]]="","",IFERROR(VALUE(LEFT(Tasks[[#This Row],[_Pred1Text]],MIN(FIND("F",Tasks[[#This Row],[_Pred1Text]]&amp;"F"),FIND("S",Tasks[[#This Row],[_Pred1Text]]&amp;"S"),FIND("+",Tasks[[#This Row],[_Pred1Text]]&amp;"+"),FIND("-",Tasks[[#This Row],[_Pred1Text]]&amp;"-"))-1)),""))</f>
        <v/>
      </c>
      <c r="BZ4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4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49" s="45" t="str">
        <f aca="false">IF(Tasks[[#This Row],[_Pred1Text]]="","",TRIM(MID(SUBSTITUTE(SUBSTITUTE(SUBSTITUTE(UPPER(Tasks[[#This Row],[Predecessors]]),";",",")," ",""),",",REPT(" ",99)),100,99)))</f>
        <v/>
      </c>
      <c r="CC49" s="45" t="str">
        <f aca="false">IF(Tasks[[#This Row],[_Pred2Text]]="","",IFERROR(VALUE(LEFT(Tasks[[#This Row],[_Pred2Text]],MIN(FIND("F",Tasks[[#This Row],[_Pred2Text]]&amp;"F"),FIND("S",Tasks[[#This Row],[_Pred2Text]]&amp;"S"),FIND("+",Tasks[[#This Row],[_Pred2Text]]&amp;"+"),FIND("-",Tasks[[#This Row],[_Pred2Text]]&amp;"-"))-1)),""))</f>
        <v/>
      </c>
      <c r="CD4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4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49" s="45" t="str">
        <f aca="false">IF(Tasks[[#This Row],[_Pred2Text]]="","",TRIM(MID(SUBSTITUTE(SUBSTITUTE(SUBSTITUTE(UPPER(Tasks[[#This Row],[Predecessors]]),";",",")," ",""),",",REPT(" ",99)),199,99)))</f>
        <v/>
      </c>
      <c r="CG49" s="45" t="str">
        <f aca="false">IF(Tasks[[#This Row],[_Pred3Text]]="","",IFERROR(VALUE(LEFT(Tasks[[#This Row],[_Pred3Text]],MIN(FIND("F",Tasks[[#This Row],[_Pred3Text]]&amp;"F"),FIND("S",Tasks[[#This Row],[_Pred3Text]]&amp;"S"),FIND("+",Tasks[[#This Row],[_Pred3Text]]&amp;"+"),FIND("-",Tasks[[#This Row],[_Pred3Text]]&amp;"-"))-1)),""))</f>
        <v/>
      </c>
      <c r="CH4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4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49" s="45" t="str">
        <f aca="false">IF(Tasks[[#This Row],[_Pred3Text]]="","",TRIM(MID(SUBSTITUTE(SUBSTITUTE(SUBSTITUTE(UPPER(Tasks[[#This Row],[Predecessors]]),";",",")," ",""),",",REPT(" ",99)),298,99)))</f>
        <v/>
      </c>
      <c r="CK49" s="45" t="str">
        <f aca="false">IF(Tasks[[#This Row],[_Pred4Text]]="","",IFERROR(VALUE(LEFT(Tasks[[#This Row],[_Pred4Text]],MIN(FIND("F",Tasks[[#This Row],[_Pred4Text]]&amp;"F"),FIND("S",Tasks[[#This Row],[_Pred4Text]]&amp;"S"),FIND("+",Tasks[[#This Row],[_Pred4Text]]&amp;"+"),FIND("-",Tasks[[#This Row],[_Pred4Text]]&amp;"-"))-1)),""))</f>
        <v/>
      </c>
      <c r="CL4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4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49" s="45" t="str">
        <f aca="false">IF(OR(Tasks[[#This Row],[Task Name]]="",Tasks[[#This Row],[Resources]]=""),"",TRIM(MID(SUBSTITUTE(Tasks[[#This Row],[Resources]],",",REPT(" ",99)),1,99)))</f>
        <v/>
      </c>
      <c r="CO49" s="45" t="str">
        <f aca="false">IF(Tasks[[#This Row],[_Res1Text]]="","",TRIM(MID(SUBSTITUTE(Tasks[[#This Row],[Resources]],",",REPT(" ",99)),100,99)))</f>
        <v/>
      </c>
      <c r="CP49" s="45" t="str">
        <f aca="false">IF(Tasks[[#This Row],[_Res2Text]]="","",TRIM(MID(SUBSTITUTE(Tasks[[#This Row],[Resources]],",",REPT(" ",99)),199,99)))</f>
        <v/>
      </c>
      <c r="CQ49" s="45" t="str">
        <f aca="false">IF(Tasks[[#This Row],[_Res3Text]]="","",TRIM(MID(SUBSTITUTE(Tasks[[#This Row],[Resources]],",",REPT(" ",99)),298,99)))</f>
        <v/>
      </c>
      <c r="CR4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4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9" s="45" t="n">
        <f aca="false">IF(NOT(Tasks[[#This Row],[_IsLeaf]]=1),0,(Tasks[[#This Row],[_Resource1]]&lt;&gt;"")+(Tasks[[#This Row],[_Res2]]&lt;&gt;"")+(Tasks[[#This Row],[_Res3]]&lt;&gt;"")+(Tasks[[#This Row],[_Res4]]&lt;&gt;""))</f>
        <v>0</v>
      </c>
      <c r="CU4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4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9" s="45" t="n">
        <f aca="false">IF(OR(NOT(Tasks[[#This Row],[_IsLeaf]]=1),Tasks[[#This Row],[_Res2]]=""),0,IF(ISNA(MATCH(Tasks[[#This Row],[_Res2]],res_Name,0)),0,N(Tasks[[#This Row],[Duration]])*HoursPerDay*IF(Tasks[[#This Row],[_Res2Units]]="",DefaultUnits,Tasks[[#This Row],[_Res2Units]])))</f>
        <v>0</v>
      </c>
      <c r="CX49" s="45" t="n">
        <f aca="false">IF(Tasks[[#This Row],[_Res2Work]]=0,0,Tasks[[#This Row],[_Res2Work]]*IFERROR(INDEX(res_Rate,MATCH(Tasks[[#This Row],[_Res2]],res_Name,0)),0))</f>
        <v>0</v>
      </c>
      <c r="CY49" s="45" t="n">
        <f aca="false">IF(AND(AND(Tasks[[#This Row],[_IsLeaf]]=1,Tasks[[#This Row],[_LeafTotalWork]]&gt;0),Tasks[[#This Row],[_Res2Work]]&gt;0),Tasks[[#This Row],[_Res2Work]]/(Tasks[[#This Row],[_FinishWorkday]]-Tasks[[#This Row],[_StartWorkday]]+1),0)</f>
        <v>0</v>
      </c>
      <c r="CZ49" s="45" t="n">
        <f aca="false">Tasks[[#This Row],[_Res2WorkPerWD]]*MAX(0,Tasks[[#This Row],[_StartWorkday]]-1)</f>
        <v>0</v>
      </c>
      <c r="DA49" s="45" t="n">
        <f aca="false">Tasks[[#This Row],[_Res2Work]]*Tasks[[#This Row],[_LeafProgress]]</f>
        <v>0</v>
      </c>
      <c r="DB49" s="45" t="n">
        <f aca="false">IF(Tasks[[#This Row],[_LeafTotalCost]]=0,0,Tasks[[#This Row],[_LeafAC]]*Tasks[[#This Row],[_Res2Cost]]/Tasks[[#This Row],[_LeafTotalCost]])</f>
        <v>0</v>
      </c>
      <c r="DC4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4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49" s="45" t="n">
        <f aca="false">IF(OR(NOT(Tasks[[#This Row],[_IsLeaf]]=1),Tasks[[#This Row],[_Res3]]=""),0,IF(ISNA(MATCH(Tasks[[#This Row],[_Res3]],res_Name,0)),0,N(Tasks[[#This Row],[Duration]])*HoursPerDay*IF(Tasks[[#This Row],[_Res3Units]]="",DefaultUnits,Tasks[[#This Row],[_Res3Units]])))</f>
        <v>0</v>
      </c>
      <c r="DF49" s="45" t="n">
        <f aca="false">IF(Tasks[[#This Row],[_Res3Work]]=0,0,Tasks[[#This Row],[_Res3Work]]*IFERROR(INDEX(res_Rate,MATCH(Tasks[[#This Row],[_Res3]],res_Name,0)),0))</f>
        <v>0</v>
      </c>
      <c r="DG49" s="45" t="n">
        <f aca="false">IF(AND(AND(Tasks[[#This Row],[_IsLeaf]]=1,Tasks[[#This Row],[_LeafTotalWork]]&gt;0),Tasks[[#This Row],[_Res3Work]]&gt;0),Tasks[[#This Row],[_Res3Work]]/(Tasks[[#This Row],[_FinishWorkday]]-Tasks[[#This Row],[_StartWorkday]]+1),0)</f>
        <v>0</v>
      </c>
      <c r="DH49" s="45" t="n">
        <f aca="false">Tasks[[#This Row],[_Res3WorkPerWD]]*MAX(0,Tasks[[#This Row],[_StartWorkday]]-1)</f>
        <v>0</v>
      </c>
      <c r="DI49" s="45" t="n">
        <f aca="false">Tasks[[#This Row],[_Res3Work]]*Tasks[[#This Row],[_LeafProgress]]</f>
        <v>0</v>
      </c>
      <c r="DJ49" s="45" t="n">
        <f aca="false">IF(Tasks[[#This Row],[_LeafTotalCost]]=0,0,Tasks[[#This Row],[_LeafAC]]*Tasks[[#This Row],[_Res3Cost]]/Tasks[[#This Row],[_LeafTotalCost]])</f>
        <v>0</v>
      </c>
      <c r="DK4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4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49" s="45" t="n">
        <f aca="false">IF(OR(NOT(Tasks[[#This Row],[_IsLeaf]]=1),Tasks[[#This Row],[_Res4]]=""),0,IF(ISNA(MATCH(Tasks[[#This Row],[_Res4]],res_Name,0)),0,N(Tasks[[#This Row],[Duration]])*HoursPerDay*IF(Tasks[[#This Row],[_Res4Units]]="",DefaultUnits,Tasks[[#This Row],[_Res4Units]])))</f>
        <v>0</v>
      </c>
      <c r="DN49" s="45" t="n">
        <f aca="false">IF(Tasks[[#This Row],[_Res4Work]]=0,0,Tasks[[#This Row],[_Res4Work]]*IFERROR(INDEX(res_Rate,MATCH(Tasks[[#This Row],[_Res4]],res_Name,0)),0))</f>
        <v>0</v>
      </c>
      <c r="DO49" s="45" t="n">
        <f aca="false">IF(AND(AND(Tasks[[#This Row],[_IsLeaf]]=1,Tasks[[#This Row],[_LeafTotalWork]]&gt;0),Tasks[[#This Row],[_Res4Work]]&gt;0),Tasks[[#This Row],[_Res4Work]]/(Tasks[[#This Row],[_FinishWorkday]]-Tasks[[#This Row],[_StartWorkday]]+1),0)</f>
        <v>0</v>
      </c>
      <c r="DP49" s="45" t="n">
        <f aca="false">Tasks[[#This Row],[_Res4WorkPerWD]]*MAX(0,Tasks[[#This Row],[_StartWorkday]]-1)</f>
        <v>0</v>
      </c>
      <c r="DQ49" s="45" t="n">
        <f aca="false">Tasks[[#This Row],[_Res4Work]]*Tasks[[#This Row],[_LeafProgress]]</f>
        <v>0</v>
      </c>
      <c r="DR49" s="45" t="n">
        <f aca="false">IF(Tasks[[#This Row],[_LeafTotalCost]]=0,0,Tasks[[#This Row],[_LeafAC]]*Tasks[[#This Row],[_Res4Cost]]/Tasks[[#This Row],[_LeafTotalCost]])</f>
        <v>0</v>
      </c>
      <c r="DS49" s="45" t="n">
        <f aca="false">IF(ISNUMBER(Tasks[[#This Row],[% Complete]]),Tasks[[#This Row],[% Complete]],IF(Tasks[[#This Row],[Stage]]="",0,IFERROR(INDEX(stg_Pct,MATCH(Tasks[[#This Row],[Stage]],stg_Name,0)),0)))</f>
        <v>0</v>
      </c>
      <c r="DT49" s="45" t="n">
        <f aca="false">IF(NOT(Tasks[[#This Row],[_IsLeaf]]=1),0,IF(N(Tasks[[#This Row],[Actual Finish]])&gt;0,1,MIN(1,Tasks[[#This Row],[_Pct]])))</f>
        <v>0</v>
      </c>
      <c r="DU49" s="45" t="n">
        <f aca="false">IF(OR(NOT(Tasks[[#This Row],[_IsLeaf]]=1),Tasks[[#This Row],[_Resource1]]=""),0,IF(ISNA(MATCH(Tasks[[#This Row],[_Resource1]],res_Name,0)),0,N(Tasks[[#This Row],[Duration]])*HoursPerDay*IF(Tasks[[#This Row],[_Units1]]="",DefaultUnits,Tasks[[#This Row],[_Units1]])))</f>
        <v>0</v>
      </c>
      <c r="DV49" s="45" t="n">
        <f aca="false">IF(Tasks[[#This Row],[_LeafWork]]=0,0,Tasks[[#This Row],[_LeafWork]]*IFERROR(INDEX(res_Rate,MATCH(Tasks[[#This Row],[_Resource1]],res_Name,0)),0))</f>
        <v>0</v>
      </c>
      <c r="DW49" s="45" t="n">
        <f aca="false">Tasks[[#This Row],[_LeafWork]]+Tasks[[#This Row],[_Res2Work]]+Tasks[[#This Row],[_Res3Work]]+Tasks[[#This Row],[_Res4Work]]</f>
        <v>0</v>
      </c>
      <c r="DX49" s="45" t="n">
        <f aca="false">Tasks[[#This Row],[_LeafCost]]+Tasks[[#This Row],[_Res2Cost]]+Tasks[[#This Row],[_Res3Cost]]+Tasks[[#This Row],[_Res4Cost]]</f>
        <v>0</v>
      </c>
      <c r="DY49" s="45" t="n">
        <f aca="false">IF(Tasks[[#This Row],[_LeafTotalCost]]=0,Tasks[[#This Row],[_LeafAC]],Tasks[[#This Row],[_LeafAC]]*Tasks[[#This Row],[_LeafCost]]/Tasks[[#This Row],[_LeafTotalCost]])</f>
        <v>0</v>
      </c>
      <c r="DZ4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4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4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4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4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4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4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4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49" s="45" t="n">
        <f aca="false">IF(NOT(Tasks[[#This Row],[_IsLeaf]]=1),0,MAX(_xlfn.MAXIFS(Tasks[_Row],Tasks[_Pred1UID],Tasks[[#This Row],[UID]]),_xlfn.MAXIFS(Tasks[_Row],Tasks[_Pred2UID],Tasks[[#This Row],[UID]]),_xlfn.MAXIFS(Tasks[_Row],Tasks[_Pred3UID],Tasks[[#This Row],[UID]]),_xlfn.MAXIFS(Tasks[_Row],Tasks[_Pred4UID],Tasks[[#This Row],[UID]])))</f>
        <v>0</v>
      </c>
      <c r="EI4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4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49" s="74" t="str">
        <f aca="false">IF(NOT(Tasks[[#This Row],[_IsLeaf]]=1),"",IF(N(Tasks[[#This Row],[Duration]])&lt;=0,Tasks[[#This Row],[_LeafLateFinish]],WORKDAY.INTL(Tasks[[#This Row],[_LeafLateFinish]],-(Tasks[[#This Row],[Duration]]-1),WorkWeek,Holidays)))</f>
        <v/>
      </c>
      <c r="EL4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49" s="73" t="b">
        <f aca="false">AND(Tasks[[#This Row],[_IsLeaf]]=1,Tasks[[#This Row],[_LeafProgress]]&lt;1,N(Tasks[[#This Row],[_LeafTotalSlack]])&lt;=CriticalSlackDays)</f>
        <v>0</v>
      </c>
      <c r="EN49" s="45" t="n">
        <f aca="false">IF(AND(Tasks[[#This Row],[_IsLeaf]]=1,Tasks[[#This Row],[_ConstraintCode]]=1,Tasks[[#This Row],[Mode]]&lt;&gt;"Manual",N(Tasks[[#This Row],[Actual Start]])=0),MAX(0,N(Tasks[[#This Row],[Free Slack]])),0)</f>
        <v>0</v>
      </c>
      <c r="EO49" s="74" t="str">
        <f aca="false">IF(NOT(Tasks[[#This Row],[_IsLeaf]]=1),"",IF(Tasks[[#This Row],[_AlapShift]]=0,Tasks[[#This Row],[_LeafCalcStart]],WORKDAY.INTL(Tasks[[#This Row],[_LeafCalcStart]],Tasks[[#This Row],[_AlapShift]],WorkWeek,Holidays)))</f>
        <v/>
      </c>
      <c r="EP49" s="74" t="str">
        <f aca="false">IF(NOT(Tasks[[#This Row],[_IsLeaf]]=1),"",IF(Tasks[[#This Row],[_AlapShift]]=0,Tasks[[#This Row],[_LeafCalcFinish]],WORKDAY.INTL(Tasks[[#This Row],[_LeafCalcFinish]],Tasks[[#This Row],[_AlapShift]],WorkWeek,Holidays)))</f>
        <v/>
      </c>
      <c r="EQ49" s="74" t="str">
        <f aca="false">IF(NOT(Tasks[[#This Row],[_IsLeaf]]=1),"",IF(Tasks[[#This Row],[_AlapShift]]=0,Tasks[[#This Row],[_LeafFcstStart]],WORKDAY.INTL(Tasks[[#This Row],[_LeafFcstStart]],Tasks[[#This Row],[_AlapShift]],WorkWeek,Holidays)))</f>
        <v/>
      </c>
      <c r="ER49" s="74" t="str">
        <f aca="false">IF(NOT(Tasks[[#This Row],[_IsLeaf]]=1),"",IF(Tasks[[#This Row],[_AlapShift]]=0,Tasks[[#This Row],[_LeafFcstFinish]],WORKDAY.INTL(Tasks[[#This Row],[_LeafFcstFinish]],Tasks[[#This Row],[_AlapShift]],WorkWeek,Holidays)))</f>
        <v/>
      </c>
      <c r="ES49" s="74" t="str">
        <f aca="false">IF(Tasks[[#This Row],[Task Name]]="","",IF(Tasks[[#This Row],[_IsSummary]],MIN(INDEX(Tasks[_ShownCalcStart],Tasks[[#This Row],[_Row]]+1):INDEX(Tasks[_ShownCalcStart],Tasks[[#This Row],[_Row]]+Tasks[[#This Row],[_Descendants]])),Tasks[[#This Row],[_ShownCalcStart]]))</f>
        <v/>
      </c>
      <c r="ET49" s="74" t="str">
        <f aca="false">IF(Tasks[[#This Row],[Task Name]]="","",IF(Tasks[[#This Row],[_IsSummary]],MAX(INDEX(Tasks[_ShownCalcFinish],Tasks[[#This Row],[_Row]]+1):INDEX(Tasks[_ShownCalcFinish],Tasks[[#This Row],[_Row]]+Tasks[[#This Row],[_Descendants]])),Tasks[[#This Row],[_ShownCalcFinish]]))</f>
        <v/>
      </c>
      <c r="EU4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4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4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4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4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4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4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4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4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4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4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4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49" s="45" t="n">
        <f aca="false">IF(AND(Tasks[[#This Row],[_IsLeaf]]=1,Tasks[[#This Row],[_LeafTotalWork]]&gt;0),NETWORKDAYS.INTL(ProjectStart,Tasks[[#This Row],[_ShownFcstStart]],WorkWeek,Holidays),0)</f>
        <v>0</v>
      </c>
      <c r="FH49" s="45" t="n">
        <f aca="false">IF(AND(Tasks[[#This Row],[_IsLeaf]]=1,Tasks[[#This Row],[_LeafTotalWork]]&gt;0),MAX(Tasks[[#This Row],[_StartWorkday]],NETWORKDAYS.INTL(ProjectStart,Tasks[[#This Row],[_ShownFcstFinish]],WorkWeek,Holidays)),0)</f>
        <v>0</v>
      </c>
      <c r="FI49" s="45" t="n">
        <f aca="false">IF(AND(Tasks[[#This Row],[_IsLeaf]]=1,Tasks[[#This Row],[_LeafTotalWork]]&gt;0),Tasks[[#This Row],[_LeafWork]]/(Tasks[[#This Row],[_FinishWorkday]]-Tasks[[#This Row],[_StartWorkday]]+1),0)</f>
        <v>0</v>
      </c>
      <c r="FJ49" s="45" t="n">
        <f aca="false">Tasks[[#This Row],[_WorkPerWorkday]]*(Tasks[[#This Row],[_StartWorkday]]-1)</f>
        <v>-0</v>
      </c>
      <c r="FK49" s="45" t="n">
        <f aca="false">IF(Tasks[[#This Row],[_IsLeaf]]=1,MAX(N(Tasks[[#This Row],[Duration]]),0.1),0)</f>
        <v>0</v>
      </c>
      <c r="FL49" s="45" t="n">
        <f aca="false">Tasks[[#This Row],[_WeightDur]]*Tasks[[#This Row],[_LeafProgress]]</f>
        <v>0</v>
      </c>
      <c r="FM4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49" s="45" t="str">
        <f aca="false">IF(AND(Tasks[[#This Row],[_IsLeaf]]=1,N(Tasks[[#This Row],[Duration]])=0,Tasks[[#This Row],[_LeafProgress]]&lt;1),Tasks[[#This Row],[_ShownFcstFinish]]+Tasks[[#This Row],[_Row]]/100000,"")</f>
        <v/>
      </c>
      <c r="FO4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49" s="45" t="n">
        <f aca="false">IF(NOT(Tasks[[#This Row],[_IsLeaf]]=1),0,IF(Tasks[[#This Row],[Baseline Cost]]="",Tasks[[#This Row],[_LeafTotalCost]],N(Tasks[[#This Row],[Baseline Cost]])))</f>
        <v>0</v>
      </c>
      <c r="FQ49" s="45" t="n">
        <f aca="false">Tasks[[#This Row],[_LeafBudget]]*Tasks[[#This Row],[_PlannedPct]]</f>
        <v>0</v>
      </c>
      <c r="FR49" s="45" t="n">
        <f aca="false">Tasks[[#This Row],[_LeafBudget]]*Tasks[[#This Row],[_LeafProgress]]</f>
        <v>0</v>
      </c>
      <c r="FS49" s="45" t="n">
        <f aca="false">IF(NOT(Tasks[[#This Row],[_IsLeaf]]=1),0,IF(Tasks[[#This Row],[Actual Cost]]="",Tasks[[#This Row],[_LeafTotalCost]]*Tasks[[#This Row],[_LeafProgress]],N(Tasks[[#This Row],[Actual Cost]])))</f>
        <v>0</v>
      </c>
      <c r="FT49" s="45" t="str">
        <f aca="false">IF(Tasks[[#This Row],[Task Name]]="","",LEFT(Tasks[[#This Row],[WBS]],FIND(".",Tasks[[#This Row],[WBS]]&amp;".")-1))</f>
        <v/>
      </c>
      <c r="FU49" s="45" t="str">
        <f aca="false">IF(AND(Tasks[[#This Row],[Task Name]]&lt;&gt;"",Tasks[[#This Row],[_Level]]=1),Tasks[[#This Row],[_Row]],"")</f>
        <v/>
      </c>
      <c r="FV49" s="45" t="str">
        <f aca="false">IF(AND(Tasks[[#This Row],[_IsLeaf]]=1,N(Tasks[[#This Row],[Duration]])=0),Tasks[[#This Row],[Planned Finish]]+Tasks[[#This Row],[_Row]]/100000,"")</f>
        <v/>
      </c>
      <c r="FW49" s="45" t="str">
        <f aca="false">IF(AND(Tasks[[#This Row],[_IsLeaf]]=1,Tasks[[#This Row],[_LeafProgress]]&lt;1,OR(N(Tasks[[#This Row],[Finish Var]])&gt;0,Tasks[[#This Row],[Status]]="Late Start")),MAX(0,Tasks[[#This Row],[Finish Var]])+1-Tasks[[#This Row],[_Row]]/1000000,"")</f>
        <v/>
      </c>
      <c r="FX49" s="45" t="str">
        <f aca="false">IF(AND(Tasks[[#This Row],[_IsLeaf]]=1,N(Tasks[[#This Row],[Actual Start]])=0,Tasks[[#This Row],[_ShownFcstStart]]&gt;=StatusDate,Tasks[[#This Row],[_ShownFcstStart]]&lt;=LookaheadEnd),Tasks[[#This Row],[_ShownFcstStart]]+Tasks[[#This Row],[_Row]]/100000,"")</f>
        <v/>
      </c>
      <c r="FY49" s="45" t="str">
        <f aca="false">IF(AND(Tasks[[#This Row],[_IsLeaf]]=1,Tasks[[#This Row],[_LeafProgress]]&lt;1,Tasks[[#This Row],[_ShownFcstFinish]]&gt;=StatusDate,Tasks[[#This Row],[_ShownFcstFinish]]&lt;=LookaheadEnd),Tasks[[#This Row],[_ShownFcstFinish]]+Tasks[[#This Row],[_Row]]/100000,"")</f>
        <v/>
      </c>
      <c r="FZ49" s="45" t="str">
        <f aca="false">IF(Tasks[[#This Row],[_LeafCritical]],Tasks[[#This Row],[_ShownFcstStart]]+Tasks[[#This Row],[_Row]]/100000,"")</f>
        <v/>
      </c>
      <c r="GA49" s="45" t="n">
        <f aca="false">Tasks[[#This Row],[_LeafWork]]*Tasks[[#This Row],[_LeafProgress]]</f>
        <v>0</v>
      </c>
      <c r="GB49" s="74" t="str">
        <f aca="false">IF(AND(Tasks[[#This Row],[_IsLeaf]]=1,Tasks[[#This Row],[_LeafProgress]]&gt;=1),IF(N(Tasks[[#This Row],[Actual Finish]])&gt;0,Tasks[[#This Row],[Actual Finish]],Tasks[[#This Row],[_ShownFcstFinish]]),"")</f>
        <v/>
      </c>
    </row>
    <row r="50" customFormat="false" ht="15" hidden="false" customHeight="false" outlineLevel="0" collapsed="false">
      <c r="A50" s="67" t="str">
        <f aca="false">IF(Tasks[[#This Row],[Task Name]]="","",COUNTA(Tasks[[#Headers],[Task Name]]:Tasks[[#This Row],[Task Name]])-1)</f>
        <v/>
      </c>
      <c r="B50" s="21" t="n">
        <v>45</v>
      </c>
      <c r="C5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21"/>
      <c r="E50" s="22"/>
      <c r="F50" s="21"/>
      <c r="G50" s="22"/>
      <c r="H50" s="22"/>
      <c r="I50" s="22"/>
      <c r="J50" s="7"/>
      <c r="K50" s="7"/>
      <c r="L50" s="22"/>
      <c r="M50" s="58" t="str">
        <f aca="false">IF(Tasks[[#This Row],[Task Name]]="","",IF(Tasks[[#This Row],[_IsSummary]],MIN(INDEX(Tasks[_ShownFcstStart],Tasks[[#This Row],[_Row]]+1):INDEX(Tasks[_ShownFcstStart],Tasks[[#This Row],[_Row]]+Tasks[[#This Row],[_Descendants]])),Tasks[[#This Row],[_ShownFcstStart]]))</f>
        <v/>
      </c>
      <c r="N50" s="58" t="str">
        <f aca="false">IF(Tasks[[#This Row],[Task Name]]="","",IF(Tasks[[#This Row],[_IsSummary]],MAX(INDEX(Tasks[_ShownFcstFinish],Tasks[[#This Row],[_Row]]+1):INDEX(Tasks[_ShownFcstFinish],Tasks[[#This Row],[_Row]]+Tasks[[#This Row],[_Descendants]])),Tasks[[#This Row],[_ShownFcstFinish]]))</f>
        <v/>
      </c>
      <c r="O50" s="20" t="str">
        <f aca="false">IF(Tasks[[#This Row],[Task Name]]="","",IF(Tasks[[#This Row],[Progress]]&gt;=1,"Complete",IF(OR(N(Tasks[[#This Row],[Actual Start]])&gt;0,Tasks[[#This Row],[Progress]]&gt;0),IF(Tasks[[#This Row],[Finish Var]]&gt;0,"Behind","In Progress"),IF(Tasks[[#This Row],[Planned Start]]&lt;StatusDate,"Late Start","Not Started"))))</f>
        <v/>
      </c>
      <c r="P50" s="20" t="str">
        <f aca="false">IF(Tasks[[#This Row],[Task Name]]="","",IF(IF(Tasks[[#This Row],[_IsSummary]],COUNTIF(INDEX(Tasks[_LeafCritical],Tasks[[#This Row],[_Row]]+1):INDEX(Tasks[_LeafCritical],Tasks[[#This Row],[_Row]]+Tasks[[#This Row],[_Descendants]]),TRUE())&gt;0,Tasks[[#This Row],[_LeafCritical]]),"Yes",""))</f>
        <v/>
      </c>
      <c r="Q5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50" s="67" t="str">
        <f aca="false">IF(Tasks[[#This Row],[Task Name]]="","",IF(Tasks[[#This Row],[_Level]]&lt;=OutlineShowLevel,"Yes","No"))</f>
        <v/>
      </c>
      <c r="S50" s="7"/>
      <c r="T50" s="21"/>
      <c r="U50" s="22"/>
      <c r="V50" s="7"/>
      <c r="W50" s="67" t="str">
        <f aca="false">IF(Tasks[[#This Row],[Task Name]]="","",IF(Tasks[[#This Row],[Finish]]&gt;=Tasks[[#This Row],[Planned Finish]],NETWORKDAYS.INTL(Tasks[[#This Row],[Planned Finish]],Tasks[[#This Row],[Finish]],WorkWeek,Holidays)-1,1-NETWORKDAYS.INTL(Tasks[[#This Row],[Finish]],Tasks[[#This Row],[Planned Finish]],WorkWeek,Holidays)))</f>
        <v/>
      </c>
      <c r="X50" s="58" t="str">
        <f aca="false">IF(Tasks[[#This Row],[Task Name]]="","",IF(N(Tasks[[#This Row],[Baseline Start]])&gt;0,Tasks[[#This Row],[Baseline Start]],Tasks[[#This Row],[_CalcStart]]))</f>
        <v/>
      </c>
      <c r="Y50" s="58" t="str">
        <f aca="false">IF(Tasks[[#This Row],[Task Name]]="","",IF(N(Tasks[[#This Row],[Baseline Finish]])&gt;0,Tasks[[#This Row],[Baseline Finish]],Tasks[[#This Row],[_CalcFinish]]))</f>
        <v/>
      </c>
      <c r="Z50" s="67" t="str">
        <f aca="false">IF(Tasks[[#This Row],[Task Name]]="","",IF(Tasks[[#This Row],[Start]]&gt;=Tasks[[#This Row],[Planned Start]],NETWORKDAYS.INTL(Tasks[[#This Row],[Planned Start]],Tasks[[#This Row],[Start]],WorkWeek,Holidays)-1,1-NETWORKDAYS.INTL(Tasks[[#This Row],[Start]],Tasks[[#This Row],[Planned Start]],WorkWeek,Holidays)))</f>
        <v/>
      </c>
      <c r="AA50" s="58" t="str">
        <f aca="false">IF(Tasks[[#This Row],[Task Name]]="","",IF(Tasks[[#This Row],[_IsSummary]],MIN(INDEX(Tasks[_LeafLateStart],Tasks[[#This Row],[_Row]]+1):INDEX(Tasks[_LeafLateStart],Tasks[[#This Row],[_Row]]+Tasks[[#This Row],[_Descendants]])),Tasks[[#This Row],[_LeafLateStart]]))</f>
        <v/>
      </c>
      <c r="AB50" s="58" t="str">
        <f aca="false">IF(Tasks[[#This Row],[Task Name]]="","",IF(Tasks[[#This Row],[_IsSummary]],MAX(INDEX(Tasks[_LeafLateFinish],Tasks[[#This Row],[_Row]]+1):INDEX(Tasks[_LeafLateFinish],Tasks[[#This Row],[_Row]]+Tasks[[#This Row],[_Descendants]])),Tasks[[#This Row],[_LeafLateFinish]]))</f>
        <v/>
      </c>
      <c r="AC50" s="67" t="str">
        <f aca="false">IF(Tasks[[#This Row],[Task Name]]="","",IF(Tasks[[#This Row],[_IsSummary]],MIN(INDEX(Tasks[_LeafTotalSlack],Tasks[[#This Row],[_Row]]+1):INDEX(Tasks[_LeafTotalSlack],Tasks[[#This Row],[_Row]]+Tasks[[#This Row],[_Descendants]])),Tasks[[#This Row],[_LeafTotalSlack]]))</f>
        <v/>
      </c>
      <c r="AD5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5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5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50" s="60"/>
      <c r="AH5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5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50" s="69" t="str">
        <f aca="false">IF(Tasks[[#This Row],[Task Name]]="","",IF(Tasks[[#This Row],[_IsSummary]],SUM(INDEX(Tasks[_LeafTotalWork],Tasks[[#This Row],[_Row]]+1):INDEX(Tasks[_LeafTotalWork],Tasks[[#This Row],[_Row]]+Tasks[[#This Row],[_Descendants]])),Tasks[[#This Row],[_LeafTotalWork]]))</f>
        <v/>
      </c>
      <c r="AK5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50" s="70" t="str">
        <f aca="false">IF(Tasks[[#This Row],[Task Name]]="","",IF(Tasks[[#This Row],[_IsSummary]],SUM(INDEX(Tasks[_LeafTotalCost],Tasks[[#This Row],[_Row]]+1):INDEX(Tasks[_LeafTotalCost],Tasks[[#This Row],[_Row]]+Tasks[[#This Row],[_Descendants]])),Tasks[[#This Row],[_LeafTotalCost]]))</f>
        <v/>
      </c>
      <c r="AM50" s="71"/>
      <c r="AN50" s="20" t="str">
        <f aca="false">IF(OR(Tasks[[#This Row],[Task Name]]="",Tasks[[#This Row],[Baseline Duration]]=""),"",Tasks[[#This Row],[BL Source Duration]]-N(Tasks[[#This Row],[Baseline Duration]]))</f>
        <v/>
      </c>
      <c r="AO50" s="69" t="str">
        <f aca="false">IF(OR(Tasks[[#This Row],[Task Name]]="",Tasks[[#This Row],[Baseline Work]]=""),"",Tasks[[#This Row],[Work]]-N(Tasks[[#This Row],[Baseline Work]]))</f>
        <v/>
      </c>
      <c r="AP50" s="70" t="str">
        <f aca="false">IF(OR(Tasks[[#This Row],[Task Name]]="",Tasks[[#This Row],[Baseline Cost]]=""),"",Tasks[[#This Row],[Cost]]-N(Tasks[[#This Row],[Baseline Cost]]))</f>
        <v/>
      </c>
      <c r="AQ50" s="58" t="str">
        <f aca="false">IF(Tasks[[#This Row],[Task Name]]="","",Tasks[[#This Row],[Start]])</f>
        <v/>
      </c>
      <c r="AR50" s="58" t="str">
        <f aca="false">IF(Tasks[[#This Row],[Task Name]]="","",Tasks[[#This Row],[Finish]])</f>
        <v/>
      </c>
      <c r="AS50" s="67" t="str">
        <f aca="false">IF(Tasks[[#This Row],[Task Name]]="","",IF(Tasks[[#This Row],[_IsSummary]],NETWORKDAYS.INTL(Tasks[[#This Row],[Start]],Tasks[[#This Row],[Finish]],WorkWeek,Holidays),N(Tasks[[#This Row],[Duration]])))</f>
        <v/>
      </c>
      <c r="AT50" s="69" t="str">
        <f aca="false">IF(Tasks[[#This Row],[Task Name]]="","",Tasks[[#This Row],[Work]])</f>
        <v/>
      </c>
      <c r="AU50" s="70" t="str">
        <f aca="false">IF(Tasks[[#This Row],[Task Name]]="","",Tasks[[#This Row],[Cost]])</f>
        <v/>
      </c>
      <c r="AV50" s="7"/>
      <c r="AW50" s="7"/>
      <c r="AX50" s="21"/>
      <c r="AY50" s="72"/>
      <c r="AZ50" s="71"/>
      <c r="BA50" s="70" t="str">
        <f aca="false">IF(Tasks[[#This Row],[Task Name]]="","",IF(Tasks[[#This Row],[_IsSummary]],SUM(INDEX(Tasks[_LeafEV],Tasks[[#This Row],[_Row]]+1):INDEX(Tasks[_LeafEV],Tasks[[#This Row],[_Row]]+Tasks[[#This Row],[_Descendants]])),Tasks[[#This Row],[_LeafEV]]))</f>
        <v/>
      </c>
      <c r="BB50" s="70" t="str">
        <f aca="false">IF(Tasks[[#This Row],[Task Name]]="","",IF(Tasks[[#This Row],[_IsSummary]],SUM(INDEX(Tasks[_LeafBudget],Tasks[[#This Row],[_Row]]+1):INDEX(Tasks[_LeafBudget],Tasks[[#This Row],[_Row]]+Tasks[[#This Row],[_Descendants]])),Tasks[[#This Row],[_LeafBudget]]))</f>
        <v/>
      </c>
      <c r="BC50" s="70" t="str">
        <f aca="false">IF(Tasks[[#This Row],[Task Name]]="","",IF(Tasks[[#This Row],[_IsSummary]],SUM(INDEX(Tasks[_LeafPV],Tasks[[#This Row],[_Row]]+1):INDEX(Tasks[_LeafPV],Tasks[[#This Row],[_Row]]+Tasks[[#This Row],[_Descendants]])),Tasks[[#This Row],[_LeafPV]]))</f>
        <v/>
      </c>
      <c r="BD50" s="70" t="str">
        <f aca="false">IF(Tasks[[#This Row],[Task Name]]="","",IF(Tasks[[#This Row],[_IsSummary]],SUM(INDEX(Tasks[_LeafAC],Tasks[[#This Row],[_Row]]+1):INDEX(Tasks[_LeafAC],Tasks[[#This Row],[_Row]]+Tasks[[#This Row],[_Descendants]])),Tasks[[#This Row],[_LeafAC]]))</f>
        <v/>
      </c>
      <c r="BE50" s="45" t="str">
        <f aca="false">IF(Tasks[[#This Row],[Task Name]]="","",MAX(1,N(Tasks[[#This Row],[Level]])))</f>
        <v/>
      </c>
      <c r="BF50" s="45" t="n">
        <f aca="false">ROW()-ROW(Tasks[[#Headers],[ID]])</f>
        <v>45</v>
      </c>
      <c r="BG50" s="45" t="n">
        <f aca="false">IF(OR(Tasks[[#This Row],[Task Name]]="",Tasks[[#This Row],[_Level]]&lt;=1),0,IFERROR(LOOKUP(2,1/(Tasks[[#Headers],[_Level]]:Tasks[[#This Row],[_Level]]=Tasks[[#This Row],[_Level]]-1),ROW(Tasks[[#Headers],[_Level]]:Tasks[[#This Row],[_Level]])),0))</f>
        <v>0</v>
      </c>
      <c r="BH50" s="45" t="n">
        <f aca="false">IFERROR(N(INDEX(Tasks[_Level],Tasks[[#This Row],[_Row]]+1)),0)</f>
        <v>0</v>
      </c>
      <c r="BI50" s="73" t="b">
        <f aca="false">AND(Tasks[[#This Row],[Task Name]]&lt;&gt;"",Tasks[[#This Row],[_NextLevel]]&gt;Tasks[[#This Row],[_Level]])</f>
        <v>0</v>
      </c>
      <c r="BJ50" s="45" t="n">
        <f aca="false">IF(Tasks[[#This Row],[_IsSummary]],COUNTIF(Tasks[WBS],Tasks[[#This Row],[WBS]]&amp;".*"),0)</f>
        <v>0</v>
      </c>
      <c r="BK50" s="45" t="n">
        <f aca="false">IF(AND(Tasks[[#This Row],[Task Name]]&lt;&gt;"",NOT(Tasks[[#This Row],[_IsSummary]])),1,0)</f>
        <v>0</v>
      </c>
      <c r="BL50" s="45" t="n">
        <f aca="false">IF(N(Tasks[[#This Row],[_Pred1UID]])=0,0,IFERROR(MATCH(Tasks[[#This Row],[_Pred1UID]],Tasks[UID],0),-1))</f>
        <v>0</v>
      </c>
      <c r="BM50" s="45" t="n">
        <f aca="false">IF(N(Tasks[[#This Row],[_Pred2UID]])=0,0,IFERROR(MATCH(Tasks[[#This Row],[_Pred2UID]],Tasks[UID],0),-1))</f>
        <v>0</v>
      </c>
      <c r="BN50" s="45" t="n">
        <f aca="false">IF(N(Tasks[[#This Row],[_Pred3UID]])=0,0,IFERROR(MATCH(Tasks[[#This Row],[_Pred3UID]],Tasks[UID],0),-1))</f>
        <v>0</v>
      </c>
      <c r="BO50" s="45" t="n">
        <f aca="false">IF(N(Tasks[[#This Row],[_Pred4UID]])=0,0,IFERROR(MATCH(Tasks[[#This Row],[_Pred4UID]],Tasks[UID],0),-1))</f>
        <v>0</v>
      </c>
      <c r="BP5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5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50" s="74" t="n">
        <f aca="false">IF(OR(Tasks[[#This Row],[_ConstraintCode]]=2,Tasks[[#This Row],[_ConstraintCode]]=3,Tasks[[#This Row],[_ConstraintCode]]=4,Tasks[[#This Row],[_ConstraintCode]]=6),Tasks[[#This Row],[_ConstraintStart]],0)</f>
        <v>0</v>
      </c>
      <c r="BS50" s="74" t="n">
        <f aca="false">IF(OR(Tasks[[#This Row],[_ConstraintCode]]=2,Tasks[[#This Row],[_ConstraintCode]]=3,Tasks[[#This Row],[_ConstraintCode]]=5,Tasks[[#This Row],[_ConstraintCode]]=7),Tasks[[#This Row],[_ConstraintStart]],2958465)</f>
        <v>2958465</v>
      </c>
      <c r="BT5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50" s="74" t="str">
        <f aca="false">IF(NOT(Tasks[[#This Row],[_IsLeaf]]=1),"",IF(N(Tasks[[#This Row],[Duration]])&lt;=0,Tasks[[#This Row],[_LeafCalcStart]],WORKDAY.INTL(Tasks[[#This Row],[_LeafCalcStart]],Tasks[[#This Row],[Duration]]-1,WorkWeek,Holidays)))</f>
        <v/>
      </c>
      <c r="BV5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5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50" s="45" t="str">
        <f aca="false">IF(Tasks[[#This Row],[Predecessors]]="","",TRIM(MID(SUBSTITUTE(SUBSTITUTE(SUBSTITUTE(UPPER(Tasks[[#This Row],[Predecessors]]),";",",")," ",""),",",REPT(" ",99)),1,99)))</f>
        <v/>
      </c>
      <c r="BY50" s="45" t="str">
        <f aca="false">IF(Tasks[[#This Row],[_Pred1Text]]="","",IFERROR(VALUE(LEFT(Tasks[[#This Row],[_Pred1Text]],MIN(FIND("F",Tasks[[#This Row],[_Pred1Text]]&amp;"F"),FIND("S",Tasks[[#This Row],[_Pred1Text]]&amp;"S"),FIND("+",Tasks[[#This Row],[_Pred1Text]]&amp;"+"),FIND("-",Tasks[[#This Row],[_Pred1Text]]&amp;"-"))-1)),""))</f>
        <v/>
      </c>
      <c r="BZ5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5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50" s="45" t="str">
        <f aca="false">IF(Tasks[[#This Row],[_Pred1Text]]="","",TRIM(MID(SUBSTITUTE(SUBSTITUTE(SUBSTITUTE(UPPER(Tasks[[#This Row],[Predecessors]]),";",",")," ",""),",",REPT(" ",99)),100,99)))</f>
        <v/>
      </c>
      <c r="CC50" s="45" t="str">
        <f aca="false">IF(Tasks[[#This Row],[_Pred2Text]]="","",IFERROR(VALUE(LEFT(Tasks[[#This Row],[_Pred2Text]],MIN(FIND("F",Tasks[[#This Row],[_Pred2Text]]&amp;"F"),FIND("S",Tasks[[#This Row],[_Pred2Text]]&amp;"S"),FIND("+",Tasks[[#This Row],[_Pred2Text]]&amp;"+"),FIND("-",Tasks[[#This Row],[_Pred2Text]]&amp;"-"))-1)),""))</f>
        <v/>
      </c>
      <c r="CD5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5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50" s="45" t="str">
        <f aca="false">IF(Tasks[[#This Row],[_Pred2Text]]="","",TRIM(MID(SUBSTITUTE(SUBSTITUTE(SUBSTITUTE(UPPER(Tasks[[#This Row],[Predecessors]]),";",",")," ",""),",",REPT(" ",99)),199,99)))</f>
        <v/>
      </c>
      <c r="CG50" s="45" t="str">
        <f aca="false">IF(Tasks[[#This Row],[_Pred3Text]]="","",IFERROR(VALUE(LEFT(Tasks[[#This Row],[_Pred3Text]],MIN(FIND("F",Tasks[[#This Row],[_Pred3Text]]&amp;"F"),FIND("S",Tasks[[#This Row],[_Pred3Text]]&amp;"S"),FIND("+",Tasks[[#This Row],[_Pred3Text]]&amp;"+"),FIND("-",Tasks[[#This Row],[_Pred3Text]]&amp;"-"))-1)),""))</f>
        <v/>
      </c>
      <c r="CH5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5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50" s="45" t="str">
        <f aca="false">IF(Tasks[[#This Row],[_Pred3Text]]="","",TRIM(MID(SUBSTITUTE(SUBSTITUTE(SUBSTITUTE(UPPER(Tasks[[#This Row],[Predecessors]]),";",",")," ",""),",",REPT(" ",99)),298,99)))</f>
        <v/>
      </c>
      <c r="CK50" s="45" t="str">
        <f aca="false">IF(Tasks[[#This Row],[_Pred4Text]]="","",IFERROR(VALUE(LEFT(Tasks[[#This Row],[_Pred4Text]],MIN(FIND("F",Tasks[[#This Row],[_Pred4Text]]&amp;"F"),FIND("S",Tasks[[#This Row],[_Pred4Text]]&amp;"S"),FIND("+",Tasks[[#This Row],[_Pred4Text]]&amp;"+"),FIND("-",Tasks[[#This Row],[_Pred4Text]]&amp;"-"))-1)),""))</f>
        <v/>
      </c>
      <c r="CL5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5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50" s="45" t="str">
        <f aca="false">IF(OR(Tasks[[#This Row],[Task Name]]="",Tasks[[#This Row],[Resources]]=""),"",TRIM(MID(SUBSTITUTE(Tasks[[#This Row],[Resources]],",",REPT(" ",99)),1,99)))</f>
        <v/>
      </c>
      <c r="CO50" s="45" t="str">
        <f aca="false">IF(Tasks[[#This Row],[_Res1Text]]="","",TRIM(MID(SUBSTITUTE(Tasks[[#This Row],[Resources]],",",REPT(" ",99)),100,99)))</f>
        <v/>
      </c>
      <c r="CP50" s="45" t="str">
        <f aca="false">IF(Tasks[[#This Row],[_Res2Text]]="","",TRIM(MID(SUBSTITUTE(Tasks[[#This Row],[Resources]],",",REPT(" ",99)),199,99)))</f>
        <v/>
      </c>
      <c r="CQ50" s="45" t="str">
        <f aca="false">IF(Tasks[[#This Row],[_Res3Text]]="","",TRIM(MID(SUBSTITUTE(Tasks[[#This Row],[Resources]],",",REPT(" ",99)),298,99)))</f>
        <v/>
      </c>
      <c r="CR5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5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0" s="45" t="n">
        <f aca="false">IF(NOT(Tasks[[#This Row],[_IsLeaf]]=1),0,(Tasks[[#This Row],[_Resource1]]&lt;&gt;"")+(Tasks[[#This Row],[_Res2]]&lt;&gt;"")+(Tasks[[#This Row],[_Res3]]&lt;&gt;"")+(Tasks[[#This Row],[_Res4]]&lt;&gt;""))</f>
        <v>0</v>
      </c>
      <c r="CU5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5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0" s="45" t="n">
        <f aca="false">IF(OR(NOT(Tasks[[#This Row],[_IsLeaf]]=1),Tasks[[#This Row],[_Res2]]=""),0,IF(ISNA(MATCH(Tasks[[#This Row],[_Res2]],res_Name,0)),0,N(Tasks[[#This Row],[Duration]])*HoursPerDay*IF(Tasks[[#This Row],[_Res2Units]]="",DefaultUnits,Tasks[[#This Row],[_Res2Units]])))</f>
        <v>0</v>
      </c>
      <c r="CX50" s="45" t="n">
        <f aca="false">IF(Tasks[[#This Row],[_Res2Work]]=0,0,Tasks[[#This Row],[_Res2Work]]*IFERROR(INDEX(res_Rate,MATCH(Tasks[[#This Row],[_Res2]],res_Name,0)),0))</f>
        <v>0</v>
      </c>
      <c r="CY50" s="45" t="n">
        <f aca="false">IF(AND(AND(Tasks[[#This Row],[_IsLeaf]]=1,Tasks[[#This Row],[_LeafTotalWork]]&gt;0),Tasks[[#This Row],[_Res2Work]]&gt;0),Tasks[[#This Row],[_Res2Work]]/(Tasks[[#This Row],[_FinishWorkday]]-Tasks[[#This Row],[_StartWorkday]]+1),0)</f>
        <v>0</v>
      </c>
      <c r="CZ50" s="45" t="n">
        <f aca="false">Tasks[[#This Row],[_Res2WorkPerWD]]*MAX(0,Tasks[[#This Row],[_StartWorkday]]-1)</f>
        <v>0</v>
      </c>
      <c r="DA50" s="45" t="n">
        <f aca="false">Tasks[[#This Row],[_Res2Work]]*Tasks[[#This Row],[_LeafProgress]]</f>
        <v>0</v>
      </c>
      <c r="DB50" s="45" t="n">
        <f aca="false">IF(Tasks[[#This Row],[_LeafTotalCost]]=0,0,Tasks[[#This Row],[_LeafAC]]*Tasks[[#This Row],[_Res2Cost]]/Tasks[[#This Row],[_LeafTotalCost]])</f>
        <v>0</v>
      </c>
      <c r="DC5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5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50" s="45" t="n">
        <f aca="false">IF(OR(NOT(Tasks[[#This Row],[_IsLeaf]]=1),Tasks[[#This Row],[_Res3]]=""),0,IF(ISNA(MATCH(Tasks[[#This Row],[_Res3]],res_Name,0)),0,N(Tasks[[#This Row],[Duration]])*HoursPerDay*IF(Tasks[[#This Row],[_Res3Units]]="",DefaultUnits,Tasks[[#This Row],[_Res3Units]])))</f>
        <v>0</v>
      </c>
      <c r="DF50" s="45" t="n">
        <f aca="false">IF(Tasks[[#This Row],[_Res3Work]]=0,0,Tasks[[#This Row],[_Res3Work]]*IFERROR(INDEX(res_Rate,MATCH(Tasks[[#This Row],[_Res3]],res_Name,0)),0))</f>
        <v>0</v>
      </c>
      <c r="DG50" s="45" t="n">
        <f aca="false">IF(AND(AND(Tasks[[#This Row],[_IsLeaf]]=1,Tasks[[#This Row],[_LeafTotalWork]]&gt;0),Tasks[[#This Row],[_Res3Work]]&gt;0),Tasks[[#This Row],[_Res3Work]]/(Tasks[[#This Row],[_FinishWorkday]]-Tasks[[#This Row],[_StartWorkday]]+1),0)</f>
        <v>0</v>
      </c>
      <c r="DH50" s="45" t="n">
        <f aca="false">Tasks[[#This Row],[_Res3WorkPerWD]]*MAX(0,Tasks[[#This Row],[_StartWorkday]]-1)</f>
        <v>0</v>
      </c>
      <c r="DI50" s="45" t="n">
        <f aca="false">Tasks[[#This Row],[_Res3Work]]*Tasks[[#This Row],[_LeafProgress]]</f>
        <v>0</v>
      </c>
      <c r="DJ50" s="45" t="n">
        <f aca="false">IF(Tasks[[#This Row],[_LeafTotalCost]]=0,0,Tasks[[#This Row],[_LeafAC]]*Tasks[[#This Row],[_Res3Cost]]/Tasks[[#This Row],[_LeafTotalCost]])</f>
        <v>0</v>
      </c>
      <c r="DK5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5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50" s="45" t="n">
        <f aca="false">IF(OR(NOT(Tasks[[#This Row],[_IsLeaf]]=1),Tasks[[#This Row],[_Res4]]=""),0,IF(ISNA(MATCH(Tasks[[#This Row],[_Res4]],res_Name,0)),0,N(Tasks[[#This Row],[Duration]])*HoursPerDay*IF(Tasks[[#This Row],[_Res4Units]]="",DefaultUnits,Tasks[[#This Row],[_Res4Units]])))</f>
        <v>0</v>
      </c>
      <c r="DN50" s="45" t="n">
        <f aca="false">IF(Tasks[[#This Row],[_Res4Work]]=0,0,Tasks[[#This Row],[_Res4Work]]*IFERROR(INDEX(res_Rate,MATCH(Tasks[[#This Row],[_Res4]],res_Name,0)),0))</f>
        <v>0</v>
      </c>
      <c r="DO50" s="45" t="n">
        <f aca="false">IF(AND(AND(Tasks[[#This Row],[_IsLeaf]]=1,Tasks[[#This Row],[_LeafTotalWork]]&gt;0),Tasks[[#This Row],[_Res4Work]]&gt;0),Tasks[[#This Row],[_Res4Work]]/(Tasks[[#This Row],[_FinishWorkday]]-Tasks[[#This Row],[_StartWorkday]]+1),0)</f>
        <v>0</v>
      </c>
      <c r="DP50" s="45" t="n">
        <f aca="false">Tasks[[#This Row],[_Res4WorkPerWD]]*MAX(0,Tasks[[#This Row],[_StartWorkday]]-1)</f>
        <v>0</v>
      </c>
      <c r="DQ50" s="45" t="n">
        <f aca="false">Tasks[[#This Row],[_Res4Work]]*Tasks[[#This Row],[_LeafProgress]]</f>
        <v>0</v>
      </c>
      <c r="DR50" s="45" t="n">
        <f aca="false">IF(Tasks[[#This Row],[_LeafTotalCost]]=0,0,Tasks[[#This Row],[_LeafAC]]*Tasks[[#This Row],[_Res4Cost]]/Tasks[[#This Row],[_LeafTotalCost]])</f>
        <v>0</v>
      </c>
      <c r="DS50" s="45" t="n">
        <f aca="false">IF(ISNUMBER(Tasks[[#This Row],[% Complete]]),Tasks[[#This Row],[% Complete]],IF(Tasks[[#This Row],[Stage]]="",0,IFERROR(INDEX(stg_Pct,MATCH(Tasks[[#This Row],[Stage]],stg_Name,0)),0)))</f>
        <v>0</v>
      </c>
      <c r="DT50" s="45" t="n">
        <f aca="false">IF(NOT(Tasks[[#This Row],[_IsLeaf]]=1),0,IF(N(Tasks[[#This Row],[Actual Finish]])&gt;0,1,MIN(1,Tasks[[#This Row],[_Pct]])))</f>
        <v>0</v>
      </c>
      <c r="DU50" s="45" t="n">
        <f aca="false">IF(OR(NOT(Tasks[[#This Row],[_IsLeaf]]=1),Tasks[[#This Row],[_Resource1]]=""),0,IF(ISNA(MATCH(Tasks[[#This Row],[_Resource1]],res_Name,0)),0,N(Tasks[[#This Row],[Duration]])*HoursPerDay*IF(Tasks[[#This Row],[_Units1]]="",DefaultUnits,Tasks[[#This Row],[_Units1]])))</f>
        <v>0</v>
      </c>
      <c r="DV50" s="45" t="n">
        <f aca="false">IF(Tasks[[#This Row],[_LeafWork]]=0,0,Tasks[[#This Row],[_LeafWork]]*IFERROR(INDEX(res_Rate,MATCH(Tasks[[#This Row],[_Resource1]],res_Name,0)),0))</f>
        <v>0</v>
      </c>
      <c r="DW50" s="45" t="n">
        <f aca="false">Tasks[[#This Row],[_LeafWork]]+Tasks[[#This Row],[_Res2Work]]+Tasks[[#This Row],[_Res3Work]]+Tasks[[#This Row],[_Res4Work]]</f>
        <v>0</v>
      </c>
      <c r="DX50" s="45" t="n">
        <f aca="false">Tasks[[#This Row],[_LeafCost]]+Tasks[[#This Row],[_Res2Cost]]+Tasks[[#This Row],[_Res3Cost]]+Tasks[[#This Row],[_Res4Cost]]</f>
        <v>0</v>
      </c>
      <c r="DY50" s="45" t="n">
        <f aca="false">IF(Tasks[[#This Row],[_LeafTotalCost]]=0,Tasks[[#This Row],[_LeafAC]],Tasks[[#This Row],[_LeafAC]]*Tasks[[#This Row],[_LeafCost]]/Tasks[[#This Row],[_LeafTotalCost]])</f>
        <v>0</v>
      </c>
      <c r="DZ5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5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5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5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5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5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5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5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50" s="45" t="n">
        <f aca="false">IF(NOT(Tasks[[#This Row],[_IsLeaf]]=1),0,MAX(_xlfn.MAXIFS(Tasks[_Row],Tasks[_Pred1UID],Tasks[[#This Row],[UID]]),_xlfn.MAXIFS(Tasks[_Row],Tasks[_Pred2UID],Tasks[[#This Row],[UID]]),_xlfn.MAXIFS(Tasks[_Row],Tasks[_Pred3UID],Tasks[[#This Row],[UID]]),_xlfn.MAXIFS(Tasks[_Row],Tasks[_Pred4UID],Tasks[[#This Row],[UID]])))</f>
        <v>0</v>
      </c>
      <c r="EI5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5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50" s="74" t="str">
        <f aca="false">IF(NOT(Tasks[[#This Row],[_IsLeaf]]=1),"",IF(N(Tasks[[#This Row],[Duration]])&lt;=0,Tasks[[#This Row],[_LeafLateFinish]],WORKDAY.INTL(Tasks[[#This Row],[_LeafLateFinish]],-(Tasks[[#This Row],[Duration]]-1),WorkWeek,Holidays)))</f>
        <v/>
      </c>
      <c r="EL5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50" s="73" t="b">
        <f aca="false">AND(Tasks[[#This Row],[_IsLeaf]]=1,Tasks[[#This Row],[_LeafProgress]]&lt;1,N(Tasks[[#This Row],[_LeafTotalSlack]])&lt;=CriticalSlackDays)</f>
        <v>0</v>
      </c>
      <c r="EN50" s="45" t="n">
        <f aca="false">IF(AND(Tasks[[#This Row],[_IsLeaf]]=1,Tasks[[#This Row],[_ConstraintCode]]=1,Tasks[[#This Row],[Mode]]&lt;&gt;"Manual",N(Tasks[[#This Row],[Actual Start]])=0),MAX(0,N(Tasks[[#This Row],[Free Slack]])),0)</f>
        <v>0</v>
      </c>
      <c r="EO50" s="74" t="str">
        <f aca="false">IF(NOT(Tasks[[#This Row],[_IsLeaf]]=1),"",IF(Tasks[[#This Row],[_AlapShift]]=0,Tasks[[#This Row],[_LeafCalcStart]],WORKDAY.INTL(Tasks[[#This Row],[_LeafCalcStart]],Tasks[[#This Row],[_AlapShift]],WorkWeek,Holidays)))</f>
        <v/>
      </c>
      <c r="EP50" s="74" t="str">
        <f aca="false">IF(NOT(Tasks[[#This Row],[_IsLeaf]]=1),"",IF(Tasks[[#This Row],[_AlapShift]]=0,Tasks[[#This Row],[_LeafCalcFinish]],WORKDAY.INTL(Tasks[[#This Row],[_LeafCalcFinish]],Tasks[[#This Row],[_AlapShift]],WorkWeek,Holidays)))</f>
        <v/>
      </c>
      <c r="EQ50" s="74" t="str">
        <f aca="false">IF(NOT(Tasks[[#This Row],[_IsLeaf]]=1),"",IF(Tasks[[#This Row],[_AlapShift]]=0,Tasks[[#This Row],[_LeafFcstStart]],WORKDAY.INTL(Tasks[[#This Row],[_LeafFcstStart]],Tasks[[#This Row],[_AlapShift]],WorkWeek,Holidays)))</f>
        <v/>
      </c>
      <c r="ER50" s="74" t="str">
        <f aca="false">IF(NOT(Tasks[[#This Row],[_IsLeaf]]=1),"",IF(Tasks[[#This Row],[_AlapShift]]=0,Tasks[[#This Row],[_LeafFcstFinish]],WORKDAY.INTL(Tasks[[#This Row],[_LeafFcstFinish]],Tasks[[#This Row],[_AlapShift]],WorkWeek,Holidays)))</f>
        <v/>
      </c>
      <c r="ES50" s="74" t="str">
        <f aca="false">IF(Tasks[[#This Row],[Task Name]]="","",IF(Tasks[[#This Row],[_IsSummary]],MIN(INDEX(Tasks[_ShownCalcStart],Tasks[[#This Row],[_Row]]+1):INDEX(Tasks[_ShownCalcStart],Tasks[[#This Row],[_Row]]+Tasks[[#This Row],[_Descendants]])),Tasks[[#This Row],[_ShownCalcStart]]))</f>
        <v/>
      </c>
      <c r="ET50" s="74" t="str">
        <f aca="false">IF(Tasks[[#This Row],[Task Name]]="","",IF(Tasks[[#This Row],[_IsSummary]],MAX(INDEX(Tasks[_ShownCalcFinish],Tasks[[#This Row],[_Row]]+1):INDEX(Tasks[_ShownCalcFinish],Tasks[[#This Row],[_Row]]+Tasks[[#This Row],[_Descendants]])),Tasks[[#This Row],[_ShownCalcFinish]]))</f>
        <v/>
      </c>
      <c r="EU5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5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5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5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5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5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5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5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5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5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5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5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50" s="45" t="n">
        <f aca="false">IF(AND(Tasks[[#This Row],[_IsLeaf]]=1,Tasks[[#This Row],[_LeafTotalWork]]&gt;0),NETWORKDAYS.INTL(ProjectStart,Tasks[[#This Row],[_ShownFcstStart]],WorkWeek,Holidays),0)</f>
        <v>0</v>
      </c>
      <c r="FH50" s="45" t="n">
        <f aca="false">IF(AND(Tasks[[#This Row],[_IsLeaf]]=1,Tasks[[#This Row],[_LeafTotalWork]]&gt;0),MAX(Tasks[[#This Row],[_StartWorkday]],NETWORKDAYS.INTL(ProjectStart,Tasks[[#This Row],[_ShownFcstFinish]],WorkWeek,Holidays)),0)</f>
        <v>0</v>
      </c>
      <c r="FI50" s="45" t="n">
        <f aca="false">IF(AND(Tasks[[#This Row],[_IsLeaf]]=1,Tasks[[#This Row],[_LeafTotalWork]]&gt;0),Tasks[[#This Row],[_LeafWork]]/(Tasks[[#This Row],[_FinishWorkday]]-Tasks[[#This Row],[_StartWorkday]]+1),0)</f>
        <v>0</v>
      </c>
      <c r="FJ50" s="45" t="n">
        <f aca="false">Tasks[[#This Row],[_WorkPerWorkday]]*(Tasks[[#This Row],[_StartWorkday]]-1)</f>
        <v>-0</v>
      </c>
      <c r="FK50" s="45" t="n">
        <f aca="false">IF(Tasks[[#This Row],[_IsLeaf]]=1,MAX(N(Tasks[[#This Row],[Duration]]),0.1),0)</f>
        <v>0</v>
      </c>
      <c r="FL50" s="45" t="n">
        <f aca="false">Tasks[[#This Row],[_WeightDur]]*Tasks[[#This Row],[_LeafProgress]]</f>
        <v>0</v>
      </c>
      <c r="FM5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50" s="45" t="str">
        <f aca="false">IF(AND(Tasks[[#This Row],[_IsLeaf]]=1,N(Tasks[[#This Row],[Duration]])=0,Tasks[[#This Row],[_LeafProgress]]&lt;1),Tasks[[#This Row],[_ShownFcstFinish]]+Tasks[[#This Row],[_Row]]/100000,"")</f>
        <v/>
      </c>
      <c r="FO5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50" s="45" t="n">
        <f aca="false">IF(NOT(Tasks[[#This Row],[_IsLeaf]]=1),0,IF(Tasks[[#This Row],[Baseline Cost]]="",Tasks[[#This Row],[_LeafTotalCost]],N(Tasks[[#This Row],[Baseline Cost]])))</f>
        <v>0</v>
      </c>
      <c r="FQ50" s="45" t="n">
        <f aca="false">Tasks[[#This Row],[_LeafBudget]]*Tasks[[#This Row],[_PlannedPct]]</f>
        <v>0</v>
      </c>
      <c r="FR50" s="45" t="n">
        <f aca="false">Tasks[[#This Row],[_LeafBudget]]*Tasks[[#This Row],[_LeafProgress]]</f>
        <v>0</v>
      </c>
      <c r="FS50" s="45" t="n">
        <f aca="false">IF(NOT(Tasks[[#This Row],[_IsLeaf]]=1),0,IF(Tasks[[#This Row],[Actual Cost]]="",Tasks[[#This Row],[_LeafTotalCost]]*Tasks[[#This Row],[_LeafProgress]],N(Tasks[[#This Row],[Actual Cost]])))</f>
        <v>0</v>
      </c>
      <c r="FT50" s="45" t="str">
        <f aca="false">IF(Tasks[[#This Row],[Task Name]]="","",LEFT(Tasks[[#This Row],[WBS]],FIND(".",Tasks[[#This Row],[WBS]]&amp;".")-1))</f>
        <v/>
      </c>
      <c r="FU50" s="45" t="str">
        <f aca="false">IF(AND(Tasks[[#This Row],[Task Name]]&lt;&gt;"",Tasks[[#This Row],[_Level]]=1),Tasks[[#This Row],[_Row]],"")</f>
        <v/>
      </c>
      <c r="FV50" s="45" t="str">
        <f aca="false">IF(AND(Tasks[[#This Row],[_IsLeaf]]=1,N(Tasks[[#This Row],[Duration]])=0),Tasks[[#This Row],[Planned Finish]]+Tasks[[#This Row],[_Row]]/100000,"")</f>
        <v/>
      </c>
      <c r="FW50" s="45" t="str">
        <f aca="false">IF(AND(Tasks[[#This Row],[_IsLeaf]]=1,Tasks[[#This Row],[_LeafProgress]]&lt;1,OR(N(Tasks[[#This Row],[Finish Var]])&gt;0,Tasks[[#This Row],[Status]]="Late Start")),MAX(0,Tasks[[#This Row],[Finish Var]])+1-Tasks[[#This Row],[_Row]]/1000000,"")</f>
        <v/>
      </c>
      <c r="FX50" s="45" t="str">
        <f aca="false">IF(AND(Tasks[[#This Row],[_IsLeaf]]=1,N(Tasks[[#This Row],[Actual Start]])=0,Tasks[[#This Row],[_ShownFcstStart]]&gt;=StatusDate,Tasks[[#This Row],[_ShownFcstStart]]&lt;=LookaheadEnd),Tasks[[#This Row],[_ShownFcstStart]]+Tasks[[#This Row],[_Row]]/100000,"")</f>
        <v/>
      </c>
      <c r="FY50" s="45" t="str">
        <f aca="false">IF(AND(Tasks[[#This Row],[_IsLeaf]]=1,Tasks[[#This Row],[_LeafProgress]]&lt;1,Tasks[[#This Row],[_ShownFcstFinish]]&gt;=StatusDate,Tasks[[#This Row],[_ShownFcstFinish]]&lt;=LookaheadEnd),Tasks[[#This Row],[_ShownFcstFinish]]+Tasks[[#This Row],[_Row]]/100000,"")</f>
        <v/>
      </c>
      <c r="FZ50" s="45" t="str">
        <f aca="false">IF(Tasks[[#This Row],[_LeafCritical]],Tasks[[#This Row],[_ShownFcstStart]]+Tasks[[#This Row],[_Row]]/100000,"")</f>
        <v/>
      </c>
      <c r="GA50" s="45" t="n">
        <f aca="false">Tasks[[#This Row],[_LeafWork]]*Tasks[[#This Row],[_LeafProgress]]</f>
        <v>0</v>
      </c>
      <c r="GB50" s="74" t="str">
        <f aca="false">IF(AND(Tasks[[#This Row],[_IsLeaf]]=1,Tasks[[#This Row],[_LeafProgress]]&gt;=1),IF(N(Tasks[[#This Row],[Actual Finish]])&gt;0,Tasks[[#This Row],[Actual Finish]],Tasks[[#This Row],[_ShownFcstFinish]]),"")</f>
        <v/>
      </c>
    </row>
    <row r="51" customFormat="false" ht="15" hidden="false" customHeight="false" outlineLevel="0" collapsed="false">
      <c r="A51" s="67" t="str">
        <f aca="false">IF(Tasks[[#This Row],[Task Name]]="","",COUNTA(Tasks[[#Headers],[Task Name]]:Tasks[[#This Row],[Task Name]])-1)</f>
        <v/>
      </c>
      <c r="B51" s="21" t="n">
        <v>46</v>
      </c>
      <c r="C5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21"/>
      <c r="E51" s="22"/>
      <c r="F51" s="21"/>
      <c r="G51" s="22"/>
      <c r="H51" s="22"/>
      <c r="I51" s="22"/>
      <c r="J51" s="7"/>
      <c r="K51" s="7"/>
      <c r="L51" s="22"/>
      <c r="M51" s="58" t="str">
        <f aca="false">IF(Tasks[[#This Row],[Task Name]]="","",IF(Tasks[[#This Row],[_IsSummary]],MIN(INDEX(Tasks[_ShownFcstStart],Tasks[[#This Row],[_Row]]+1):INDEX(Tasks[_ShownFcstStart],Tasks[[#This Row],[_Row]]+Tasks[[#This Row],[_Descendants]])),Tasks[[#This Row],[_ShownFcstStart]]))</f>
        <v/>
      </c>
      <c r="N51" s="58" t="str">
        <f aca="false">IF(Tasks[[#This Row],[Task Name]]="","",IF(Tasks[[#This Row],[_IsSummary]],MAX(INDEX(Tasks[_ShownFcstFinish],Tasks[[#This Row],[_Row]]+1):INDEX(Tasks[_ShownFcstFinish],Tasks[[#This Row],[_Row]]+Tasks[[#This Row],[_Descendants]])),Tasks[[#This Row],[_ShownFcstFinish]]))</f>
        <v/>
      </c>
      <c r="O51" s="20" t="str">
        <f aca="false">IF(Tasks[[#This Row],[Task Name]]="","",IF(Tasks[[#This Row],[Progress]]&gt;=1,"Complete",IF(OR(N(Tasks[[#This Row],[Actual Start]])&gt;0,Tasks[[#This Row],[Progress]]&gt;0),IF(Tasks[[#This Row],[Finish Var]]&gt;0,"Behind","In Progress"),IF(Tasks[[#This Row],[Planned Start]]&lt;StatusDate,"Late Start","Not Started"))))</f>
        <v/>
      </c>
      <c r="P51" s="20" t="str">
        <f aca="false">IF(Tasks[[#This Row],[Task Name]]="","",IF(IF(Tasks[[#This Row],[_IsSummary]],COUNTIF(INDEX(Tasks[_LeafCritical],Tasks[[#This Row],[_Row]]+1):INDEX(Tasks[_LeafCritical],Tasks[[#This Row],[_Row]]+Tasks[[#This Row],[_Descendants]]),TRUE())&gt;0,Tasks[[#This Row],[_LeafCritical]]),"Yes",""))</f>
        <v/>
      </c>
      <c r="Q5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51" s="67" t="str">
        <f aca="false">IF(Tasks[[#This Row],[Task Name]]="","",IF(Tasks[[#This Row],[_Level]]&lt;=OutlineShowLevel,"Yes","No"))</f>
        <v/>
      </c>
      <c r="S51" s="7"/>
      <c r="T51" s="21"/>
      <c r="U51" s="22"/>
      <c r="V51" s="7"/>
      <c r="W51" s="67" t="str">
        <f aca="false">IF(Tasks[[#This Row],[Task Name]]="","",IF(Tasks[[#This Row],[Finish]]&gt;=Tasks[[#This Row],[Planned Finish]],NETWORKDAYS.INTL(Tasks[[#This Row],[Planned Finish]],Tasks[[#This Row],[Finish]],WorkWeek,Holidays)-1,1-NETWORKDAYS.INTL(Tasks[[#This Row],[Finish]],Tasks[[#This Row],[Planned Finish]],WorkWeek,Holidays)))</f>
        <v/>
      </c>
      <c r="X51" s="58" t="str">
        <f aca="false">IF(Tasks[[#This Row],[Task Name]]="","",IF(N(Tasks[[#This Row],[Baseline Start]])&gt;0,Tasks[[#This Row],[Baseline Start]],Tasks[[#This Row],[_CalcStart]]))</f>
        <v/>
      </c>
      <c r="Y51" s="58" t="str">
        <f aca="false">IF(Tasks[[#This Row],[Task Name]]="","",IF(N(Tasks[[#This Row],[Baseline Finish]])&gt;0,Tasks[[#This Row],[Baseline Finish]],Tasks[[#This Row],[_CalcFinish]]))</f>
        <v/>
      </c>
      <c r="Z51" s="67" t="str">
        <f aca="false">IF(Tasks[[#This Row],[Task Name]]="","",IF(Tasks[[#This Row],[Start]]&gt;=Tasks[[#This Row],[Planned Start]],NETWORKDAYS.INTL(Tasks[[#This Row],[Planned Start]],Tasks[[#This Row],[Start]],WorkWeek,Holidays)-1,1-NETWORKDAYS.INTL(Tasks[[#This Row],[Start]],Tasks[[#This Row],[Planned Start]],WorkWeek,Holidays)))</f>
        <v/>
      </c>
      <c r="AA51" s="58" t="str">
        <f aca="false">IF(Tasks[[#This Row],[Task Name]]="","",IF(Tasks[[#This Row],[_IsSummary]],MIN(INDEX(Tasks[_LeafLateStart],Tasks[[#This Row],[_Row]]+1):INDEX(Tasks[_LeafLateStart],Tasks[[#This Row],[_Row]]+Tasks[[#This Row],[_Descendants]])),Tasks[[#This Row],[_LeafLateStart]]))</f>
        <v/>
      </c>
      <c r="AB51" s="58" t="str">
        <f aca="false">IF(Tasks[[#This Row],[Task Name]]="","",IF(Tasks[[#This Row],[_IsSummary]],MAX(INDEX(Tasks[_LeafLateFinish],Tasks[[#This Row],[_Row]]+1):INDEX(Tasks[_LeafLateFinish],Tasks[[#This Row],[_Row]]+Tasks[[#This Row],[_Descendants]])),Tasks[[#This Row],[_LeafLateFinish]]))</f>
        <v/>
      </c>
      <c r="AC51" s="67" t="str">
        <f aca="false">IF(Tasks[[#This Row],[Task Name]]="","",IF(Tasks[[#This Row],[_IsSummary]],MIN(INDEX(Tasks[_LeafTotalSlack],Tasks[[#This Row],[_Row]]+1):INDEX(Tasks[_LeafTotalSlack],Tasks[[#This Row],[_Row]]+Tasks[[#This Row],[_Descendants]])),Tasks[[#This Row],[_LeafTotalSlack]]))</f>
        <v/>
      </c>
      <c r="AD5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5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5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51" s="60"/>
      <c r="AH5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5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51" s="69" t="str">
        <f aca="false">IF(Tasks[[#This Row],[Task Name]]="","",IF(Tasks[[#This Row],[_IsSummary]],SUM(INDEX(Tasks[_LeafTotalWork],Tasks[[#This Row],[_Row]]+1):INDEX(Tasks[_LeafTotalWork],Tasks[[#This Row],[_Row]]+Tasks[[#This Row],[_Descendants]])),Tasks[[#This Row],[_LeafTotalWork]]))</f>
        <v/>
      </c>
      <c r="AK5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51" s="70" t="str">
        <f aca="false">IF(Tasks[[#This Row],[Task Name]]="","",IF(Tasks[[#This Row],[_IsSummary]],SUM(INDEX(Tasks[_LeafTotalCost],Tasks[[#This Row],[_Row]]+1):INDEX(Tasks[_LeafTotalCost],Tasks[[#This Row],[_Row]]+Tasks[[#This Row],[_Descendants]])),Tasks[[#This Row],[_LeafTotalCost]]))</f>
        <v/>
      </c>
      <c r="AM51" s="71"/>
      <c r="AN51" s="20" t="str">
        <f aca="false">IF(OR(Tasks[[#This Row],[Task Name]]="",Tasks[[#This Row],[Baseline Duration]]=""),"",Tasks[[#This Row],[BL Source Duration]]-N(Tasks[[#This Row],[Baseline Duration]]))</f>
        <v/>
      </c>
      <c r="AO51" s="69" t="str">
        <f aca="false">IF(OR(Tasks[[#This Row],[Task Name]]="",Tasks[[#This Row],[Baseline Work]]=""),"",Tasks[[#This Row],[Work]]-N(Tasks[[#This Row],[Baseline Work]]))</f>
        <v/>
      </c>
      <c r="AP51" s="70" t="str">
        <f aca="false">IF(OR(Tasks[[#This Row],[Task Name]]="",Tasks[[#This Row],[Baseline Cost]]=""),"",Tasks[[#This Row],[Cost]]-N(Tasks[[#This Row],[Baseline Cost]]))</f>
        <v/>
      </c>
      <c r="AQ51" s="58" t="str">
        <f aca="false">IF(Tasks[[#This Row],[Task Name]]="","",Tasks[[#This Row],[Start]])</f>
        <v/>
      </c>
      <c r="AR51" s="58" t="str">
        <f aca="false">IF(Tasks[[#This Row],[Task Name]]="","",Tasks[[#This Row],[Finish]])</f>
        <v/>
      </c>
      <c r="AS51" s="67" t="str">
        <f aca="false">IF(Tasks[[#This Row],[Task Name]]="","",IF(Tasks[[#This Row],[_IsSummary]],NETWORKDAYS.INTL(Tasks[[#This Row],[Start]],Tasks[[#This Row],[Finish]],WorkWeek,Holidays),N(Tasks[[#This Row],[Duration]])))</f>
        <v/>
      </c>
      <c r="AT51" s="69" t="str">
        <f aca="false">IF(Tasks[[#This Row],[Task Name]]="","",Tasks[[#This Row],[Work]])</f>
        <v/>
      </c>
      <c r="AU51" s="70" t="str">
        <f aca="false">IF(Tasks[[#This Row],[Task Name]]="","",Tasks[[#This Row],[Cost]])</f>
        <v/>
      </c>
      <c r="AV51" s="7"/>
      <c r="AW51" s="7"/>
      <c r="AX51" s="21"/>
      <c r="AY51" s="72"/>
      <c r="AZ51" s="71"/>
      <c r="BA51" s="70" t="str">
        <f aca="false">IF(Tasks[[#This Row],[Task Name]]="","",IF(Tasks[[#This Row],[_IsSummary]],SUM(INDEX(Tasks[_LeafEV],Tasks[[#This Row],[_Row]]+1):INDEX(Tasks[_LeafEV],Tasks[[#This Row],[_Row]]+Tasks[[#This Row],[_Descendants]])),Tasks[[#This Row],[_LeafEV]]))</f>
        <v/>
      </c>
      <c r="BB51" s="70" t="str">
        <f aca="false">IF(Tasks[[#This Row],[Task Name]]="","",IF(Tasks[[#This Row],[_IsSummary]],SUM(INDEX(Tasks[_LeafBudget],Tasks[[#This Row],[_Row]]+1):INDEX(Tasks[_LeafBudget],Tasks[[#This Row],[_Row]]+Tasks[[#This Row],[_Descendants]])),Tasks[[#This Row],[_LeafBudget]]))</f>
        <v/>
      </c>
      <c r="BC51" s="70" t="str">
        <f aca="false">IF(Tasks[[#This Row],[Task Name]]="","",IF(Tasks[[#This Row],[_IsSummary]],SUM(INDEX(Tasks[_LeafPV],Tasks[[#This Row],[_Row]]+1):INDEX(Tasks[_LeafPV],Tasks[[#This Row],[_Row]]+Tasks[[#This Row],[_Descendants]])),Tasks[[#This Row],[_LeafPV]]))</f>
        <v/>
      </c>
      <c r="BD51" s="70" t="str">
        <f aca="false">IF(Tasks[[#This Row],[Task Name]]="","",IF(Tasks[[#This Row],[_IsSummary]],SUM(INDEX(Tasks[_LeafAC],Tasks[[#This Row],[_Row]]+1):INDEX(Tasks[_LeafAC],Tasks[[#This Row],[_Row]]+Tasks[[#This Row],[_Descendants]])),Tasks[[#This Row],[_LeafAC]]))</f>
        <v/>
      </c>
      <c r="BE51" s="45" t="str">
        <f aca="false">IF(Tasks[[#This Row],[Task Name]]="","",MAX(1,N(Tasks[[#This Row],[Level]])))</f>
        <v/>
      </c>
      <c r="BF51" s="45" t="n">
        <f aca="false">ROW()-ROW(Tasks[[#Headers],[ID]])</f>
        <v>46</v>
      </c>
      <c r="BG51" s="45" t="n">
        <f aca="false">IF(OR(Tasks[[#This Row],[Task Name]]="",Tasks[[#This Row],[_Level]]&lt;=1),0,IFERROR(LOOKUP(2,1/(Tasks[[#Headers],[_Level]]:Tasks[[#This Row],[_Level]]=Tasks[[#This Row],[_Level]]-1),ROW(Tasks[[#Headers],[_Level]]:Tasks[[#This Row],[_Level]])),0))</f>
        <v>0</v>
      </c>
      <c r="BH51" s="45" t="n">
        <f aca="false">IFERROR(N(INDEX(Tasks[_Level],Tasks[[#This Row],[_Row]]+1)),0)</f>
        <v>0</v>
      </c>
      <c r="BI51" s="73" t="b">
        <f aca="false">AND(Tasks[[#This Row],[Task Name]]&lt;&gt;"",Tasks[[#This Row],[_NextLevel]]&gt;Tasks[[#This Row],[_Level]])</f>
        <v>0</v>
      </c>
      <c r="BJ51" s="45" t="n">
        <f aca="false">IF(Tasks[[#This Row],[_IsSummary]],COUNTIF(Tasks[WBS],Tasks[[#This Row],[WBS]]&amp;".*"),0)</f>
        <v>0</v>
      </c>
      <c r="BK51" s="45" t="n">
        <f aca="false">IF(AND(Tasks[[#This Row],[Task Name]]&lt;&gt;"",NOT(Tasks[[#This Row],[_IsSummary]])),1,0)</f>
        <v>0</v>
      </c>
      <c r="BL51" s="45" t="n">
        <f aca="false">IF(N(Tasks[[#This Row],[_Pred1UID]])=0,0,IFERROR(MATCH(Tasks[[#This Row],[_Pred1UID]],Tasks[UID],0),-1))</f>
        <v>0</v>
      </c>
      <c r="BM51" s="45" t="n">
        <f aca="false">IF(N(Tasks[[#This Row],[_Pred2UID]])=0,0,IFERROR(MATCH(Tasks[[#This Row],[_Pred2UID]],Tasks[UID],0),-1))</f>
        <v>0</v>
      </c>
      <c r="BN51" s="45" t="n">
        <f aca="false">IF(N(Tasks[[#This Row],[_Pred3UID]])=0,0,IFERROR(MATCH(Tasks[[#This Row],[_Pred3UID]],Tasks[UID],0),-1))</f>
        <v>0</v>
      </c>
      <c r="BO51" s="45" t="n">
        <f aca="false">IF(N(Tasks[[#This Row],[_Pred4UID]])=0,0,IFERROR(MATCH(Tasks[[#This Row],[_Pred4UID]],Tasks[UID],0),-1))</f>
        <v>0</v>
      </c>
      <c r="BP5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5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51" s="74" t="n">
        <f aca="false">IF(OR(Tasks[[#This Row],[_ConstraintCode]]=2,Tasks[[#This Row],[_ConstraintCode]]=3,Tasks[[#This Row],[_ConstraintCode]]=4,Tasks[[#This Row],[_ConstraintCode]]=6),Tasks[[#This Row],[_ConstraintStart]],0)</f>
        <v>0</v>
      </c>
      <c r="BS51" s="74" t="n">
        <f aca="false">IF(OR(Tasks[[#This Row],[_ConstraintCode]]=2,Tasks[[#This Row],[_ConstraintCode]]=3,Tasks[[#This Row],[_ConstraintCode]]=5,Tasks[[#This Row],[_ConstraintCode]]=7),Tasks[[#This Row],[_ConstraintStart]],2958465)</f>
        <v>2958465</v>
      </c>
      <c r="BT5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51" s="74" t="str">
        <f aca="false">IF(NOT(Tasks[[#This Row],[_IsLeaf]]=1),"",IF(N(Tasks[[#This Row],[Duration]])&lt;=0,Tasks[[#This Row],[_LeafCalcStart]],WORKDAY.INTL(Tasks[[#This Row],[_LeafCalcStart]],Tasks[[#This Row],[Duration]]-1,WorkWeek,Holidays)))</f>
        <v/>
      </c>
      <c r="BV5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5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51" s="45" t="str">
        <f aca="false">IF(Tasks[[#This Row],[Predecessors]]="","",TRIM(MID(SUBSTITUTE(SUBSTITUTE(SUBSTITUTE(UPPER(Tasks[[#This Row],[Predecessors]]),";",",")," ",""),",",REPT(" ",99)),1,99)))</f>
        <v/>
      </c>
      <c r="BY51" s="45" t="str">
        <f aca="false">IF(Tasks[[#This Row],[_Pred1Text]]="","",IFERROR(VALUE(LEFT(Tasks[[#This Row],[_Pred1Text]],MIN(FIND("F",Tasks[[#This Row],[_Pred1Text]]&amp;"F"),FIND("S",Tasks[[#This Row],[_Pred1Text]]&amp;"S"),FIND("+",Tasks[[#This Row],[_Pred1Text]]&amp;"+"),FIND("-",Tasks[[#This Row],[_Pred1Text]]&amp;"-"))-1)),""))</f>
        <v/>
      </c>
      <c r="BZ5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5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51" s="45" t="str">
        <f aca="false">IF(Tasks[[#This Row],[_Pred1Text]]="","",TRIM(MID(SUBSTITUTE(SUBSTITUTE(SUBSTITUTE(UPPER(Tasks[[#This Row],[Predecessors]]),";",",")," ",""),",",REPT(" ",99)),100,99)))</f>
        <v/>
      </c>
      <c r="CC51" s="45" t="str">
        <f aca="false">IF(Tasks[[#This Row],[_Pred2Text]]="","",IFERROR(VALUE(LEFT(Tasks[[#This Row],[_Pred2Text]],MIN(FIND("F",Tasks[[#This Row],[_Pred2Text]]&amp;"F"),FIND("S",Tasks[[#This Row],[_Pred2Text]]&amp;"S"),FIND("+",Tasks[[#This Row],[_Pred2Text]]&amp;"+"),FIND("-",Tasks[[#This Row],[_Pred2Text]]&amp;"-"))-1)),""))</f>
        <v/>
      </c>
      <c r="CD5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5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51" s="45" t="str">
        <f aca="false">IF(Tasks[[#This Row],[_Pred2Text]]="","",TRIM(MID(SUBSTITUTE(SUBSTITUTE(SUBSTITUTE(UPPER(Tasks[[#This Row],[Predecessors]]),";",",")," ",""),",",REPT(" ",99)),199,99)))</f>
        <v/>
      </c>
      <c r="CG51" s="45" t="str">
        <f aca="false">IF(Tasks[[#This Row],[_Pred3Text]]="","",IFERROR(VALUE(LEFT(Tasks[[#This Row],[_Pred3Text]],MIN(FIND("F",Tasks[[#This Row],[_Pred3Text]]&amp;"F"),FIND("S",Tasks[[#This Row],[_Pred3Text]]&amp;"S"),FIND("+",Tasks[[#This Row],[_Pred3Text]]&amp;"+"),FIND("-",Tasks[[#This Row],[_Pred3Text]]&amp;"-"))-1)),""))</f>
        <v/>
      </c>
      <c r="CH5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5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51" s="45" t="str">
        <f aca="false">IF(Tasks[[#This Row],[_Pred3Text]]="","",TRIM(MID(SUBSTITUTE(SUBSTITUTE(SUBSTITUTE(UPPER(Tasks[[#This Row],[Predecessors]]),";",",")," ",""),",",REPT(" ",99)),298,99)))</f>
        <v/>
      </c>
      <c r="CK51" s="45" t="str">
        <f aca="false">IF(Tasks[[#This Row],[_Pred4Text]]="","",IFERROR(VALUE(LEFT(Tasks[[#This Row],[_Pred4Text]],MIN(FIND("F",Tasks[[#This Row],[_Pred4Text]]&amp;"F"),FIND("S",Tasks[[#This Row],[_Pred4Text]]&amp;"S"),FIND("+",Tasks[[#This Row],[_Pred4Text]]&amp;"+"),FIND("-",Tasks[[#This Row],[_Pred4Text]]&amp;"-"))-1)),""))</f>
        <v/>
      </c>
      <c r="CL5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5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51" s="45" t="str">
        <f aca="false">IF(OR(Tasks[[#This Row],[Task Name]]="",Tasks[[#This Row],[Resources]]=""),"",TRIM(MID(SUBSTITUTE(Tasks[[#This Row],[Resources]],",",REPT(" ",99)),1,99)))</f>
        <v/>
      </c>
      <c r="CO51" s="45" t="str">
        <f aca="false">IF(Tasks[[#This Row],[_Res1Text]]="","",TRIM(MID(SUBSTITUTE(Tasks[[#This Row],[Resources]],",",REPT(" ",99)),100,99)))</f>
        <v/>
      </c>
      <c r="CP51" s="45" t="str">
        <f aca="false">IF(Tasks[[#This Row],[_Res2Text]]="","",TRIM(MID(SUBSTITUTE(Tasks[[#This Row],[Resources]],",",REPT(" ",99)),199,99)))</f>
        <v/>
      </c>
      <c r="CQ51" s="45" t="str">
        <f aca="false">IF(Tasks[[#This Row],[_Res3Text]]="","",TRIM(MID(SUBSTITUTE(Tasks[[#This Row],[Resources]],",",REPT(" ",99)),298,99)))</f>
        <v/>
      </c>
      <c r="CR5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5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1" s="45" t="n">
        <f aca="false">IF(NOT(Tasks[[#This Row],[_IsLeaf]]=1),0,(Tasks[[#This Row],[_Resource1]]&lt;&gt;"")+(Tasks[[#This Row],[_Res2]]&lt;&gt;"")+(Tasks[[#This Row],[_Res3]]&lt;&gt;"")+(Tasks[[#This Row],[_Res4]]&lt;&gt;""))</f>
        <v>0</v>
      </c>
      <c r="CU5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5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1" s="45" t="n">
        <f aca="false">IF(OR(NOT(Tasks[[#This Row],[_IsLeaf]]=1),Tasks[[#This Row],[_Res2]]=""),0,IF(ISNA(MATCH(Tasks[[#This Row],[_Res2]],res_Name,0)),0,N(Tasks[[#This Row],[Duration]])*HoursPerDay*IF(Tasks[[#This Row],[_Res2Units]]="",DefaultUnits,Tasks[[#This Row],[_Res2Units]])))</f>
        <v>0</v>
      </c>
      <c r="CX51" s="45" t="n">
        <f aca="false">IF(Tasks[[#This Row],[_Res2Work]]=0,0,Tasks[[#This Row],[_Res2Work]]*IFERROR(INDEX(res_Rate,MATCH(Tasks[[#This Row],[_Res2]],res_Name,0)),0))</f>
        <v>0</v>
      </c>
      <c r="CY51" s="45" t="n">
        <f aca="false">IF(AND(AND(Tasks[[#This Row],[_IsLeaf]]=1,Tasks[[#This Row],[_LeafTotalWork]]&gt;0),Tasks[[#This Row],[_Res2Work]]&gt;0),Tasks[[#This Row],[_Res2Work]]/(Tasks[[#This Row],[_FinishWorkday]]-Tasks[[#This Row],[_StartWorkday]]+1),0)</f>
        <v>0</v>
      </c>
      <c r="CZ51" s="45" t="n">
        <f aca="false">Tasks[[#This Row],[_Res2WorkPerWD]]*MAX(0,Tasks[[#This Row],[_StartWorkday]]-1)</f>
        <v>0</v>
      </c>
      <c r="DA51" s="45" t="n">
        <f aca="false">Tasks[[#This Row],[_Res2Work]]*Tasks[[#This Row],[_LeafProgress]]</f>
        <v>0</v>
      </c>
      <c r="DB51" s="45" t="n">
        <f aca="false">IF(Tasks[[#This Row],[_LeafTotalCost]]=0,0,Tasks[[#This Row],[_LeafAC]]*Tasks[[#This Row],[_Res2Cost]]/Tasks[[#This Row],[_LeafTotalCost]])</f>
        <v>0</v>
      </c>
      <c r="DC5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5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51" s="45" t="n">
        <f aca="false">IF(OR(NOT(Tasks[[#This Row],[_IsLeaf]]=1),Tasks[[#This Row],[_Res3]]=""),0,IF(ISNA(MATCH(Tasks[[#This Row],[_Res3]],res_Name,0)),0,N(Tasks[[#This Row],[Duration]])*HoursPerDay*IF(Tasks[[#This Row],[_Res3Units]]="",DefaultUnits,Tasks[[#This Row],[_Res3Units]])))</f>
        <v>0</v>
      </c>
      <c r="DF51" s="45" t="n">
        <f aca="false">IF(Tasks[[#This Row],[_Res3Work]]=0,0,Tasks[[#This Row],[_Res3Work]]*IFERROR(INDEX(res_Rate,MATCH(Tasks[[#This Row],[_Res3]],res_Name,0)),0))</f>
        <v>0</v>
      </c>
      <c r="DG51" s="45" t="n">
        <f aca="false">IF(AND(AND(Tasks[[#This Row],[_IsLeaf]]=1,Tasks[[#This Row],[_LeafTotalWork]]&gt;0),Tasks[[#This Row],[_Res3Work]]&gt;0),Tasks[[#This Row],[_Res3Work]]/(Tasks[[#This Row],[_FinishWorkday]]-Tasks[[#This Row],[_StartWorkday]]+1),0)</f>
        <v>0</v>
      </c>
      <c r="DH51" s="45" t="n">
        <f aca="false">Tasks[[#This Row],[_Res3WorkPerWD]]*MAX(0,Tasks[[#This Row],[_StartWorkday]]-1)</f>
        <v>0</v>
      </c>
      <c r="DI51" s="45" t="n">
        <f aca="false">Tasks[[#This Row],[_Res3Work]]*Tasks[[#This Row],[_LeafProgress]]</f>
        <v>0</v>
      </c>
      <c r="DJ51" s="45" t="n">
        <f aca="false">IF(Tasks[[#This Row],[_LeafTotalCost]]=0,0,Tasks[[#This Row],[_LeafAC]]*Tasks[[#This Row],[_Res3Cost]]/Tasks[[#This Row],[_LeafTotalCost]])</f>
        <v>0</v>
      </c>
      <c r="DK5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5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51" s="45" t="n">
        <f aca="false">IF(OR(NOT(Tasks[[#This Row],[_IsLeaf]]=1),Tasks[[#This Row],[_Res4]]=""),0,IF(ISNA(MATCH(Tasks[[#This Row],[_Res4]],res_Name,0)),0,N(Tasks[[#This Row],[Duration]])*HoursPerDay*IF(Tasks[[#This Row],[_Res4Units]]="",DefaultUnits,Tasks[[#This Row],[_Res4Units]])))</f>
        <v>0</v>
      </c>
      <c r="DN51" s="45" t="n">
        <f aca="false">IF(Tasks[[#This Row],[_Res4Work]]=0,0,Tasks[[#This Row],[_Res4Work]]*IFERROR(INDEX(res_Rate,MATCH(Tasks[[#This Row],[_Res4]],res_Name,0)),0))</f>
        <v>0</v>
      </c>
      <c r="DO51" s="45" t="n">
        <f aca="false">IF(AND(AND(Tasks[[#This Row],[_IsLeaf]]=1,Tasks[[#This Row],[_LeafTotalWork]]&gt;0),Tasks[[#This Row],[_Res4Work]]&gt;0),Tasks[[#This Row],[_Res4Work]]/(Tasks[[#This Row],[_FinishWorkday]]-Tasks[[#This Row],[_StartWorkday]]+1),0)</f>
        <v>0</v>
      </c>
      <c r="DP51" s="45" t="n">
        <f aca="false">Tasks[[#This Row],[_Res4WorkPerWD]]*MAX(0,Tasks[[#This Row],[_StartWorkday]]-1)</f>
        <v>0</v>
      </c>
      <c r="DQ51" s="45" t="n">
        <f aca="false">Tasks[[#This Row],[_Res4Work]]*Tasks[[#This Row],[_LeafProgress]]</f>
        <v>0</v>
      </c>
      <c r="DR51" s="45" t="n">
        <f aca="false">IF(Tasks[[#This Row],[_LeafTotalCost]]=0,0,Tasks[[#This Row],[_LeafAC]]*Tasks[[#This Row],[_Res4Cost]]/Tasks[[#This Row],[_LeafTotalCost]])</f>
        <v>0</v>
      </c>
      <c r="DS51" s="45" t="n">
        <f aca="false">IF(ISNUMBER(Tasks[[#This Row],[% Complete]]),Tasks[[#This Row],[% Complete]],IF(Tasks[[#This Row],[Stage]]="",0,IFERROR(INDEX(stg_Pct,MATCH(Tasks[[#This Row],[Stage]],stg_Name,0)),0)))</f>
        <v>0</v>
      </c>
      <c r="DT51" s="45" t="n">
        <f aca="false">IF(NOT(Tasks[[#This Row],[_IsLeaf]]=1),0,IF(N(Tasks[[#This Row],[Actual Finish]])&gt;0,1,MIN(1,Tasks[[#This Row],[_Pct]])))</f>
        <v>0</v>
      </c>
      <c r="DU51" s="45" t="n">
        <f aca="false">IF(OR(NOT(Tasks[[#This Row],[_IsLeaf]]=1),Tasks[[#This Row],[_Resource1]]=""),0,IF(ISNA(MATCH(Tasks[[#This Row],[_Resource1]],res_Name,0)),0,N(Tasks[[#This Row],[Duration]])*HoursPerDay*IF(Tasks[[#This Row],[_Units1]]="",DefaultUnits,Tasks[[#This Row],[_Units1]])))</f>
        <v>0</v>
      </c>
      <c r="DV51" s="45" t="n">
        <f aca="false">IF(Tasks[[#This Row],[_LeafWork]]=0,0,Tasks[[#This Row],[_LeafWork]]*IFERROR(INDEX(res_Rate,MATCH(Tasks[[#This Row],[_Resource1]],res_Name,0)),0))</f>
        <v>0</v>
      </c>
      <c r="DW51" s="45" t="n">
        <f aca="false">Tasks[[#This Row],[_LeafWork]]+Tasks[[#This Row],[_Res2Work]]+Tasks[[#This Row],[_Res3Work]]+Tasks[[#This Row],[_Res4Work]]</f>
        <v>0</v>
      </c>
      <c r="DX51" s="45" t="n">
        <f aca="false">Tasks[[#This Row],[_LeafCost]]+Tasks[[#This Row],[_Res2Cost]]+Tasks[[#This Row],[_Res3Cost]]+Tasks[[#This Row],[_Res4Cost]]</f>
        <v>0</v>
      </c>
      <c r="DY51" s="45" t="n">
        <f aca="false">IF(Tasks[[#This Row],[_LeafTotalCost]]=0,Tasks[[#This Row],[_LeafAC]],Tasks[[#This Row],[_LeafAC]]*Tasks[[#This Row],[_LeafCost]]/Tasks[[#This Row],[_LeafTotalCost]])</f>
        <v>0</v>
      </c>
      <c r="DZ5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5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5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5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5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5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5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5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51" s="45" t="n">
        <f aca="false">IF(NOT(Tasks[[#This Row],[_IsLeaf]]=1),0,MAX(_xlfn.MAXIFS(Tasks[_Row],Tasks[_Pred1UID],Tasks[[#This Row],[UID]]),_xlfn.MAXIFS(Tasks[_Row],Tasks[_Pred2UID],Tasks[[#This Row],[UID]]),_xlfn.MAXIFS(Tasks[_Row],Tasks[_Pred3UID],Tasks[[#This Row],[UID]]),_xlfn.MAXIFS(Tasks[_Row],Tasks[_Pred4UID],Tasks[[#This Row],[UID]])))</f>
        <v>0</v>
      </c>
      <c r="EI5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5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51" s="74" t="str">
        <f aca="false">IF(NOT(Tasks[[#This Row],[_IsLeaf]]=1),"",IF(N(Tasks[[#This Row],[Duration]])&lt;=0,Tasks[[#This Row],[_LeafLateFinish]],WORKDAY.INTL(Tasks[[#This Row],[_LeafLateFinish]],-(Tasks[[#This Row],[Duration]]-1),WorkWeek,Holidays)))</f>
        <v/>
      </c>
      <c r="EL5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51" s="73" t="b">
        <f aca="false">AND(Tasks[[#This Row],[_IsLeaf]]=1,Tasks[[#This Row],[_LeafProgress]]&lt;1,N(Tasks[[#This Row],[_LeafTotalSlack]])&lt;=CriticalSlackDays)</f>
        <v>0</v>
      </c>
      <c r="EN51" s="45" t="n">
        <f aca="false">IF(AND(Tasks[[#This Row],[_IsLeaf]]=1,Tasks[[#This Row],[_ConstraintCode]]=1,Tasks[[#This Row],[Mode]]&lt;&gt;"Manual",N(Tasks[[#This Row],[Actual Start]])=0),MAX(0,N(Tasks[[#This Row],[Free Slack]])),0)</f>
        <v>0</v>
      </c>
      <c r="EO51" s="74" t="str">
        <f aca="false">IF(NOT(Tasks[[#This Row],[_IsLeaf]]=1),"",IF(Tasks[[#This Row],[_AlapShift]]=0,Tasks[[#This Row],[_LeafCalcStart]],WORKDAY.INTL(Tasks[[#This Row],[_LeafCalcStart]],Tasks[[#This Row],[_AlapShift]],WorkWeek,Holidays)))</f>
        <v/>
      </c>
      <c r="EP51" s="74" t="str">
        <f aca="false">IF(NOT(Tasks[[#This Row],[_IsLeaf]]=1),"",IF(Tasks[[#This Row],[_AlapShift]]=0,Tasks[[#This Row],[_LeafCalcFinish]],WORKDAY.INTL(Tasks[[#This Row],[_LeafCalcFinish]],Tasks[[#This Row],[_AlapShift]],WorkWeek,Holidays)))</f>
        <v/>
      </c>
      <c r="EQ51" s="74" t="str">
        <f aca="false">IF(NOT(Tasks[[#This Row],[_IsLeaf]]=1),"",IF(Tasks[[#This Row],[_AlapShift]]=0,Tasks[[#This Row],[_LeafFcstStart]],WORKDAY.INTL(Tasks[[#This Row],[_LeafFcstStart]],Tasks[[#This Row],[_AlapShift]],WorkWeek,Holidays)))</f>
        <v/>
      </c>
      <c r="ER51" s="74" t="str">
        <f aca="false">IF(NOT(Tasks[[#This Row],[_IsLeaf]]=1),"",IF(Tasks[[#This Row],[_AlapShift]]=0,Tasks[[#This Row],[_LeafFcstFinish]],WORKDAY.INTL(Tasks[[#This Row],[_LeafFcstFinish]],Tasks[[#This Row],[_AlapShift]],WorkWeek,Holidays)))</f>
        <v/>
      </c>
      <c r="ES51" s="74" t="str">
        <f aca="false">IF(Tasks[[#This Row],[Task Name]]="","",IF(Tasks[[#This Row],[_IsSummary]],MIN(INDEX(Tasks[_ShownCalcStart],Tasks[[#This Row],[_Row]]+1):INDEX(Tasks[_ShownCalcStart],Tasks[[#This Row],[_Row]]+Tasks[[#This Row],[_Descendants]])),Tasks[[#This Row],[_ShownCalcStart]]))</f>
        <v/>
      </c>
      <c r="ET51" s="74" t="str">
        <f aca="false">IF(Tasks[[#This Row],[Task Name]]="","",IF(Tasks[[#This Row],[_IsSummary]],MAX(INDEX(Tasks[_ShownCalcFinish],Tasks[[#This Row],[_Row]]+1):INDEX(Tasks[_ShownCalcFinish],Tasks[[#This Row],[_Row]]+Tasks[[#This Row],[_Descendants]])),Tasks[[#This Row],[_ShownCalcFinish]]))</f>
        <v/>
      </c>
      <c r="EU5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5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5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5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5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5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5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5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5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5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5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5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51" s="45" t="n">
        <f aca="false">IF(AND(Tasks[[#This Row],[_IsLeaf]]=1,Tasks[[#This Row],[_LeafTotalWork]]&gt;0),NETWORKDAYS.INTL(ProjectStart,Tasks[[#This Row],[_ShownFcstStart]],WorkWeek,Holidays),0)</f>
        <v>0</v>
      </c>
      <c r="FH51" s="45" t="n">
        <f aca="false">IF(AND(Tasks[[#This Row],[_IsLeaf]]=1,Tasks[[#This Row],[_LeafTotalWork]]&gt;0),MAX(Tasks[[#This Row],[_StartWorkday]],NETWORKDAYS.INTL(ProjectStart,Tasks[[#This Row],[_ShownFcstFinish]],WorkWeek,Holidays)),0)</f>
        <v>0</v>
      </c>
      <c r="FI51" s="45" t="n">
        <f aca="false">IF(AND(Tasks[[#This Row],[_IsLeaf]]=1,Tasks[[#This Row],[_LeafTotalWork]]&gt;0),Tasks[[#This Row],[_LeafWork]]/(Tasks[[#This Row],[_FinishWorkday]]-Tasks[[#This Row],[_StartWorkday]]+1),0)</f>
        <v>0</v>
      </c>
      <c r="FJ51" s="45" t="n">
        <f aca="false">Tasks[[#This Row],[_WorkPerWorkday]]*(Tasks[[#This Row],[_StartWorkday]]-1)</f>
        <v>-0</v>
      </c>
      <c r="FK51" s="45" t="n">
        <f aca="false">IF(Tasks[[#This Row],[_IsLeaf]]=1,MAX(N(Tasks[[#This Row],[Duration]]),0.1),0)</f>
        <v>0</v>
      </c>
      <c r="FL51" s="45" t="n">
        <f aca="false">Tasks[[#This Row],[_WeightDur]]*Tasks[[#This Row],[_LeafProgress]]</f>
        <v>0</v>
      </c>
      <c r="FM5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51" s="45" t="str">
        <f aca="false">IF(AND(Tasks[[#This Row],[_IsLeaf]]=1,N(Tasks[[#This Row],[Duration]])=0,Tasks[[#This Row],[_LeafProgress]]&lt;1),Tasks[[#This Row],[_ShownFcstFinish]]+Tasks[[#This Row],[_Row]]/100000,"")</f>
        <v/>
      </c>
      <c r="FO5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51" s="45" t="n">
        <f aca="false">IF(NOT(Tasks[[#This Row],[_IsLeaf]]=1),0,IF(Tasks[[#This Row],[Baseline Cost]]="",Tasks[[#This Row],[_LeafTotalCost]],N(Tasks[[#This Row],[Baseline Cost]])))</f>
        <v>0</v>
      </c>
      <c r="FQ51" s="45" t="n">
        <f aca="false">Tasks[[#This Row],[_LeafBudget]]*Tasks[[#This Row],[_PlannedPct]]</f>
        <v>0</v>
      </c>
      <c r="FR51" s="45" t="n">
        <f aca="false">Tasks[[#This Row],[_LeafBudget]]*Tasks[[#This Row],[_LeafProgress]]</f>
        <v>0</v>
      </c>
      <c r="FS51" s="45" t="n">
        <f aca="false">IF(NOT(Tasks[[#This Row],[_IsLeaf]]=1),0,IF(Tasks[[#This Row],[Actual Cost]]="",Tasks[[#This Row],[_LeafTotalCost]]*Tasks[[#This Row],[_LeafProgress]],N(Tasks[[#This Row],[Actual Cost]])))</f>
        <v>0</v>
      </c>
      <c r="FT51" s="45" t="str">
        <f aca="false">IF(Tasks[[#This Row],[Task Name]]="","",LEFT(Tasks[[#This Row],[WBS]],FIND(".",Tasks[[#This Row],[WBS]]&amp;".")-1))</f>
        <v/>
      </c>
      <c r="FU51" s="45" t="str">
        <f aca="false">IF(AND(Tasks[[#This Row],[Task Name]]&lt;&gt;"",Tasks[[#This Row],[_Level]]=1),Tasks[[#This Row],[_Row]],"")</f>
        <v/>
      </c>
      <c r="FV51" s="45" t="str">
        <f aca="false">IF(AND(Tasks[[#This Row],[_IsLeaf]]=1,N(Tasks[[#This Row],[Duration]])=0),Tasks[[#This Row],[Planned Finish]]+Tasks[[#This Row],[_Row]]/100000,"")</f>
        <v/>
      </c>
      <c r="FW51" s="45" t="str">
        <f aca="false">IF(AND(Tasks[[#This Row],[_IsLeaf]]=1,Tasks[[#This Row],[_LeafProgress]]&lt;1,OR(N(Tasks[[#This Row],[Finish Var]])&gt;0,Tasks[[#This Row],[Status]]="Late Start")),MAX(0,Tasks[[#This Row],[Finish Var]])+1-Tasks[[#This Row],[_Row]]/1000000,"")</f>
        <v/>
      </c>
      <c r="FX51" s="45" t="str">
        <f aca="false">IF(AND(Tasks[[#This Row],[_IsLeaf]]=1,N(Tasks[[#This Row],[Actual Start]])=0,Tasks[[#This Row],[_ShownFcstStart]]&gt;=StatusDate,Tasks[[#This Row],[_ShownFcstStart]]&lt;=LookaheadEnd),Tasks[[#This Row],[_ShownFcstStart]]+Tasks[[#This Row],[_Row]]/100000,"")</f>
        <v/>
      </c>
      <c r="FY51" s="45" t="str">
        <f aca="false">IF(AND(Tasks[[#This Row],[_IsLeaf]]=1,Tasks[[#This Row],[_LeafProgress]]&lt;1,Tasks[[#This Row],[_ShownFcstFinish]]&gt;=StatusDate,Tasks[[#This Row],[_ShownFcstFinish]]&lt;=LookaheadEnd),Tasks[[#This Row],[_ShownFcstFinish]]+Tasks[[#This Row],[_Row]]/100000,"")</f>
        <v/>
      </c>
      <c r="FZ51" s="45" t="str">
        <f aca="false">IF(Tasks[[#This Row],[_LeafCritical]],Tasks[[#This Row],[_ShownFcstStart]]+Tasks[[#This Row],[_Row]]/100000,"")</f>
        <v/>
      </c>
      <c r="GA51" s="45" t="n">
        <f aca="false">Tasks[[#This Row],[_LeafWork]]*Tasks[[#This Row],[_LeafProgress]]</f>
        <v>0</v>
      </c>
      <c r="GB51" s="74" t="str">
        <f aca="false">IF(AND(Tasks[[#This Row],[_IsLeaf]]=1,Tasks[[#This Row],[_LeafProgress]]&gt;=1),IF(N(Tasks[[#This Row],[Actual Finish]])&gt;0,Tasks[[#This Row],[Actual Finish]],Tasks[[#This Row],[_ShownFcstFinish]]),"")</f>
        <v/>
      </c>
    </row>
    <row r="52" customFormat="false" ht="15" hidden="false" customHeight="false" outlineLevel="0" collapsed="false">
      <c r="A52" s="67" t="str">
        <f aca="false">IF(Tasks[[#This Row],[Task Name]]="","",COUNTA(Tasks[[#Headers],[Task Name]]:Tasks[[#This Row],[Task Name]])-1)</f>
        <v/>
      </c>
      <c r="B52" s="21" t="n">
        <v>47</v>
      </c>
      <c r="C5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21"/>
      <c r="E52" s="22"/>
      <c r="F52" s="21"/>
      <c r="G52" s="22"/>
      <c r="H52" s="22"/>
      <c r="I52" s="22"/>
      <c r="J52" s="7"/>
      <c r="K52" s="7"/>
      <c r="L52" s="22"/>
      <c r="M52" s="58" t="str">
        <f aca="false">IF(Tasks[[#This Row],[Task Name]]="","",IF(Tasks[[#This Row],[_IsSummary]],MIN(INDEX(Tasks[_ShownFcstStart],Tasks[[#This Row],[_Row]]+1):INDEX(Tasks[_ShownFcstStart],Tasks[[#This Row],[_Row]]+Tasks[[#This Row],[_Descendants]])),Tasks[[#This Row],[_ShownFcstStart]]))</f>
        <v/>
      </c>
      <c r="N52" s="58" t="str">
        <f aca="false">IF(Tasks[[#This Row],[Task Name]]="","",IF(Tasks[[#This Row],[_IsSummary]],MAX(INDEX(Tasks[_ShownFcstFinish],Tasks[[#This Row],[_Row]]+1):INDEX(Tasks[_ShownFcstFinish],Tasks[[#This Row],[_Row]]+Tasks[[#This Row],[_Descendants]])),Tasks[[#This Row],[_ShownFcstFinish]]))</f>
        <v/>
      </c>
      <c r="O52" s="20" t="str">
        <f aca="false">IF(Tasks[[#This Row],[Task Name]]="","",IF(Tasks[[#This Row],[Progress]]&gt;=1,"Complete",IF(OR(N(Tasks[[#This Row],[Actual Start]])&gt;0,Tasks[[#This Row],[Progress]]&gt;0),IF(Tasks[[#This Row],[Finish Var]]&gt;0,"Behind","In Progress"),IF(Tasks[[#This Row],[Planned Start]]&lt;StatusDate,"Late Start","Not Started"))))</f>
        <v/>
      </c>
      <c r="P52" s="20" t="str">
        <f aca="false">IF(Tasks[[#This Row],[Task Name]]="","",IF(IF(Tasks[[#This Row],[_IsSummary]],COUNTIF(INDEX(Tasks[_LeafCritical],Tasks[[#This Row],[_Row]]+1):INDEX(Tasks[_LeafCritical],Tasks[[#This Row],[_Row]]+Tasks[[#This Row],[_Descendants]]),TRUE())&gt;0,Tasks[[#This Row],[_LeafCritical]]),"Yes",""))</f>
        <v/>
      </c>
      <c r="Q5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52" s="67" t="str">
        <f aca="false">IF(Tasks[[#This Row],[Task Name]]="","",IF(Tasks[[#This Row],[_Level]]&lt;=OutlineShowLevel,"Yes","No"))</f>
        <v/>
      </c>
      <c r="S52" s="7"/>
      <c r="T52" s="21"/>
      <c r="U52" s="22"/>
      <c r="V52" s="7"/>
      <c r="W52" s="67" t="str">
        <f aca="false">IF(Tasks[[#This Row],[Task Name]]="","",IF(Tasks[[#This Row],[Finish]]&gt;=Tasks[[#This Row],[Planned Finish]],NETWORKDAYS.INTL(Tasks[[#This Row],[Planned Finish]],Tasks[[#This Row],[Finish]],WorkWeek,Holidays)-1,1-NETWORKDAYS.INTL(Tasks[[#This Row],[Finish]],Tasks[[#This Row],[Planned Finish]],WorkWeek,Holidays)))</f>
        <v/>
      </c>
      <c r="X52" s="58" t="str">
        <f aca="false">IF(Tasks[[#This Row],[Task Name]]="","",IF(N(Tasks[[#This Row],[Baseline Start]])&gt;0,Tasks[[#This Row],[Baseline Start]],Tasks[[#This Row],[_CalcStart]]))</f>
        <v/>
      </c>
      <c r="Y52" s="58" t="str">
        <f aca="false">IF(Tasks[[#This Row],[Task Name]]="","",IF(N(Tasks[[#This Row],[Baseline Finish]])&gt;0,Tasks[[#This Row],[Baseline Finish]],Tasks[[#This Row],[_CalcFinish]]))</f>
        <v/>
      </c>
      <c r="Z52" s="67" t="str">
        <f aca="false">IF(Tasks[[#This Row],[Task Name]]="","",IF(Tasks[[#This Row],[Start]]&gt;=Tasks[[#This Row],[Planned Start]],NETWORKDAYS.INTL(Tasks[[#This Row],[Planned Start]],Tasks[[#This Row],[Start]],WorkWeek,Holidays)-1,1-NETWORKDAYS.INTL(Tasks[[#This Row],[Start]],Tasks[[#This Row],[Planned Start]],WorkWeek,Holidays)))</f>
        <v/>
      </c>
      <c r="AA52" s="58" t="str">
        <f aca="false">IF(Tasks[[#This Row],[Task Name]]="","",IF(Tasks[[#This Row],[_IsSummary]],MIN(INDEX(Tasks[_LeafLateStart],Tasks[[#This Row],[_Row]]+1):INDEX(Tasks[_LeafLateStart],Tasks[[#This Row],[_Row]]+Tasks[[#This Row],[_Descendants]])),Tasks[[#This Row],[_LeafLateStart]]))</f>
        <v/>
      </c>
      <c r="AB52" s="58" t="str">
        <f aca="false">IF(Tasks[[#This Row],[Task Name]]="","",IF(Tasks[[#This Row],[_IsSummary]],MAX(INDEX(Tasks[_LeafLateFinish],Tasks[[#This Row],[_Row]]+1):INDEX(Tasks[_LeafLateFinish],Tasks[[#This Row],[_Row]]+Tasks[[#This Row],[_Descendants]])),Tasks[[#This Row],[_LeafLateFinish]]))</f>
        <v/>
      </c>
      <c r="AC52" s="67" t="str">
        <f aca="false">IF(Tasks[[#This Row],[Task Name]]="","",IF(Tasks[[#This Row],[_IsSummary]],MIN(INDEX(Tasks[_LeafTotalSlack],Tasks[[#This Row],[_Row]]+1):INDEX(Tasks[_LeafTotalSlack],Tasks[[#This Row],[_Row]]+Tasks[[#This Row],[_Descendants]])),Tasks[[#This Row],[_LeafTotalSlack]]))</f>
        <v/>
      </c>
      <c r="AD5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5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5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52" s="60"/>
      <c r="AH5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5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52" s="69" t="str">
        <f aca="false">IF(Tasks[[#This Row],[Task Name]]="","",IF(Tasks[[#This Row],[_IsSummary]],SUM(INDEX(Tasks[_LeafTotalWork],Tasks[[#This Row],[_Row]]+1):INDEX(Tasks[_LeafTotalWork],Tasks[[#This Row],[_Row]]+Tasks[[#This Row],[_Descendants]])),Tasks[[#This Row],[_LeafTotalWork]]))</f>
        <v/>
      </c>
      <c r="AK5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52" s="70" t="str">
        <f aca="false">IF(Tasks[[#This Row],[Task Name]]="","",IF(Tasks[[#This Row],[_IsSummary]],SUM(INDEX(Tasks[_LeafTotalCost],Tasks[[#This Row],[_Row]]+1):INDEX(Tasks[_LeafTotalCost],Tasks[[#This Row],[_Row]]+Tasks[[#This Row],[_Descendants]])),Tasks[[#This Row],[_LeafTotalCost]]))</f>
        <v/>
      </c>
      <c r="AM52" s="71"/>
      <c r="AN52" s="20" t="str">
        <f aca="false">IF(OR(Tasks[[#This Row],[Task Name]]="",Tasks[[#This Row],[Baseline Duration]]=""),"",Tasks[[#This Row],[BL Source Duration]]-N(Tasks[[#This Row],[Baseline Duration]]))</f>
        <v/>
      </c>
      <c r="AO52" s="69" t="str">
        <f aca="false">IF(OR(Tasks[[#This Row],[Task Name]]="",Tasks[[#This Row],[Baseline Work]]=""),"",Tasks[[#This Row],[Work]]-N(Tasks[[#This Row],[Baseline Work]]))</f>
        <v/>
      </c>
      <c r="AP52" s="70" t="str">
        <f aca="false">IF(OR(Tasks[[#This Row],[Task Name]]="",Tasks[[#This Row],[Baseline Cost]]=""),"",Tasks[[#This Row],[Cost]]-N(Tasks[[#This Row],[Baseline Cost]]))</f>
        <v/>
      </c>
      <c r="AQ52" s="58" t="str">
        <f aca="false">IF(Tasks[[#This Row],[Task Name]]="","",Tasks[[#This Row],[Start]])</f>
        <v/>
      </c>
      <c r="AR52" s="58" t="str">
        <f aca="false">IF(Tasks[[#This Row],[Task Name]]="","",Tasks[[#This Row],[Finish]])</f>
        <v/>
      </c>
      <c r="AS52" s="67" t="str">
        <f aca="false">IF(Tasks[[#This Row],[Task Name]]="","",IF(Tasks[[#This Row],[_IsSummary]],NETWORKDAYS.INTL(Tasks[[#This Row],[Start]],Tasks[[#This Row],[Finish]],WorkWeek,Holidays),N(Tasks[[#This Row],[Duration]])))</f>
        <v/>
      </c>
      <c r="AT52" s="69" t="str">
        <f aca="false">IF(Tasks[[#This Row],[Task Name]]="","",Tasks[[#This Row],[Work]])</f>
        <v/>
      </c>
      <c r="AU52" s="70" t="str">
        <f aca="false">IF(Tasks[[#This Row],[Task Name]]="","",Tasks[[#This Row],[Cost]])</f>
        <v/>
      </c>
      <c r="AV52" s="7"/>
      <c r="AW52" s="7"/>
      <c r="AX52" s="21"/>
      <c r="AY52" s="72"/>
      <c r="AZ52" s="71"/>
      <c r="BA52" s="70" t="str">
        <f aca="false">IF(Tasks[[#This Row],[Task Name]]="","",IF(Tasks[[#This Row],[_IsSummary]],SUM(INDEX(Tasks[_LeafEV],Tasks[[#This Row],[_Row]]+1):INDEX(Tasks[_LeafEV],Tasks[[#This Row],[_Row]]+Tasks[[#This Row],[_Descendants]])),Tasks[[#This Row],[_LeafEV]]))</f>
        <v/>
      </c>
      <c r="BB52" s="70" t="str">
        <f aca="false">IF(Tasks[[#This Row],[Task Name]]="","",IF(Tasks[[#This Row],[_IsSummary]],SUM(INDEX(Tasks[_LeafBudget],Tasks[[#This Row],[_Row]]+1):INDEX(Tasks[_LeafBudget],Tasks[[#This Row],[_Row]]+Tasks[[#This Row],[_Descendants]])),Tasks[[#This Row],[_LeafBudget]]))</f>
        <v/>
      </c>
      <c r="BC52" s="70" t="str">
        <f aca="false">IF(Tasks[[#This Row],[Task Name]]="","",IF(Tasks[[#This Row],[_IsSummary]],SUM(INDEX(Tasks[_LeafPV],Tasks[[#This Row],[_Row]]+1):INDEX(Tasks[_LeafPV],Tasks[[#This Row],[_Row]]+Tasks[[#This Row],[_Descendants]])),Tasks[[#This Row],[_LeafPV]]))</f>
        <v/>
      </c>
      <c r="BD52" s="70" t="str">
        <f aca="false">IF(Tasks[[#This Row],[Task Name]]="","",IF(Tasks[[#This Row],[_IsSummary]],SUM(INDEX(Tasks[_LeafAC],Tasks[[#This Row],[_Row]]+1):INDEX(Tasks[_LeafAC],Tasks[[#This Row],[_Row]]+Tasks[[#This Row],[_Descendants]])),Tasks[[#This Row],[_LeafAC]]))</f>
        <v/>
      </c>
      <c r="BE52" s="45" t="str">
        <f aca="false">IF(Tasks[[#This Row],[Task Name]]="","",MAX(1,N(Tasks[[#This Row],[Level]])))</f>
        <v/>
      </c>
      <c r="BF52" s="45" t="n">
        <f aca="false">ROW()-ROW(Tasks[[#Headers],[ID]])</f>
        <v>47</v>
      </c>
      <c r="BG52" s="45" t="n">
        <f aca="false">IF(OR(Tasks[[#This Row],[Task Name]]="",Tasks[[#This Row],[_Level]]&lt;=1),0,IFERROR(LOOKUP(2,1/(Tasks[[#Headers],[_Level]]:Tasks[[#This Row],[_Level]]=Tasks[[#This Row],[_Level]]-1),ROW(Tasks[[#Headers],[_Level]]:Tasks[[#This Row],[_Level]])),0))</f>
        <v>0</v>
      </c>
      <c r="BH52" s="45" t="n">
        <f aca="false">IFERROR(N(INDEX(Tasks[_Level],Tasks[[#This Row],[_Row]]+1)),0)</f>
        <v>0</v>
      </c>
      <c r="BI52" s="73" t="b">
        <f aca="false">AND(Tasks[[#This Row],[Task Name]]&lt;&gt;"",Tasks[[#This Row],[_NextLevel]]&gt;Tasks[[#This Row],[_Level]])</f>
        <v>0</v>
      </c>
      <c r="BJ52" s="45" t="n">
        <f aca="false">IF(Tasks[[#This Row],[_IsSummary]],COUNTIF(Tasks[WBS],Tasks[[#This Row],[WBS]]&amp;".*"),0)</f>
        <v>0</v>
      </c>
      <c r="BK52" s="45" t="n">
        <f aca="false">IF(AND(Tasks[[#This Row],[Task Name]]&lt;&gt;"",NOT(Tasks[[#This Row],[_IsSummary]])),1,0)</f>
        <v>0</v>
      </c>
      <c r="BL52" s="45" t="n">
        <f aca="false">IF(N(Tasks[[#This Row],[_Pred1UID]])=0,0,IFERROR(MATCH(Tasks[[#This Row],[_Pred1UID]],Tasks[UID],0),-1))</f>
        <v>0</v>
      </c>
      <c r="BM52" s="45" t="n">
        <f aca="false">IF(N(Tasks[[#This Row],[_Pred2UID]])=0,0,IFERROR(MATCH(Tasks[[#This Row],[_Pred2UID]],Tasks[UID],0),-1))</f>
        <v>0</v>
      </c>
      <c r="BN52" s="45" t="n">
        <f aca="false">IF(N(Tasks[[#This Row],[_Pred3UID]])=0,0,IFERROR(MATCH(Tasks[[#This Row],[_Pred3UID]],Tasks[UID],0),-1))</f>
        <v>0</v>
      </c>
      <c r="BO52" s="45" t="n">
        <f aca="false">IF(N(Tasks[[#This Row],[_Pred4UID]])=0,0,IFERROR(MATCH(Tasks[[#This Row],[_Pred4UID]],Tasks[UID],0),-1))</f>
        <v>0</v>
      </c>
      <c r="BP5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5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52" s="74" t="n">
        <f aca="false">IF(OR(Tasks[[#This Row],[_ConstraintCode]]=2,Tasks[[#This Row],[_ConstraintCode]]=3,Tasks[[#This Row],[_ConstraintCode]]=4,Tasks[[#This Row],[_ConstraintCode]]=6),Tasks[[#This Row],[_ConstraintStart]],0)</f>
        <v>0</v>
      </c>
      <c r="BS52" s="74" t="n">
        <f aca="false">IF(OR(Tasks[[#This Row],[_ConstraintCode]]=2,Tasks[[#This Row],[_ConstraintCode]]=3,Tasks[[#This Row],[_ConstraintCode]]=5,Tasks[[#This Row],[_ConstraintCode]]=7),Tasks[[#This Row],[_ConstraintStart]],2958465)</f>
        <v>2958465</v>
      </c>
      <c r="BT5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52" s="74" t="str">
        <f aca="false">IF(NOT(Tasks[[#This Row],[_IsLeaf]]=1),"",IF(N(Tasks[[#This Row],[Duration]])&lt;=0,Tasks[[#This Row],[_LeafCalcStart]],WORKDAY.INTL(Tasks[[#This Row],[_LeafCalcStart]],Tasks[[#This Row],[Duration]]-1,WorkWeek,Holidays)))</f>
        <v/>
      </c>
      <c r="BV5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5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52" s="45" t="str">
        <f aca="false">IF(Tasks[[#This Row],[Predecessors]]="","",TRIM(MID(SUBSTITUTE(SUBSTITUTE(SUBSTITUTE(UPPER(Tasks[[#This Row],[Predecessors]]),";",",")," ",""),",",REPT(" ",99)),1,99)))</f>
        <v/>
      </c>
      <c r="BY52" s="45" t="str">
        <f aca="false">IF(Tasks[[#This Row],[_Pred1Text]]="","",IFERROR(VALUE(LEFT(Tasks[[#This Row],[_Pred1Text]],MIN(FIND("F",Tasks[[#This Row],[_Pred1Text]]&amp;"F"),FIND("S",Tasks[[#This Row],[_Pred1Text]]&amp;"S"),FIND("+",Tasks[[#This Row],[_Pred1Text]]&amp;"+"),FIND("-",Tasks[[#This Row],[_Pred1Text]]&amp;"-"))-1)),""))</f>
        <v/>
      </c>
      <c r="BZ5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5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52" s="45" t="str">
        <f aca="false">IF(Tasks[[#This Row],[_Pred1Text]]="","",TRIM(MID(SUBSTITUTE(SUBSTITUTE(SUBSTITUTE(UPPER(Tasks[[#This Row],[Predecessors]]),";",",")," ",""),",",REPT(" ",99)),100,99)))</f>
        <v/>
      </c>
      <c r="CC52" s="45" t="str">
        <f aca="false">IF(Tasks[[#This Row],[_Pred2Text]]="","",IFERROR(VALUE(LEFT(Tasks[[#This Row],[_Pred2Text]],MIN(FIND("F",Tasks[[#This Row],[_Pred2Text]]&amp;"F"),FIND("S",Tasks[[#This Row],[_Pred2Text]]&amp;"S"),FIND("+",Tasks[[#This Row],[_Pred2Text]]&amp;"+"),FIND("-",Tasks[[#This Row],[_Pred2Text]]&amp;"-"))-1)),""))</f>
        <v/>
      </c>
      <c r="CD5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5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52" s="45" t="str">
        <f aca="false">IF(Tasks[[#This Row],[_Pred2Text]]="","",TRIM(MID(SUBSTITUTE(SUBSTITUTE(SUBSTITUTE(UPPER(Tasks[[#This Row],[Predecessors]]),";",",")," ",""),",",REPT(" ",99)),199,99)))</f>
        <v/>
      </c>
      <c r="CG52" s="45" t="str">
        <f aca="false">IF(Tasks[[#This Row],[_Pred3Text]]="","",IFERROR(VALUE(LEFT(Tasks[[#This Row],[_Pred3Text]],MIN(FIND("F",Tasks[[#This Row],[_Pred3Text]]&amp;"F"),FIND("S",Tasks[[#This Row],[_Pred3Text]]&amp;"S"),FIND("+",Tasks[[#This Row],[_Pred3Text]]&amp;"+"),FIND("-",Tasks[[#This Row],[_Pred3Text]]&amp;"-"))-1)),""))</f>
        <v/>
      </c>
      <c r="CH5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5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52" s="45" t="str">
        <f aca="false">IF(Tasks[[#This Row],[_Pred3Text]]="","",TRIM(MID(SUBSTITUTE(SUBSTITUTE(SUBSTITUTE(UPPER(Tasks[[#This Row],[Predecessors]]),";",",")," ",""),",",REPT(" ",99)),298,99)))</f>
        <v/>
      </c>
      <c r="CK52" s="45" t="str">
        <f aca="false">IF(Tasks[[#This Row],[_Pred4Text]]="","",IFERROR(VALUE(LEFT(Tasks[[#This Row],[_Pred4Text]],MIN(FIND("F",Tasks[[#This Row],[_Pred4Text]]&amp;"F"),FIND("S",Tasks[[#This Row],[_Pred4Text]]&amp;"S"),FIND("+",Tasks[[#This Row],[_Pred4Text]]&amp;"+"),FIND("-",Tasks[[#This Row],[_Pred4Text]]&amp;"-"))-1)),""))</f>
        <v/>
      </c>
      <c r="CL5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5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52" s="45" t="str">
        <f aca="false">IF(OR(Tasks[[#This Row],[Task Name]]="",Tasks[[#This Row],[Resources]]=""),"",TRIM(MID(SUBSTITUTE(Tasks[[#This Row],[Resources]],",",REPT(" ",99)),1,99)))</f>
        <v/>
      </c>
      <c r="CO52" s="45" t="str">
        <f aca="false">IF(Tasks[[#This Row],[_Res1Text]]="","",TRIM(MID(SUBSTITUTE(Tasks[[#This Row],[Resources]],",",REPT(" ",99)),100,99)))</f>
        <v/>
      </c>
      <c r="CP52" s="45" t="str">
        <f aca="false">IF(Tasks[[#This Row],[_Res2Text]]="","",TRIM(MID(SUBSTITUTE(Tasks[[#This Row],[Resources]],",",REPT(" ",99)),199,99)))</f>
        <v/>
      </c>
      <c r="CQ52" s="45" t="str">
        <f aca="false">IF(Tasks[[#This Row],[_Res3Text]]="","",TRIM(MID(SUBSTITUTE(Tasks[[#This Row],[Resources]],",",REPT(" ",99)),298,99)))</f>
        <v/>
      </c>
      <c r="CR5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5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2" s="45" t="n">
        <f aca="false">IF(NOT(Tasks[[#This Row],[_IsLeaf]]=1),0,(Tasks[[#This Row],[_Resource1]]&lt;&gt;"")+(Tasks[[#This Row],[_Res2]]&lt;&gt;"")+(Tasks[[#This Row],[_Res3]]&lt;&gt;"")+(Tasks[[#This Row],[_Res4]]&lt;&gt;""))</f>
        <v>0</v>
      </c>
      <c r="CU5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5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2" s="45" t="n">
        <f aca="false">IF(OR(NOT(Tasks[[#This Row],[_IsLeaf]]=1),Tasks[[#This Row],[_Res2]]=""),0,IF(ISNA(MATCH(Tasks[[#This Row],[_Res2]],res_Name,0)),0,N(Tasks[[#This Row],[Duration]])*HoursPerDay*IF(Tasks[[#This Row],[_Res2Units]]="",DefaultUnits,Tasks[[#This Row],[_Res2Units]])))</f>
        <v>0</v>
      </c>
      <c r="CX52" s="45" t="n">
        <f aca="false">IF(Tasks[[#This Row],[_Res2Work]]=0,0,Tasks[[#This Row],[_Res2Work]]*IFERROR(INDEX(res_Rate,MATCH(Tasks[[#This Row],[_Res2]],res_Name,0)),0))</f>
        <v>0</v>
      </c>
      <c r="CY52" s="45" t="n">
        <f aca="false">IF(AND(AND(Tasks[[#This Row],[_IsLeaf]]=1,Tasks[[#This Row],[_LeafTotalWork]]&gt;0),Tasks[[#This Row],[_Res2Work]]&gt;0),Tasks[[#This Row],[_Res2Work]]/(Tasks[[#This Row],[_FinishWorkday]]-Tasks[[#This Row],[_StartWorkday]]+1),0)</f>
        <v>0</v>
      </c>
      <c r="CZ52" s="45" t="n">
        <f aca="false">Tasks[[#This Row],[_Res2WorkPerWD]]*MAX(0,Tasks[[#This Row],[_StartWorkday]]-1)</f>
        <v>0</v>
      </c>
      <c r="DA52" s="45" t="n">
        <f aca="false">Tasks[[#This Row],[_Res2Work]]*Tasks[[#This Row],[_LeafProgress]]</f>
        <v>0</v>
      </c>
      <c r="DB52" s="45" t="n">
        <f aca="false">IF(Tasks[[#This Row],[_LeafTotalCost]]=0,0,Tasks[[#This Row],[_LeafAC]]*Tasks[[#This Row],[_Res2Cost]]/Tasks[[#This Row],[_LeafTotalCost]])</f>
        <v>0</v>
      </c>
      <c r="DC5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5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52" s="45" t="n">
        <f aca="false">IF(OR(NOT(Tasks[[#This Row],[_IsLeaf]]=1),Tasks[[#This Row],[_Res3]]=""),0,IF(ISNA(MATCH(Tasks[[#This Row],[_Res3]],res_Name,0)),0,N(Tasks[[#This Row],[Duration]])*HoursPerDay*IF(Tasks[[#This Row],[_Res3Units]]="",DefaultUnits,Tasks[[#This Row],[_Res3Units]])))</f>
        <v>0</v>
      </c>
      <c r="DF52" s="45" t="n">
        <f aca="false">IF(Tasks[[#This Row],[_Res3Work]]=0,0,Tasks[[#This Row],[_Res3Work]]*IFERROR(INDEX(res_Rate,MATCH(Tasks[[#This Row],[_Res3]],res_Name,0)),0))</f>
        <v>0</v>
      </c>
      <c r="DG52" s="45" t="n">
        <f aca="false">IF(AND(AND(Tasks[[#This Row],[_IsLeaf]]=1,Tasks[[#This Row],[_LeafTotalWork]]&gt;0),Tasks[[#This Row],[_Res3Work]]&gt;0),Tasks[[#This Row],[_Res3Work]]/(Tasks[[#This Row],[_FinishWorkday]]-Tasks[[#This Row],[_StartWorkday]]+1),0)</f>
        <v>0</v>
      </c>
      <c r="DH52" s="45" t="n">
        <f aca="false">Tasks[[#This Row],[_Res3WorkPerWD]]*MAX(0,Tasks[[#This Row],[_StartWorkday]]-1)</f>
        <v>0</v>
      </c>
      <c r="DI52" s="45" t="n">
        <f aca="false">Tasks[[#This Row],[_Res3Work]]*Tasks[[#This Row],[_LeafProgress]]</f>
        <v>0</v>
      </c>
      <c r="DJ52" s="45" t="n">
        <f aca="false">IF(Tasks[[#This Row],[_LeafTotalCost]]=0,0,Tasks[[#This Row],[_LeafAC]]*Tasks[[#This Row],[_Res3Cost]]/Tasks[[#This Row],[_LeafTotalCost]])</f>
        <v>0</v>
      </c>
      <c r="DK5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5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52" s="45" t="n">
        <f aca="false">IF(OR(NOT(Tasks[[#This Row],[_IsLeaf]]=1),Tasks[[#This Row],[_Res4]]=""),0,IF(ISNA(MATCH(Tasks[[#This Row],[_Res4]],res_Name,0)),0,N(Tasks[[#This Row],[Duration]])*HoursPerDay*IF(Tasks[[#This Row],[_Res4Units]]="",DefaultUnits,Tasks[[#This Row],[_Res4Units]])))</f>
        <v>0</v>
      </c>
      <c r="DN52" s="45" t="n">
        <f aca="false">IF(Tasks[[#This Row],[_Res4Work]]=0,0,Tasks[[#This Row],[_Res4Work]]*IFERROR(INDEX(res_Rate,MATCH(Tasks[[#This Row],[_Res4]],res_Name,0)),0))</f>
        <v>0</v>
      </c>
      <c r="DO52" s="45" t="n">
        <f aca="false">IF(AND(AND(Tasks[[#This Row],[_IsLeaf]]=1,Tasks[[#This Row],[_LeafTotalWork]]&gt;0),Tasks[[#This Row],[_Res4Work]]&gt;0),Tasks[[#This Row],[_Res4Work]]/(Tasks[[#This Row],[_FinishWorkday]]-Tasks[[#This Row],[_StartWorkday]]+1),0)</f>
        <v>0</v>
      </c>
      <c r="DP52" s="45" t="n">
        <f aca="false">Tasks[[#This Row],[_Res4WorkPerWD]]*MAX(0,Tasks[[#This Row],[_StartWorkday]]-1)</f>
        <v>0</v>
      </c>
      <c r="DQ52" s="45" t="n">
        <f aca="false">Tasks[[#This Row],[_Res4Work]]*Tasks[[#This Row],[_LeafProgress]]</f>
        <v>0</v>
      </c>
      <c r="DR52" s="45" t="n">
        <f aca="false">IF(Tasks[[#This Row],[_LeafTotalCost]]=0,0,Tasks[[#This Row],[_LeafAC]]*Tasks[[#This Row],[_Res4Cost]]/Tasks[[#This Row],[_LeafTotalCost]])</f>
        <v>0</v>
      </c>
      <c r="DS52" s="45" t="n">
        <f aca="false">IF(ISNUMBER(Tasks[[#This Row],[% Complete]]),Tasks[[#This Row],[% Complete]],IF(Tasks[[#This Row],[Stage]]="",0,IFERROR(INDEX(stg_Pct,MATCH(Tasks[[#This Row],[Stage]],stg_Name,0)),0)))</f>
        <v>0</v>
      </c>
      <c r="DT52" s="45" t="n">
        <f aca="false">IF(NOT(Tasks[[#This Row],[_IsLeaf]]=1),0,IF(N(Tasks[[#This Row],[Actual Finish]])&gt;0,1,MIN(1,Tasks[[#This Row],[_Pct]])))</f>
        <v>0</v>
      </c>
      <c r="DU52" s="45" t="n">
        <f aca="false">IF(OR(NOT(Tasks[[#This Row],[_IsLeaf]]=1),Tasks[[#This Row],[_Resource1]]=""),0,IF(ISNA(MATCH(Tasks[[#This Row],[_Resource1]],res_Name,0)),0,N(Tasks[[#This Row],[Duration]])*HoursPerDay*IF(Tasks[[#This Row],[_Units1]]="",DefaultUnits,Tasks[[#This Row],[_Units1]])))</f>
        <v>0</v>
      </c>
      <c r="DV52" s="45" t="n">
        <f aca="false">IF(Tasks[[#This Row],[_LeafWork]]=0,0,Tasks[[#This Row],[_LeafWork]]*IFERROR(INDEX(res_Rate,MATCH(Tasks[[#This Row],[_Resource1]],res_Name,0)),0))</f>
        <v>0</v>
      </c>
      <c r="DW52" s="45" t="n">
        <f aca="false">Tasks[[#This Row],[_LeafWork]]+Tasks[[#This Row],[_Res2Work]]+Tasks[[#This Row],[_Res3Work]]+Tasks[[#This Row],[_Res4Work]]</f>
        <v>0</v>
      </c>
      <c r="DX52" s="45" t="n">
        <f aca="false">Tasks[[#This Row],[_LeafCost]]+Tasks[[#This Row],[_Res2Cost]]+Tasks[[#This Row],[_Res3Cost]]+Tasks[[#This Row],[_Res4Cost]]</f>
        <v>0</v>
      </c>
      <c r="DY52" s="45" t="n">
        <f aca="false">IF(Tasks[[#This Row],[_LeafTotalCost]]=0,Tasks[[#This Row],[_LeafAC]],Tasks[[#This Row],[_LeafAC]]*Tasks[[#This Row],[_LeafCost]]/Tasks[[#This Row],[_LeafTotalCost]])</f>
        <v>0</v>
      </c>
      <c r="DZ5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5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5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5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5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5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5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5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52" s="45" t="n">
        <f aca="false">IF(NOT(Tasks[[#This Row],[_IsLeaf]]=1),0,MAX(_xlfn.MAXIFS(Tasks[_Row],Tasks[_Pred1UID],Tasks[[#This Row],[UID]]),_xlfn.MAXIFS(Tasks[_Row],Tasks[_Pred2UID],Tasks[[#This Row],[UID]]),_xlfn.MAXIFS(Tasks[_Row],Tasks[_Pred3UID],Tasks[[#This Row],[UID]]),_xlfn.MAXIFS(Tasks[_Row],Tasks[_Pred4UID],Tasks[[#This Row],[UID]])))</f>
        <v>0</v>
      </c>
      <c r="EI5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5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52" s="74" t="str">
        <f aca="false">IF(NOT(Tasks[[#This Row],[_IsLeaf]]=1),"",IF(N(Tasks[[#This Row],[Duration]])&lt;=0,Tasks[[#This Row],[_LeafLateFinish]],WORKDAY.INTL(Tasks[[#This Row],[_LeafLateFinish]],-(Tasks[[#This Row],[Duration]]-1),WorkWeek,Holidays)))</f>
        <v/>
      </c>
      <c r="EL5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52" s="73" t="b">
        <f aca="false">AND(Tasks[[#This Row],[_IsLeaf]]=1,Tasks[[#This Row],[_LeafProgress]]&lt;1,N(Tasks[[#This Row],[_LeafTotalSlack]])&lt;=CriticalSlackDays)</f>
        <v>0</v>
      </c>
      <c r="EN52" s="45" t="n">
        <f aca="false">IF(AND(Tasks[[#This Row],[_IsLeaf]]=1,Tasks[[#This Row],[_ConstraintCode]]=1,Tasks[[#This Row],[Mode]]&lt;&gt;"Manual",N(Tasks[[#This Row],[Actual Start]])=0),MAX(0,N(Tasks[[#This Row],[Free Slack]])),0)</f>
        <v>0</v>
      </c>
      <c r="EO52" s="74" t="str">
        <f aca="false">IF(NOT(Tasks[[#This Row],[_IsLeaf]]=1),"",IF(Tasks[[#This Row],[_AlapShift]]=0,Tasks[[#This Row],[_LeafCalcStart]],WORKDAY.INTL(Tasks[[#This Row],[_LeafCalcStart]],Tasks[[#This Row],[_AlapShift]],WorkWeek,Holidays)))</f>
        <v/>
      </c>
      <c r="EP52" s="74" t="str">
        <f aca="false">IF(NOT(Tasks[[#This Row],[_IsLeaf]]=1),"",IF(Tasks[[#This Row],[_AlapShift]]=0,Tasks[[#This Row],[_LeafCalcFinish]],WORKDAY.INTL(Tasks[[#This Row],[_LeafCalcFinish]],Tasks[[#This Row],[_AlapShift]],WorkWeek,Holidays)))</f>
        <v/>
      </c>
      <c r="EQ52" s="74" t="str">
        <f aca="false">IF(NOT(Tasks[[#This Row],[_IsLeaf]]=1),"",IF(Tasks[[#This Row],[_AlapShift]]=0,Tasks[[#This Row],[_LeafFcstStart]],WORKDAY.INTL(Tasks[[#This Row],[_LeafFcstStart]],Tasks[[#This Row],[_AlapShift]],WorkWeek,Holidays)))</f>
        <v/>
      </c>
      <c r="ER52" s="74" t="str">
        <f aca="false">IF(NOT(Tasks[[#This Row],[_IsLeaf]]=1),"",IF(Tasks[[#This Row],[_AlapShift]]=0,Tasks[[#This Row],[_LeafFcstFinish]],WORKDAY.INTL(Tasks[[#This Row],[_LeafFcstFinish]],Tasks[[#This Row],[_AlapShift]],WorkWeek,Holidays)))</f>
        <v/>
      </c>
      <c r="ES52" s="74" t="str">
        <f aca="false">IF(Tasks[[#This Row],[Task Name]]="","",IF(Tasks[[#This Row],[_IsSummary]],MIN(INDEX(Tasks[_ShownCalcStart],Tasks[[#This Row],[_Row]]+1):INDEX(Tasks[_ShownCalcStart],Tasks[[#This Row],[_Row]]+Tasks[[#This Row],[_Descendants]])),Tasks[[#This Row],[_ShownCalcStart]]))</f>
        <v/>
      </c>
      <c r="ET52" s="74" t="str">
        <f aca="false">IF(Tasks[[#This Row],[Task Name]]="","",IF(Tasks[[#This Row],[_IsSummary]],MAX(INDEX(Tasks[_ShownCalcFinish],Tasks[[#This Row],[_Row]]+1):INDEX(Tasks[_ShownCalcFinish],Tasks[[#This Row],[_Row]]+Tasks[[#This Row],[_Descendants]])),Tasks[[#This Row],[_ShownCalcFinish]]))</f>
        <v/>
      </c>
      <c r="EU5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5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5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5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5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5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5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5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5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5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5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5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52" s="45" t="n">
        <f aca="false">IF(AND(Tasks[[#This Row],[_IsLeaf]]=1,Tasks[[#This Row],[_LeafTotalWork]]&gt;0),NETWORKDAYS.INTL(ProjectStart,Tasks[[#This Row],[_ShownFcstStart]],WorkWeek,Holidays),0)</f>
        <v>0</v>
      </c>
      <c r="FH52" s="45" t="n">
        <f aca="false">IF(AND(Tasks[[#This Row],[_IsLeaf]]=1,Tasks[[#This Row],[_LeafTotalWork]]&gt;0),MAX(Tasks[[#This Row],[_StartWorkday]],NETWORKDAYS.INTL(ProjectStart,Tasks[[#This Row],[_ShownFcstFinish]],WorkWeek,Holidays)),0)</f>
        <v>0</v>
      </c>
      <c r="FI52" s="45" t="n">
        <f aca="false">IF(AND(Tasks[[#This Row],[_IsLeaf]]=1,Tasks[[#This Row],[_LeafTotalWork]]&gt;0),Tasks[[#This Row],[_LeafWork]]/(Tasks[[#This Row],[_FinishWorkday]]-Tasks[[#This Row],[_StartWorkday]]+1),0)</f>
        <v>0</v>
      </c>
      <c r="FJ52" s="45" t="n">
        <f aca="false">Tasks[[#This Row],[_WorkPerWorkday]]*(Tasks[[#This Row],[_StartWorkday]]-1)</f>
        <v>-0</v>
      </c>
      <c r="FK52" s="45" t="n">
        <f aca="false">IF(Tasks[[#This Row],[_IsLeaf]]=1,MAX(N(Tasks[[#This Row],[Duration]]),0.1),0)</f>
        <v>0</v>
      </c>
      <c r="FL52" s="45" t="n">
        <f aca="false">Tasks[[#This Row],[_WeightDur]]*Tasks[[#This Row],[_LeafProgress]]</f>
        <v>0</v>
      </c>
      <c r="FM5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52" s="45" t="str">
        <f aca="false">IF(AND(Tasks[[#This Row],[_IsLeaf]]=1,N(Tasks[[#This Row],[Duration]])=0,Tasks[[#This Row],[_LeafProgress]]&lt;1),Tasks[[#This Row],[_ShownFcstFinish]]+Tasks[[#This Row],[_Row]]/100000,"")</f>
        <v/>
      </c>
      <c r="FO5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52" s="45" t="n">
        <f aca="false">IF(NOT(Tasks[[#This Row],[_IsLeaf]]=1),0,IF(Tasks[[#This Row],[Baseline Cost]]="",Tasks[[#This Row],[_LeafTotalCost]],N(Tasks[[#This Row],[Baseline Cost]])))</f>
        <v>0</v>
      </c>
      <c r="FQ52" s="45" t="n">
        <f aca="false">Tasks[[#This Row],[_LeafBudget]]*Tasks[[#This Row],[_PlannedPct]]</f>
        <v>0</v>
      </c>
      <c r="FR52" s="45" t="n">
        <f aca="false">Tasks[[#This Row],[_LeafBudget]]*Tasks[[#This Row],[_LeafProgress]]</f>
        <v>0</v>
      </c>
      <c r="FS52" s="45" t="n">
        <f aca="false">IF(NOT(Tasks[[#This Row],[_IsLeaf]]=1),0,IF(Tasks[[#This Row],[Actual Cost]]="",Tasks[[#This Row],[_LeafTotalCost]]*Tasks[[#This Row],[_LeafProgress]],N(Tasks[[#This Row],[Actual Cost]])))</f>
        <v>0</v>
      </c>
      <c r="FT52" s="45" t="str">
        <f aca="false">IF(Tasks[[#This Row],[Task Name]]="","",LEFT(Tasks[[#This Row],[WBS]],FIND(".",Tasks[[#This Row],[WBS]]&amp;".")-1))</f>
        <v/>
      </c>
      <c r="FU52" s="45" t="str">
        <f aca="false">IF(AND(Tasks[[#This Row],[Task Name]]&lt;&gt;"",Tasks[[#This Row],[_Level]]=1),Tasks[[#This Row],[_Row]],"")</f>
        <v/>
      </c>
      <c r="FV52" s="45" t="str">
        <f aca="false">IF(AND(Tasks[[#This Row],[_IsLeaf]]=1,N(Tasks[[#This Row],[Duration]])=0),Tasks[[#This Row],[Planned Finish]]+Tasks[[#This Row],[_Row]]/100000,"")</f>
        <v/>
      </c>
      <c r="FW52" s="45" t="str">
        <f aca="false">IF(AND(Tasks[[#This Row],[_IsLeaf]]=1,Tasks[[#This Row],[_LeafProgress]]&lt;1,OR(N(Tasks[[#This Row],[Finish Var]])&gt;0,Tasks[[#This Row],[Status]]="Late Start")),MAX(0,Tasks[[#This Row],[Finish Var]])+1-Tasks[[#This Row],[_Row]]/1000000,"")</f>
        <v/>
      </c>
      <c r="FX52" s="45" t="str">
        <f aca="false">IF(AND(Tasks[[#This Row],[_IsLeaf]]=1,N(Tasks[[#This Row],[Actual Start]])=0,Tasks[[#This Row],[_ShownFcstStart]]&gt;=StatusDate,Tasks[[#This Row],[_ShownFcstStart]]&lt;=LookaheadEnd),Tasks[[#This Row],[_ShownFcstStart]]+Tasks[[#This Row],[_Row]]/100000,"")</f>
        <v/>
      </c>
      <c r="FY52" s="45" t="str">
        <f aca="false">IF(AND(Tasks[[#This Row],[_IsLeaf]]=1,Tasks[[#This Row],[_LeafProgress]]&lt;1,Tasks[[#This Row],[_ShownFcstFinish]]&gt;=StatusDate,Tasks[[#This Row],[_ShownFcstFinish]]&lt;=LookaheadEnd),Tasks[[#This Row],[_ShownFcstFinish]]+Tasks[[#This Row],[_Row]]/100000,"")</f>
        <v/>
      </c>
      <c r="FZ52" s="45" t="str">
        <f aca="false">IF(Tasks[[#This Row],[_LeafCritical]],Tasks[[#This Row],[_ShownFcstStart]]+Tasks[[#This Row],[_Row]]/100000,"")</f>
        <v/>
      </c>
      <c r="GA52" s="45" t="n">
        <f aca="false">Tasks[[#This Row],[_LeafWork]]*Tasks[[#This Row],[_LeafProgress]]</f>
        <v>0</v>
      </c>
      <c r="GB52" s="74" t="str">
        <f aca="false">IF(AND(Tasks[[#This Row],[_IsLeaf]]=1,Tasks[[#This Row],[_LeafProgress]]&gt;=1),IF(N(Tasks[[#This Row],[Actual Finish]])&gt;0,Tasks[[#This Row],[Actual Finish]],Tasks[[#This Row],[_ShownFcstFinish]]),"")</f>
        <v/>
      </c>
    </row>
    <row r="53" customFormat="false" ht="15" hidden="false" customHeight="false" outlineLevel="0" collapsed="false">
      <c r="A53" s="67" t="str">
        <f aca="false">IF(Tasks[[#This Row],[Task Name]]="","",COUNTA(Tasks[[#Headers],[Task Name]]:Tasks[[#This Row],[Task Name]])-1)</f>
        <v/>
      </c>
      <c r="B53" s="21" t="n">
        <v>48</v>
      </c>
      <c r="C5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21"/>
      <c r="E53" s="22"/>
      <c r="F53" s="21"/>
      <c r="G53" s="22"/>
      <c r="H53" s="22"/>
      <c r="I53" s="22"/>
      <c r="J53" s="7"/>
      <c r="K53" s="7"/>
      <c r="L53" s="22"/>
      <c r="M53" s="58" t="str">
        <f aca="false">IF(Tasks[[#This Row],[Task Name]]="","",IF(Tasks[[#This Row],[_IsSummary]],MIN(INDEX(Tasks[_ShownFcstStart],Tasks[[#This Row],[_Row]]+1):INDEX(Tasks[_ShownFcstStart],Tasks[[#This Row],[_Row]]+Tasks[[#This Row],[_Descendants]])),Tasks[[#This Row],[_ShownFcstStart]]))</f>
        <v/>
      </c>
      <c r="N53" s="58" t="str">
        <f aca="false">IF(Tasks[[#This Row],[Task Name]]="","",IF(Tasks[[#This Row],[_IsSummary]],MAX(INDEX(Tasks[_ShownFcstFinish],Tasks[[#This Row],[_Row]]+1):INDEX(Tasks[_ShownFcstFinish],Tasks[[#This Row],[_Row]]+Tasks[[#This Row],[_Descendants]])),Tasks[[#This Row],[_ShownFcstFinish]]))</f>
        <v/>
      </c>
      <c r="O53" s="20" t="str">
        <f aca="false">IF(Tasks[[#This Row],[Task Name]]="","",IF(Tasks[[#This Row],[Progress]]&gt;=1,"Complete",IF(OR(N(Tasks[[#This Row],[Actual Start]])&gt;0,Tasks[[#This Row],[Progress]]&gt;0),IF(Tasks[[#This Row],[Finish Var]]&gt;0,"Behind","In Progress"),IF(Tasks[[#This Row],[Planned Start]]&lt;StatusDate,"Late Start","Not Started"))))</f>
        <v/>
      </c>
      <c r="P53" s="20" t="str">
        <f aca="false">IF(Tasks[[#This Row],[Task Name]]="","",IF(IF(Tasks[[#This Row],[_IsSummary]],COUNTIF(INDEX(Tasks[_LeafCritical],Tasks[[#This Row],[_Row]]+1):INDEX(Tasks[_LeafCritical],Tasks[[#This Row],[_Row]]+Tasks[[#This Row],[_Descendants]]),TRUE())&gt;0,Tasks[[#This Row],[_LeafCritical]]),"Yes",""))</f>
        <v/>
      </c>
      <c r="Q5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53" s="67" t="str">
        <f aca="false">IF(Tasks[[#This Row],[Task Name]]="","",IF(Tasks[[#This Row],[_Level]]&lt;=OutlineShowLevel,"Yes","No"))</f>
        <v/>
      </c>
      <c r="S53" s="7"/>
      <c r="T53" s="21"/>
      <c r="U53" s="22"/>
      <c r="V53" s="7"/>
      <c r="W53" s="67" t="str">
        <f aca="false">IF(Tasks[[#This Row],[Task Name]]="","",IF(Tasks[[#This Row],[Finish]]&gt;=Tasks[[#This Row],[Planned Finish]],NETWORKDAYS.INTL(Tasks[[#This Row],[Planned Finish]],Tasks[[#This Row],[Finish]],WorkWeek,Holidays)-1,1-NETWORKDAYS.INTL(Tasks[[#This Row],[Finish]],Tasks[[#This Row],[Planned Finish]],WorkWeek,Holidays)))</f>
        <v/>
      </c>
      <c r="X53" s="58" t="str">
        <f aca="false">IF(Tasks[[#This Row],[Task Name]]="","",IF(N(Tasks[[#This Row],[Baseline Start]])&gt;0,Tasks[[#This Row],[Baseline Start]],Tasks[[#This Row],[_CalcStart]]))</f>
        <v/>
      </c>
      <c r="Y53" s="58" t="str">
        <f aca="false">IF(Tasks[[#This Row],[Task Name]]="","",IF(N(Tasks[[#This Row],[Baseline Finish]])&gt;0,Tasks[[#This Row],[Baseline Finish]],Tasks[[#This Row],[_CalcFinish]]))</f>
        <v/>
      </c>
      <c r="Z53" s="67" t="str">
        <f aca="false">IF(Tasks[[#This Row],[Task Name]]="","",IF(Tasks[[#This Row],[Start]]&gt;=Tasks[[#This Row],[Planned Start]],NETWORKDAYS.INTL(Tasks[[#This Row],[Planned Start]],Tasks[[#This Row],[Start]],WorkWeek,Holidays)-1,1-NETWORKDAYS.INTL(Tasks[[#This Row],[Start]],Tasks[[#This Row],[Planned Start]],WorkWeek,Holidays)))</f>
        <v/>
      </c>
      <c r="AA53" s="58" t="str">
        <f aca="false">IF(Tasks[[#This Row],[Task Name]]="","",IF(Tasks[[#This Row],[_IsSummary]],MIN(INDEX(Tasks[_LeafLateStart],Tasks[[#This Row],[_Row]]+1):INDEX(Tasks[_LeafLateStart],Tasks[[#This Row],[_Row]]+Tasks[[#This Row],[_Descendants]])),Tasks[[#This Row],[_LeafLateStart]]))</f>
        <v/>
      </c>
      <c r="AB53" s="58" t="str">
        <f aca="false">IF(Tasks[[#This Row],[Task Name]]="","",IF(Tasks[[#This Row],[_IsSummary]],MAX(INDEX(Tasks[_LeafLateFinish],Tasks[[#This Row],[_Row]]+1):INDEX(Tasks[_LeafLateFinish],Tasks[[#This Row],[_Row]]+Tasks[[#This Row],[_Descendants]])),Tasks[[#This Row],[_LeafLateFinish]]))</f>
        <v/>
      </c>
      <c r="AC53" s="67" t="str">
        <f aca="false">IF(Tasks[[#This Row],[Task Name]]="","",IF(Tasks[[#This Row],[_IsSummary]],MIN(INDEX(Tasks[_LeafTotalSlack],Tasks[[#This Row],[_Row]]+1):INDEX(Tasks[_LeafTotalSlack],Tasks[[#This Row],[_Row]]+Tasks[[#This Row],[_Descendants]])),Tasks[[#This Row],[_LeafTotalSlack]]))</f>
        <v/>
      </c>
      <c r="AD5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5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5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53" s="60"/>
      <c r="AH5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5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53" s="69" t="str">
        <f aca="false">IF(Tasks[[#This Row],[Task Name]]="","",IF(Tasks[[#This Row],[_IsSummary]],SUM(INDEX(Tasks[_LeafTotalWork],Tasks[[#This Row],[_Row]]+1):INDEX(Tasks[_LeafTotalWork],Tasks[[#This Row],[_Row]]+Tasks[[#This Row],[_Descendants]])),Tasks[[#This Row],[_LeafTotalWork]]))</f>
        <v/>
      </c>
      <c r="AK5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53" s="70" t="str">
        <f aca="false">IF(Tasks[[#This Row],[Task Name]]="","",IF(Tasks[[#This Row],[_IsSummary]],SUM(INDEX(Tasks[_LeafTotalCost],Tasks[[#This Row],[_Row]]+1):INDEX(Tasks[_LeafTotalCost],Tasks[[#This Row],[_Row]]+Tasks[[#This Row],[_Descendants]])),Tasks[[#This Row],[_LeafTotalCost]]))</f>
        <v/>
      </c>
      <c r="AM53" s="71"/>
      <c r="AN53" s="20" t="str">
        <f aca="false">IF(OR(Tasks[[#This Row],[Task Name]]="",Tasks[[#This Row],[Baseline Duration]]=""),"",Tasks[[#This Row],[BL Source Duration]]-N(Tasks[[#This Row],[Baseline Duration]]))</f>
        <v/>
      </c>
      <c r="AO53" s="69" t="str">
        <f aca="false">IF(OR(Tasks[[#This Row],[Task Name]]="",Tasks[[#This Row],[Baseline Work]]=""),"",Tasks[[#This Row],[Work]]-N(Tasks[[#This Row],[Baseline Work]]))</f>
        <v/>
      </c>
      <c r="AP53" s="70" t="str">
        <f aca="false">IF(OR(Tasks[[#This Row],[Task Name]]="",Tasks[[#This Row],[Baseline Cost]]=""),"",Tasks[[#This Row],[Cost]]-N(Tasks[[#This Row],[Baseline Cost]]))</f>
        <v/>
      </c>
      <c r="AQ53" s="58" t="str">
        <f aca="false">IF(Tasks[[#This Row],[Task Name]]="","",Tasks[[#This Row],[Start]])</f>
        <v/>
      </c>
      <c r="AR53" s="58" t="str">
        <f aca="false">IF(Tasks[[#This Row],[Task Name]]="","",Tasks[[#This Row],[Finish]])</f>
        <v/>
      </c>
      <c r="AS53" s="67" t="str">
        <f aca="false">IF(Tasks[[#This Row],[Task Name]]="","",IF(Tasks[[#This Row],[_IsSummary]],NETWORKDAYS.INTL(Tasks[[#This Row],[Start]],Tasks[[#This Row],[Finish]],WorkWeek,Holidays),N(Tasks[[#This Row],[Duration]])))</f>
        <v/>
      </c>
      <c r="AT53" s="69" t="str">
        <f aca="false">IF(Tasks[[#This Row],[Task Name]]="","",Tasks[[#This Row],[Work]])</f>
        <v/>
      </c>
      <c r="AU53" s="70" t="str">
        <f aca="false">IF(Tasks[[#This Row],[Task Name]]="","",Tasks[[#This Row],[Cost]])</f>
        <v/>
      </c>
      <c r="AV53" s="7"/>
      <c r="AW53" s="7"/>
      <c r="AX53" s="21"/>
      <c r="AY53" s="72"/>
      <c r="AZ53" s="71"/>
      <c r="BA53" s="70" t="str">
        <f aca="false">IF(Tasks[[#This Row],[Task Name]]="","",IF(Tasks[[#This Row],[_IsSummary]],SUM(INDEX(Tasks[_LeafEV],Tasks[[#This Row],[_Row]]+1):INDEX(Tasks[_LeafEV],Tasks[[#This Row],[_Row]]+Tasks[[#This Row],[_Descendants]])),Tasks[[#This Row],[_LeafEV]]))</f>
        <v/>
      </c>
      <c r="BB53" s="70" t="str">
        <f aca="false">IF(Tasks[[#This Row],[Task Name]]="","",IF(Tasks[[#This Row],[_IsSummary]],SUM(INDEX(Tasks[_LeafBudget],Tasks[[#This Row],[_Row]]+1):INDEX(Tasks[_LeafBudget],Tasks[[#This Row],[_Row]]+Tasks[[#This Row],[_Descendants]])),Tasks[[#This Row],[_LeafBudget]]))</f>
        <v/>
      </c>
      <c r="BC53" s="70" t="str">
        <f aca="false">IF(Tasks[[#This Row],[Task Name]]="","",IF(Tasks[[#This Row],[_IsSummary]],SUM(INDEX(Tasks[_LeafPV],Tasks[[#This Row],[_Row]]+1):INDEX(Tasks[_LeafPV],Tasks[[#This Row],[_Row]]+Tasks[[#This Row],[_Descendants]])),Tasks[[#This Row],[_LeafPV]]))</f>
        <v/>
      </c>
      <c r="BD53" s="70" t="str">
        <f aca="false">IF(Tasks[[#This Row],[Task Name]]="","",IF(Tasks[[#This Row],[_IsSummary]],SUM(INDEX(Tasks[_LeafAC],Tasks[[#This Row],[_Row]]+1):INDEX(Tasks[_LeafAC],Tasks[[#This Row],[_Row]]+Tasks[[#This Row],[_Descendants]])),Tasks[[#This Row],[_LeafAC]]))</f>
        <v/>
      </c>
      <c r="BE53" s="45" t="str">
        <f aca="false">IF(Tasks[[#This Row],[Task Name]]="","",MAX(1,N(Tasks[[#This Row],[Level]])))</f>
        <v/>
      </c>
      <c r="BF53" s="45" t="n">
        <f aca="false">ROW()-ROW(Tasks[[#Headers],[ID]])</f>
        <v>48</v>
      </c>
      <c r="BG53" s="45" t="n">
        <f aca="false">IF(OR(Tasks[[#This Row],[Task Name]]="",Tasks[[#This Row],[_Level]]&lt;=1),0,IFERROR(LOOKUP(2,1/(Tasks[[#Headers],[_Level]]:Tasks[[#This Row],[_Level]]=Tasks[[#This Row],[_Level]]-1),ROW(Tasks[[#Headers],[_Level]]:Tasks[[#This Row],[_Level]])),0))</f>
        <v>0</v>
      </c>
      <c r="BH53" s="45" t="n">
        <f aca="false">IFERROR(N(INDEX(Tasks[_Level],Tasks[[#This Row],[_Row]]+1)),0)</f>
        <v>0</v>
      </c>
      <c r="BI53" s="73" t="b">
        <f aca="false">AND(Tasks[[#This Row],[Task Name]]&lt;&gt;"",Tasks[[#This Row],[_NextLevel]]&gt;Tasks[[#This Row],[_Level]])</f>
        <v>0</v>
      </c>
      <c r="BJ53" s="45" t="n">
        <f aca="false">IF(Tasks[[#This Row],[_IsSummary]],COUNTIF(Tasks[WBS],Tasks[[#This Row],[WBS]]&amp;".*"),0)</f>
        <v>0</v>
      </c>
      <c r="BK53" s="45" t="n">
        <f aca="false">IF(AND(Tasks[[#This Row],[Task Name]]&lt;&gt;"",NOT(Tasks[[#This Row],[_IsSummary]])),1,0)</f>
        <v>0</v>
      </c>
      <c r="BL53" s="45" t="n">
        <f aca="false">IF(N(Tasks[[#This Row],[_Pred1UID]])=0,0,IFERROR(MATCH(Tasks[[#This Row],[_Pred1UID]],Tasks[UID],0),-1))</f>
        <v>0</v>
      </c>
      <c r="BM53" s="45" t="n">
        <f aca="false">IF(N(Tasks[[#This Row],[_Pred2UID]])=0,0,IFERROR(MATCH(Tasks[[#This Row],[_Pred2UID]],Tasks[UID],0),-1))</f>
        <v>0</v>
      </c>
      <c r="BN53" s="45" t="n">
        <f aca="false">IF(N(Tasks[[#This Row],[_Pred3UID]])=0,0,IFERROR(MATCH(Tasks[[#This Row],[_Pred3UID]],Tasks[UID],0),-1))</f>
        <v>0</v>
      </c>
      <c r="BO53" s="45" t="n">
        <f aca="false">IF(N(Tasks[[#This Row],[_Pred4UID]])=0,0,IFERROR(MATCH(Tasks[[#This Row],[_Pred4UID]],Tasks[UID],0),-1))</f>
        <v>0</v>
      </c>
      <c r="BP5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5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53" s="74" t="n">
        <f aca="false">IF(OR(Tasks[[#This Row],[_ConstraintCode]]=2,Tasks[[#This Row],[_ConstraintCode]]=3,Tasks[[#This Row],[_ConstraintCode]]=4,Tasks[[#This Row],[_ConstraintCode]]=6),Tasks[[#This Row],[_ConstraintStart]],0)</f>
        <v>0</v>
      </c>
      <c r="BS53" s="74" t="n">
        <f aca="false">IF(OR(Tasks[[#This Row],[_ConstraintCode]]=2,Tasks[[#This Row],[_ConstraintCode]]=3,Tasks[[#This Row],[_ConstraintCode]]=5,Tasks[[#This Row],[_ConstraintCode]]=7),Tasks[[#This Row],[_ConstraintStart]],2958465)</f>
        <v>2958465</v>
      </c>
      <c r="BT5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53" s="74" t="str">
        <f aca="false">IF(NOT(Tasks[[#This Row],[_IsLeaf]]=1),"",IF(N(Tasks[[#This Row],[Duration]])&lt;=0,Tasks[[#This Row],[_LeafCalcStart]],WORKDAY.INTL(Tasks[[#This Row],[_LeafCalcStart]],Tasks[[#This Row],[Duration]]-1,WorkWeek,Holidays)))</f>
        <v/>
      </c>
      <c r="BV5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5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53" s="45" t="str">
        <f aca="false">IF(Tasks[[#This Row],[Predecessors]]="","",TRIM(MID(SUBSTITUTE(SUBSTITUTE(SUBSTITUTE(UPPER(Tasks[[#This Row],[Predecessors]]),";",",")," ",""),",",REPT(" ",99)),1,99)))</f>
        <v/>
      </c>
      <c r="BY53" s="45" t="str">
        <f aca="false">IF(Tasks[[#This Row],[_Pred1Text]]="","",IFERROR(VALUE(LEFT(Tasks[[#This Row],[_Pred1Text]],MIN(FIND("F",Tasks[[#This Row],[_Pred1Text]]&amp;"F"),FIND("S",Tasks[[#This Row],[_Pred1Text]]&amp;"S"),FIND("+",Tasks[[#This Row],[_Pred1Text]]&amp;"+"),FIND("-",Tasks[[#This Row],[_Pred1Text]]&amp;"-"))-1)),""))</f>
        <v/>
      </c>
      <c r="BZ5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5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53" s="45" t="str">
        <f aca="false">IF(Tasks[[#This Row],[_Pred1Text]]="","",TRIM(MID(SUBSTITUTE(SUBSTITUTE(SUBSTITUTE(UPPER(Tasks[[#This Row],[Predecessors]]),";",",")," ",""),",",REPT(" ",99)),100,99)))</f>
        <v/>
      </c>
      <c r="CC53" s="45" t="str">
        <f aca="false">IF(Tasks[[#This Row],[_Pred2Text]]="","",IFERROR(VALUE(LEFT(Tasks[[#This Row],[_Pred2Text]],MIN(FIND("F",Tasks[[#This Row],[_Pred2Text]]&amp;"F"),FIND("S",Tasks[[#This Row],[_Pred2Text]]&amp;"S"),FIND("+",Tasks[[#This Row],[_Pred2Text]]&amp;"+"),FIND("-",Tasks[[#This Row],[_Pred2Text]]&amp;"-"))-1)),""))</f>
        <v/>
      </c>
      <c r="CD5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5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53" s="45" t="str">
        <f aca="false">IF(Tasks[[#This Row],[_Pred2Text]]="","",TRIM(MID(SUBSTITUTE(SUBSTITUTE(SUBSTITUTE(UPPER(Tasks[[#This Row],[Predecessors]]),";",",")," ",""),",",REPT(" ",99)),199,99)))</f>
        <v/>
      </c>
      <c r="CG53" s="45" t="str">
        <f aca="false">IF(Tasks[[#This Row],[_Pred3Text]]="","",IFERROR(VALUE(LEFT(Tasks[[#This Row],[_Pred3Text]],MIN(FIND("F",Tasks[[#This Row],[_Pred3Text]]&amp;"F"),FIND("S",Tasks[[#This Row],[_Pred3Text]]&amp;"S"),FIND("+",Tasks[[#This Row],[_Pred3Text]]&amp;"+"),FIND("-",Tasks[[#This Row],[_Pred3Text]]&amp;"-"))-1)),""))</f>
        <v/>
      </c>
      <c r="CH5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5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53" s="45" t="str">
        <f aca="false">IF(Tasks[[#This Row],[_Pred3Text]]="","",TRIM(MID(SUBSTITUTE(SUBSTITUTE(SUBSTITUTE(UPPER(Tasks[[#This Row],[Predecessors]]),";",",")," ",""),",",REPT(" ",99)),298,99)))</f>
        <v/>
      </c>
      <c r="CK53" s="45" t="str">
        <f aca="false">IF(Tasks[[#This Row],[_Pred4Text]]="","",IFERROR(VALUE(LEFT(Tasks[[#This Row],[_Pred4Text]],MIN(FIND("F",Tasks[[#This Row],[_Pred4Text]]&amp;"F"),FIND("S",Tasks[[#This Row],[_Pred4Text]]&amp;"S"),FIND("+",Tasks[[#This Row],[_Pred4Text]]&amp;"+"),FIND("-",Tasks[[#This Row],[_Pred4Text]]&amp;"-"))-1)),""))</f>
        <v/>
      </c>
      <c r="CL5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5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53" s="45" t="str">
        <f aca="false">IF(OR(Tasks[[#This Row],[Task Name]]="",Tasks[[#This Row],[Resources]]=""),"",TRIM(MID(SUBSTITUTE(Tasks[[#This Row],[Resources]],",",REPT(" ",99)),1,99)))</f>
        <v/>
      </c>
      <c r="CO53" s="45" t="str">
        <f aca="false">IF(Tasks[[#This Row],[_Res1Text]]="","",TRIM(MID(SUBSTITUTE(Tasks[[#This Row],[Resources]],",",REPT(" ",99)),100,99)))</f>
        <v/>
      </c>
      <c r="CP53" s="45" t="str">
        <f aca="false">IF(Tasks[[#This Row],[_Res2Text]]="","",TRIM(MID(SUBSTITUTE(Tasks[[#This Row],[Resources]],",",REPT(" ",99)),199,99)))</f>
        <v/>
      </c>
      <c r="CQ53" s="45" t="str">
        <f aca="false">IF(Tasks[[#This Row],[_Res3Text]]="","",TRIM(MID(SUBSTITUTE(Tasks[[#This Row],[Resources]],",",REPT(" ",99)),298,99)))</f>
        <v/>
      </c>
      <c r="CR5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5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3" s="45" t="n">
        <f aca="false">IF(NOT(Tasks[[#This Row],[_IsLeaf]]=1),0,(Tasks[[#This Row],[_Resource1]]&lt;&gt;"")+(Tasks[[#This Row],[_Res2]]&lt;&gt;"")+(Tasks[[#This Row],[_Res3]]&lt;&gt;"")+(Tasks[[#This Row],[_Res4]]&lt;&gt;""))</f>
        <v>0</v>
      </c>
      <c r="CU5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5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3" s="45" t="n">
        <f aca="false">IF(OR(NOT(Tasks[[#This Row],[_IsLeaf]]=1),Tasks[[#This Row],[_Res2]]=""),0,IF(ISNA(MATCH(Tasks[[#This Row],[_Res2]],res_Name,0)),0,N(Tasks[[#This Row],[Duration]])*HoursPerDay*IF(Tasks[[#This Row],[_Res2Units]]="",DefaultUnits,Tasks[[#This Row],[_Res2Units]])))</f>
        <v>0</v>
      </c>
      <c r="CX53" s="45" t="n">
        <f aca="false">IF(Tasks[[#This Row],[_Res2Work]]=0,0,Tasks[[#This Row],[_Res2Work]]*IFERROR(INDEX(res_Rate,MATCH(Tasks[[#This Row],[_Res2]],res_Name,0)),0))</f>
        <v>0</v>
      </c>
      <c r="CY53" s="45" t="n">
        <f aca="false">IF(AND(AND(Tasks[[#This Row],[_IsLeaf]]=1,Tasks[[#This Row],[_LeafTotalWork]]&gt;0),Tasks[[#This Row],[_Res2Work]]&gt;0),Tasks[[#This Row],[_Res2Work]]/(Tasks[[#This Row],[_FinishWorkday]]-Tasks[[#This Row],[_StartWorkday]]+1),0)</f>
        <v>0</v>
      </c>
      <c r="CZ53" s="45" t="n">
        <f aca="false">Tasks[[#This Row],[_Res2WorkPerWD]]*MAX(0,Tasks[[#This Row],[_StartWorkday]]-1)</f>
        <v>0</v>
      </c>
      <c r="DA53" s="45" t="n">
        <f aca="false">Tasks[[#This Row],[_Res2Work]]*Tasks[[#This Row],[_LeafProgress]]</f>
        <v>0</v>
      </c>
      <c r="DB53" s="45" t="n">
        <f aca="false">IF(Tasks[[#This Row],[_LeafTotalCost]]=0,0,Tasks[[#This Row],[_LeafAC]]*Tasks[[#This Row],[_Res2Cost]]/Tasks[[#This Row],[_LeafTotalCost]])</f>
        <v>0</v>
      </c>
      <c r="DC5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5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53" s="45" t="n">
        <f aca="false">IF(OR(NOT(Tasks[[#This Row],[_IsLeaf]]=1),Tasks[[#This Row],[_Res3]]=""),0,IF(ISNA(MATCH(Tasks[[#This Row],[_Res3]],res_Name,0)),0,N(Tasks[[#This Row],[Duration]])*HoursPerDay*IF(Tasks[[#This Row],[_Res3Units]]="",DefaultUnits,Tasks[[#This Row],[_Res3Units]])))</f>
        <v>0</v>
      </c>
      <c r="DF53" s="45" t="n">
        <f aca="false">IF(Tasks[[#This Row],[_Res3Work]]=0,0,Tasks[[#This Row],[_Res3Work]]*IFERROR(INDEX(res_Rate,MATCH(Tasks[[#This Row],[_Res3]],res_Name,0)),0))</f>
        <v>0</v>
      </c>
      <c r="DG53" s="45" t="n">
        <f aca="false">IF(AND(AND(Tasks[[#This Row],[_IsLeaf]]=1,Tasks[[#This Row],[_LeafTotalWork]]&gt;0),Tasks[[#This Row],[_Res3Work]]&gt;0),Tasks[[#This Row],[_Res3Work]]/(Tasks[[#This Row],[_FinishWorkday]]-Tasks[[#This Row],[_StartWorkday]]+1),0)</f>
        <v>0</v>
      </c>
      <c r="DH53" s="45" t="n">
        <f aca="false">Tasks[[#This Row],[_Res3WorkPerWD]]*MAX(0,Tasks[[#This Row],[_StartWorkday]]-1)</f>
        <v>0</v>
      </c>
      <c r="DI53" s="45" t="n">
        <f aca="false">Tasks[[#This Row],[_Res3Work]]*Tasks[[#This Row],[_LeafProgress]]</f>
        <v>0</v>
      </c>
      <c r="DJ53" s="45" t="n">
        <f aca="false">IF(Tasks[[#This Row],[_LeafTotalCost]]=0,0,Tasks[[#This Row],[_LeafAC]]*Tasks[[#This Row],[_Res3Cost]]/Tasks[[#This Row],[_LeafTotalCost]])</f>
        <v>0</v>
      </c>
      <c r="DK5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5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53" s="45" t="n">
        <f aca="false">IF(OR(NOT(Tasks[[#This Row],[_IsLeaf]]=1),Tasks[[#This Row],[_Res4]]=""),0,IF(ISNA(MATCH(Tasks[[#This Row],[_Res4]],res_Name,0)),0,N(Tasks[[#This Row],[Duration]])*HoursPerDay*IF(Tasks[[#This Row],[_Res4Units]]="",DefaultUnits,Tasks[[#This Row],[_Res4Units]])))</f>
        <v>0</v>
      </c>
      <c r="DN53" s="45" t="n">
        <f aca="false">IF(Tasks[[#This Row],[_Res4Work]]=0,0,Tasks[[#This Row],[_Res4Work]]*IFERROR(INDEX(res_Rate,MATCH(Tasks[[#This Row],[_Res4]],res_Name,0)),0))</f>
        <v>0</v>
      </c>
      <c r="DO53" s="45" t="n">
        <f aca="false">IF(AND(AND(Tasks[[#This Row],[_IsLeaf]]=1,Tasks[[#This Row],[_LeafTotalWork]]&gt;0),Tasks[[#This Row],[_Res4Work]]&gt;0),Tasks[[#This Row],[_Res4Work]]/(Tasks[[#This Row],[_FinishWorkday]]-Tasks[[#This Row],[_StartWorkday]]+1),0)</f>
        <v>0</v>
      </c>
      <c r="DP53" s="45" t="n">
        <f aca="false">Tasks[[#This Row],[_Res4WorkPerWD]]*MAX(0,Tasks[[#This Row],[_StartWorkday]]-1)</f>
        <v>0</v>
      </c>
      <c r="DQ53" s="45" t="n">
        <f aca="false">Tasks[[#This Row],[_Res4Work]]*Tasks[[#This Row],[_LeafProgress]]</f>
        <v>0</v>
      </c>
      <c r="DR53" s="45" t="n">
        <f aca="false">IF(Tasks[[#This Row],[_LeafTotalCost]]=0,0,Tasks[[#This Row],[_LeafAC]]*Tasks[[#This Row],[_Res4Cost]]/Tasks[[#This Row],[_LeafTotalCost]])</f>
        <v>0</v>
      </c>
      <c r="DS53" s="45" t="n">
        <f aca="false">IF(ISNUMBER(Tasks[[#This Row],[% Complete]]),Tasks[[#This Row],[% Complete]],IF(Tasks[[#This Row],[Stage]]="",0,IFERROR(INDEX(stg_Pct,MATCH(Tasks[[#This Row],[Stage]],stg_Name,0)),0)))</f>
        <v>0</v>
      </c>
      <c r="DT53" s="45" t="n">
        <f aca="false">IF(NOT(Tasks[[#This Row],[_IsLeaf]]=1),0,IF(N(Tasks[[#This Row],[Actual Finish]])&gt;0,1,MIN(1,Tasks[[#This Row],[_Pct]])))</f>
        <v>0</v>
      </c>
      <c r="DU53" s="45" t="n">
        <f aca="false">IF(OR(NOT(Tasks[[#This Row],[_IsLeaf]]=1),Tasks[[#This Row],[_Resource1]]=""),0,IF(ISNA(MATCH(Tasks[[#This Row],[_Resource1]],res_Name,0)),0,N(Tasks[[#This Row],[Duration]])*HoursPerDay*IF(Tasks[[#This Row],[_Units1]]="",DefaultUnits,Tasks[[#This Row],[_Units1]])))</f>
        <v>0</v>
      </c>
      <c r="DV53" s="45" t="n">
        <f aca="false">IF(Tasks[[#This Row],[_LeafWork]]=0,0,Tasks[[#This Row],[_LeafWork]]*IFERROR(INDEX(res_Rate,MATCH(Tasks[[#This Row],[_Resource1]],res_Name,0)),0))</f>
        <v>0</v>
      </c>
      <c r="DW53" s="45" t="n">
        <f aca="false">Tasks[[#This Row],[_LeafWork]]+Tasks[[#This Row],[_Res2Work]]+Tasks[[#This Row],[_Res3Work]]+Tasks[[#This Row],[_Res4Work]]</f>
        <v>0</v>
      </c>
      <c r="DX53" s="45" t="n">
        <f aca="false">Tasks[[#This Row],[_LeafCost]]+Tasks[[#This Row],[_Res2Cost]]+Tasks[[#This Row],[_Res3Cost]]+Tasks[[#This Row],[_Res4Cost]]</f>
        <v>0</v>
      </c>
      <c r="DY53" s="45" t="n">
        <f aca="false">IF(Tasks[[#This Row],[_LeafTotalCost]]=0,Tasks[[#This Row],[_LeafAC]],Tasks[[#This Row],[_LeafAC]]*Tasks[[#This Row],[_LeafCost]]/Tasks[[#This Row],[_LeafTotalCost]])</f>
        <v>0</v>
      </c>
      <c r="DZ5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5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5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5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5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5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5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5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53" s="45" t="n">
        <f aca="false">IF(NOT(Tasks[[#This Row],[_IsLeaf]]=1),0,MAX(_xlfn.MAXIFS(Tasks[_Row],Tasks[_Pred1UID],Tasks[[#This Row],[UID]]),_xlfn.MAXIFS(Tasks[_Row],Tasks[_Pred2UID],Tasks[[#This Row],[UID]]),_xlfn.MAXIFS(Tasks[_Row],Tasks[_Pred3UID],Tasks[[#This Row],[UID]]),_xlfn.MAXIFS(Tasks[_Row],Tasks[_Pred4UID],Tasks[[#This Row],[UID]])))</f>
        <v>0</v>
      </c>
      <c r="EI5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5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53" s="74" t="str">
        <f aca="false">IF(NOT(Tasks[[#This Row],[_IsLeaf]]=1),"",IF(N(Tasks[[#This Row],[Duration]])&lt;=0,Tasks[[#This Row],[_LeafLateFinish]],WORKDAY.INTL(Tasks[[#This Row],[_LeafLateFinish]],-(Tasks[[#This Row],[Duration]]-1),WorkWeek,Holidays)))</f>
        <v/>
      </c>
      <c r="EL5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53" s="73" t="b">
        <f aca="false">AND(Tasks[[#This Row],[_IsLeaf]]=1,Tasks[[#This Row],[_LeafProgress]]&lt;1,N(Tasks[[#This Row],[_LeafTotalSlack]])&lt;=CriticalSlackDays)</f>
        <v>0</v>
      </c>
      <c r="EN53" s="45" t="n">
        <f aca="false">IF(AND(Tasks[[#This Row],[_IsLeaf]]=1,Tasks[[#This Row],[_ConstraintCode]]=1,Tasks[[#This Row],[Mode]]&lt;&gt;"Manual",N(Tasks[[#This Row],[Actual Start]])=0),MAX(0,N(Tasks[[#This Row],[Free Slack]])),0)</f>
        <v>0</v>
      </c>
      <c r="EO53" s="74" t="str">
        <f aca="false">IF(NOT(Tasks[[#This Row],[_IsLeaf]]=1),"",IF(Tasks[[#This Row],[_AlapShift]]=0,Tasks[[#This Row],[_LeafCalcStart]],WORKDAY.INTL(Tasks[[#This Row],[_LeafCalcStart]],Tasks[[#This Row],[_AlapShift]],WorkWeek,Holidays)))</f>
        <v/>
      </c>
      <c r="EP53" s="74" t="str">
        <f aca="false">IF(NOT(Tasks[[#This Row],[_IsLeaf]]=1),"",IF(Tasks[[#This Row],[_AlapShift]]=0,Tasks[[#This Row],[_LeafCalcFinish]],WORKDAY.INTL(Tasks[[#This Row],[_LeafCalcFinish]],Tasks[[#This Row],[_AlapShift]],WorkWeek,Holidays)))</f>
        <v/>
      </c>
      <c r="EQ53" s="74" t="str">
        <f aca="false">IF(NOT(Tasks[[#This Row],[_IsLeaf]]=1),"",IF(Tasks[[#This Row],[_AlapShift]]=0,Tasks[[#This Row],[_LeafFcstStart]],WORKDAY.INTL(Tasks[[#This Row],[_LeafFcstStart]],Tasks[[#This Row],[_AlapShift]],WorkWeek,Holidays)))</f>
        <v/>
      </c>
      <c r="ER53" s="74" t="str">
        <f aca="false">IF(NOT(Tasks[[#This Row],[_IsLeaf]]=1),"",IF(Tasks[[#This Row],[_AlapShift]]=0,Tasks[[#This Row],[_LeafFcstFinish]],WORKDAY.INTL(Tasks[[#This Row],[_LeafFcstFinish]],Tasks[[#This Row],[_AlapShift]],WorkWeek,Holidays)))</f>
        <v/>
      </c>
      <c r="ES53" s="74" t="str">
        <f aca="false">IF(Tasks[[#This Row],[Task Name]]="","",IF(Tasks[[#This Row],[_IsSummary]],MIN(INDEX(Tasks[_ShownCalcStart],Tasks[[#This Row],[_Row]]+1):INDEX(Tasks[_ShownCalcStart],Tasks[[#This Row],[_Row]]+Tasks[[#This Row],[_Descendants]])),Tasks[[#This Row],[_ShownCalcStart]]))</f>
        <v/>
      </c>
      <c r="ET53" s="74" t="str">
        <f aca="false">IF(Tasks[[#This Row],[Task Name]]="","",IF(Tasks[[#This Row],[_IsSummary]],MAX(INDEX(Tasks[_ShownCalcFinish],Tasks[[#This Row],[_Row]]+1):INDEX(Tasks[_ShownCalcFinish],Tasks[[#This Row],[_Row]]+Tasks[[#This Row],[_Descendants]])),Tasks[[#This Row],[_ShownCalcFinish]]))</f>
        <v/>
      </c>
      <c r="EU5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5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5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5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5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5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5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5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5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5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5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5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53" s="45" t="n">
        <f aca="false">IF(AND(Tasks[[#This Row],[_IsLeaf]]=1,Tasks[[#This Row],[_LeafTotalWork]]&gt;0),NETWORKDAYS.INTL(ProjectStart,Tasks[[#This Row],[_ShownFcstStart]],WorkWeek,Holidays),0)</f>
        <v>0</v>
      </c>
      <c r="FH53" s="45" t="n">
        <f aca="false">IF(AND(Tasks[[#This Row],[_IsLeaf]]=1,Tasks[[#This Row],[_LeafTotalWork]]&gt;0),MAX(Tasks[[#This Row],[_StartWorkday]],NETWORKDAYS.INTL(ProjectStart,Tasks[[#This Row],[_ShownFcstFinish]],WorkWeek,Holidays)),0)</f>
        <v>0</v>
      </c>
      <c r="FI53" s="45" t="n">
        <f aca="false">IF(AND(Tasks[[#This Row],[_IsLeaf]]=1,Tasks[[#This Row],[_LeafTotalWork]]&gt;0),Tasks[[#This Row],[_LeafWork]]/(Tasks[[#This Row],[_FinishWorkday]]-Tasks[[#This Row],[_StartWorkday]]+1),0)</f>
        <v>0</v>
      </c>
      <c r="FJ53" s="45" t="n">
        <f aca="false">Tasks[[#This Row],[_WorkPerWorkday]]*(Tasks[[#This Row],[_StartWorkday]]-1)</f>
        <v>-0</v>
      </c>
      <c r="FK53" s="45" t="n">
        <f aca="false">IF(Tasks[[#This Row],[_IsLeaf]]=1,MAX(N(Tasks[[#This Row],[Duration]]),0.1),0)</f>
        <v>0</v>
      </c>
      <c r="FL53" s="45" t="n">
        <f aca="false">Tasks[[#This Row],[_WeightDur]]*Tasks[[#This Row],[_LeafProgress]]</f>
        <v>0</v>
      </c>
      <c r="FM5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53" s="45" t="str">
        <f aca="false">IF(AND(Tasks[[#This Row],[_IsLeaf]]=1,N(Tasks[[#This Row],[Duration]])=0,Tasks[[#This Row],[_LeafProgress]]&lt;1),Tasks[[#This Row],[_ShownFcstFinish]]+Tasks[[#This Row],[_Row]]/100000,"")</f>
        <v/>
      </c>
      <c r="FO5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53" s="45" t="n">
        <f aca="false">IF(NOT(Tasks[[#This Row],[_IsLeaf]]=1),0,IF(Tasks[[#This Row],[Baseline Cost]]="",Tasks[[#This Row],[_LeafTotalCost]],N(Tasks[[#This Row],[Baseline Cost]])))</f>
        <v>0</v>
      </c>
      <c r="FQ53" s="45" t="n">
        <f aca="false">Tasks[[#This Row],[_LeafBudget]]*Tasks[[#This Row],[_PlannedPct]]</f>
        <v>0</v>
      </c>
      <c r="FR53" s="45" t="n">
        <f aca="false">Tasks[[#This Row],[_LeafBudget]]*Tasks[[#This Row],[_LeafProgress]]</f>
        <v>0</v>
      </c>
      <c r="FS53" s="45" t="n">
        <f aca="false">IF(NOT(Tasks[[#This Row],[_IsLeaf]]=1),0,IF(Tasks[[#This Row],[Actual Cost]]="",Tasks[[#This Row],[_LeafTotalCost]]*Tasks[[#This Row],[_LeafProgress]],N(Tasks[[#This Row],[Actual Cost]])))</f>
        <v>0</v>
      </c>
      <c r="FT53" s="45" t="str">
        <f aca="false">IF(Tasks[[#This Row],[Task Name]]="","",LEFT(Tasks[[#This Row],[WBS]],FIND(".",Tasks[[#This Row],[WBS]]&amp;".")-1))</f>
        <v/>
      </c>
      <c r="FU53" s="45" t="str">
        <f aca="false">IF(AND(Tasks[[#This Row],[Task Name]]&lt;&gt;"",Tasks[[#This Row],[_Level]]=1),Tasks[[#This Row],[_Row]],"")</f>
        <v/>
      </c>
      <c r="FV53" s="45" t="str">
        <f aca="false">IF(AND(Tasks[[#This Row],[_IsLeaf]]=1,N(Tasks[[#This Row],[Duration]])=0),Tasks[[#This Row],[Planned Finish]]+Tasks[[#This Row],[_Row]]/100000,"")</f>
        <v/>
      </c>
      <c r="FW53" s="45" t="str">
        <f aca="false">IF(AND(Tasks[[#This Row],[_IsLeaf]]=1,Tasks[[#This Row],[_LeafProgress]]&lt;1,OR(N(Tasks[[#This Row],[Finish Var]])&gt;0,Tasks[[#This Row],[Status]]="Late Start")),MAX(0,Tasks[[#This Row],[Finish Var]])+1-Tasks[[#This Row],[_Row]]/1000000,"")</f>
        <v/>
      </c>
      <c r="FX53" s="45" t="str">
        <f aca="false">IF(AND(Tasks[[#This Row],[_IsLeaf]]=1,N(Tasks[[#This Row],[Actual Start]])=0,Tasks[[#This Row],[_ShownFcstStart]]&gt;=StatusDate,Tasks[[#This Row],[_ShownFcstStart]]&lt;=LookaheadEnd),Tasks[[#This Row],[_ShownFcstStart]]+Tasks[[#This Row],[_Row]]/100000,"")</f>
        <v/>
      </c>
      <c r="FY53" s="45" t="str">
        <f aca="false">IF(AND(Tasks[[#This Row],[_IsLeaf]]=1,Tasks[[#This Row],[_LeafProgress]]&lt;1,Tasks[[#This Row],[_ShownFcstFinish]]&gt;=StatusDate,Tasks[[#This Row],[_ShownFcstFinish]]&lt;=LookaheadEnd),Tasks[[#This Row],[_ShownFcstFinish]]+Tasks[[#This Row],[_Row]]/100000,"")</f>
        <v/>
      </c>
      <c r="FZ53" s="45" t="str">
        <f aca="false">IF(Tasks[[#This Row],[_LeafCritical]],Tasks[[#This Row],[_ShownFcstStart]]+Tasks[[#This Row],[_Row]]/100000,"")</f>
        <v/>
      </c>
      <c r="GA53" s="45" t="n">
        <f aca="false">Tasks[[#This Row],[_LeafWork]]*Tasks[[#This Row],[_LeafProgress]]</f>
        <v>0</v>
      </c>
      <c r="GB53" s="74" t="str">
        <f aca="false">IF(AND(Tasks[[#This Row],[_IsLeaf]]=1,Tasks[[#This Row],[_LeafProgress]]&gt;=1),IF(N(Tasks[[#This Row],[Actual Finish]])&gt;0,Tasks[[#This Row],[Actual Finish]],Tasks[[#This Row],[_ShownFcstFinish]]),"")</f>
        <v/>
      </c>
    </row>
    <row r="54" customFormat="false" ht="15" hidden="false" customHeight="false" outlineLevel="0" collapsed="false">
      <c r="A54" s="67" t="str">
        <f aca="false">IF(Tasks[[#This Row],[Task Name]]="","",COUNTA(Tasks[[#Headers],[Task Name]]:Tasks[[#This Row],[Task Name]])-1)</f>
        <v/>
      </c>
      <c r="B54" s="21" t="n">
        <v>49</v>
      </c>
      <c r="C5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21"/>
      <c r="E54" s="22"/>
      <c r="F54" s="21"/>
      <c r="G54" s="22"/>
      <c r="H54" s="22"/>
      <c r="I54" s="22"/>
      <c r="J54" s="7"/>
      <c r="K54" s="7"/>
      <c r="L54" s="22"/>
      <c r="M54" s="58" t="str">
        <f aca="false">IF(Tasks[[#This Row],[Task Name]]="","",IF(Tasks[[#This Row],[_IsSummary]],MIN(INDEX(Tasks[_ShownFcstStart],Tasks[[#This Row],[_Row]]+1):INDEX(Tasks[_ShownFcstStart],Tasks[[#This Row],[_Row]]+Tasks[[#This Row],[_Descendants]])),Tasks[[#This Row],[_ShownFcstStart]]))</f>
        <v/>
      </c>
      <c r="N54" s="58" t="str">
        <f aca="false">IF(Tasks[[#This Row],[Task Name]]="","",IF(Tasks[[#This Row],[_IsSummary]],MAX(INDEX(Tasks[_ShownFcstFinish],Tasks[[#This Row],[_Row]]+1):INDEX(Tasks[_ShownFcstFinish],Tasks[[#This Row],[_Row]]+Tasks[[#This Row],[_Descendants]])),Tasks[[#This Row],[_ShownFcstFinish]]))</f>
        <v/>
      </c>
      <c r="O54" s="20" t="str">
        <f aca="false">IF(Tasks[[#This Row],[Task Name]]="","",IF(Tasks[[#This Row],[Progress]]&gt;=1,"Complete",IF(OR(N(Tasks[[#This Row],[Actual Start]])&gt;0,Tasks[[#This Row],[Progress]]&gt;0),IF(Tasks[[#This Row],[Finish Var]]&gt;0,"Behind","In Progress"),IF(Tasks[[#This Row],[Planned Start]]&lt;StatusDate,"Late Start","Not Started"))))</f>
        <v/>
      </c>
      <c r="P54" s="20" t="str">
        <f aca="false">IF(Tasks[[#This Row],[Task Name]]="","",IF(IF(Tasks[[#This Row],[_IsSummary]],COUNTIF(INDEX(Tasks[_LeafCritical],Tasks[[#This Row],[_Row]]+1):INDEX(Tasks[_LeafCritical],Tasks[[#This Row],[_Row]]+Tasks[[#This Row],[_Descendants]]),TRUE())&gt;0,Tasks[[#This Row],[_LeafCritical]]),"Yes",""))</f>
        <v/>
      </c>
      <c r="Q5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54" s="67" t="str">
        <f aca="false">IF(Tasks[[#This Row],[Task Name]]="","",IF(Tasks[[#This Row],[_Level]]&lt;=OutlineShowLevel,"Yes","No"))</f>
        <v/>
      </c>
      <c r="S54" s="7"/>
      <c r="T54" s="21"/>
      <c r="U54" s="22"/>
      <c r="V54" s="7"/>
      <c r="W54" s="67" t="str">
        <f aca="false">IF(Tasks[[#This Row],[Task Name]]="","",IF(Tasks[[#This Row],[Finish]]&gt;=Tasks[[#This Row],[Planned Finish]],NETWORKDAYS.INTL(Tasks[[#This Row],[Planned Finish]],Tasks[[#This Row],[Finish]],WorkWeek,Holidays)-1,1-NETWORKDAYS.INTL(Tasks[[#This Row],[Finish]],Tasks[[#This Row],[Planned Finish]],WorkWeek,Holidays)))</f>
        <v/>
      </c>
      <c r="X54" s="58" t="str">
        <f aca="false">IF(Tasks[[#This Row],[Task Name]]="","",IF(N(Tasks[[#This Row],[Baseline Start]])&gt;0,Tasks[[#This Row],[Baseline Start]],Tasks[[#This Row],[_CalcStart]]))</f>
        <v/>
      </c>
      <c r="Y54" s="58" t="str">
        <f aca="false">IF(Tasks[[#This Row],[Task Name]]="","",IF(N(Tasks[[#This Row],[Baseline Finish]])&gt;0,Tasks[[#This Row],[Baseline Finish]],Tasks[[#This Row],[_CalcFinish]]))</f>
        <v/>
      </c>
      <c r="Z54" s="67" t="str">
        <f aca="false">IF(Tasks[[#This Row],[Task Name]]="","",IF(Tasks[[#This Row],[Start]]&gt;=Tasks[[#This Row],[Planned Start]],NETWORKDAYS.INTL(Tasks[[#This Row],[Planned Start]],Tasks[[#This Row],[Start]],WorkWeek,Holidays)-1,1-NETWORKDAYS.INTL(Tasks[[#This Row],[Start]],Tasks[[#This Row],[Planned Start]],WorkWeek,Holidays)))</f>
        <v/>
      </c>
      <c r="AA54" s="58" t="str">
        <f aca="false">IF(Tasks[[#This Row],[Task Name]]="","",IF(Tasks[[#This Row],[_IsSummary]],MIN(INDEX(Tasks[_LeafLateStart],Tasks[[#This Row],[_Row]]+1):INDEX(Tasks[_LeafLateStart],Tasks[[#This Row],[_Row]]+Tasks[[#This Row],[_Descendants]])),Tasks[[#This Row],[_LeafLateStart]]))</f>
        <v/>
      </c>
      <c r="AB54" s="58" t="str">
        <f aca="false">IF(Tasks[[#This Row],[Task Name]]="","",IF(Tasks[[#This Row],[_IsSummary]],MAX(INDEX(Tasks[_LeafLateFinish],Tasks[[#This Row],[_Row]]+1):INDEX(Tasks[_LeafLateFinish],Tasks[[#This Row],[_Row]]+Tasks[[#This Row],[_Descendants]])),Tasks[[#This Row],[_LeafLateFinish]]))</f>
        <v/>
      </c>
      <c r="AC54" s="67" t="str">
        <f aca="false">IF(Tasks[[#This Row],[Task Name]]="","",IF(Tasks[[#This Row],[_IsSummary]],MIN(INDEX(Tasks[_LeafTotalSlack],Tasks[[#This Row],[_Row]]+1):INDEX(Tasks[_LeafTotalSlack],Tasks[[#This Row],[_Row]]+Tasks[[#This Row],[_Descendants]])),Tasks[[#This Row],[_LeafTotalSlack]]))</f>
        <v/>
      </c>
      <c r="AD5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5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5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54" s="60"/>
      <c r="AH5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5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54" s="69" t="str">
        <f aca="false">IF(Tasks[[#This Row],[Task Name]]="","",IF(Tasks[[#This Row],[_IsSummary]],SUM(INDEX(Tasks[_LeafTotalWork],Tasks[[#This Row],[_Row]]+1):INDEX(Tasks[_LeafTotalWork],Tasks[[#This Row],[_Row]]+Tasks[[#This Row],[_Descendants]])),Tasks[[#This Row],[_LeafTotalWork]]))</f>
        <v/>
      </c>
      <c r="AK5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54" s="70" t="str">
        <f aca="false">IF(Tasks[[#This Row],[Task Name]]="","",IF(Tasks[[#This Row],[_IsSummary]],SUM(INDEX(Tasks[_LeafTotalCost],Tasks[[#This Row],[_Row]]+1):INDEX(Tasks[_LeafTotalCost],Tasks[[#This Row],[_Row]]+Tasks[[#This Row],[_Descendants]])),Tasks[[#This Row],[_LeafTotalCost]]))</f>
        <v/>
      </c>
      <c r="AM54" s="71"/>
      <c r="AN54" s="20" t="str">
        <f aca="false">IF(OR(Tasks[[#This Row],[Task Name]]="",Tasks[[#This Row],[Baseline Duration]]=""),"",Tasks[[#This Row],[BL Source Duration]]-N(Tasks[[#This Row],[Baseline Duration]]))</f>
        <v/>
      </c>
      <c r="AO54" s="69" t="str">
        <f aca="false">IF(OR(Tasks[[#This Row],[Task Name]]="",Tasks[[#This Row],[Baseline Work]]=""),"",Tasks[[#This Row],[Work]]-N(Tasks[[#This Row],[Baseline Work]]))</f>
        <v/>
      </c>
      <c r="AP54" s="70" t="str">
        <f aca="false">IF(OR(Tasks[[#This Row],[Task Name]]="",Tasks[[#This Row],[Baseline Cost]]=""),"",Tasks[[#This Row],[Cost]]-N(Tasks[[#This Row],[Baseline Cost]]))</f>
        <v/>
      </c>
      <c r="AQ54" s="58" t="str">
        <f aca="false">IF(Tasks[[#This Row],[Task Name]]="","",Tasks[[#This Row],[Start]])</f>
        <v/>
      </c>
      <c r="AR54" s="58" t="str">
        <f aca="false">IF(Tasks[[#This Row],[Task Name]]="","",Tasks[[#This Row],[Finish]])</f>
        <v/>
      </c>
      <c r="AS54" s="67" t="str">
        <f aca="false">IF(Tasks[[#This Row],[Task Name]]="","",IF(Tasks[[#This Row],[_IsSummary]],NETWORKDAYS.INTL(Tasks[[#This Row],[Start]],Tasks[[#This Row],[Finish]],WorkWeek,Holidays),N(Tasks[[#This Row],[Duration]])))</f>
        <v/>
      </c>
      <c r="AT54" s="69" t="str">
        <f aca="false">IF(Tasks[[#This Row],[Task Name]]="","",Tasks[[#This Row],[Work]])</f>
        <v/>
      </c>
      <c r="AU54" s="70" t="str">
        <f aca="false">IF(Tasks[[#This Row],[Task Name]]="","",Tasks[[#This Row],[Cost]])</f>
        <v/>
      </c>
      <c r="AV54" s="7"/>
      <c r="AW54" s="7"/>
      <c r="AX54" s="21"/>
      <c r="AY54" s="72"/>
      <c r="AZ54" s="71"/>
      <c r="BA54" s="70" t="str">
        <f aca="false">IF(Tasks[[#This Row],[Task Name]]="","",IF(Tasks[[#This Row],[_IsSummary]],SUM(INDEX(Tasks[_LeafEV],Tasks[[#This Row],[_Row]]+1):INDEX(Tasks[_LeafEV],Tasks[[#This Row],[_Row]]+Tasks[[#This Row],[_Descendants]])),Tasks[[#This Row],[_LeafEV]]))</f>
        <v/>
      </c>
      <c r="BB54" s="70" t="str">
        <f aca="false">IF(Tasks[[#This Row],[Task Name]]="","",IF(Tasks[[#This Row],[_IsSummary]],SUM(INDEX(Tasks[_LeafBudget],Tasks[[#This Row],[_Row]]+1):INDEX(Tasks[_LeafBudget],Tasks[[#This Row],[_Row]]+Tasks[[#This Row],[_Descendants]])),Tasks[[#This Row],[_LeafBudget]]))</f>
        <v/>
      </c>
      <c r="BC54" s="70" t="str">
        <f aca="false">IF(Tasks[[#This Row],[Task Name]]="","",IF(Tasks[[#This Row],[_IsSummary]],SUM(INDEX(Tasks[_LeafPV],Tasks[[#This Row],[_Row]]+1):INDEX(Tasks[_LeafPV],Tasks[[#This Row],[_Row]]+Tasks[[#This Row],[_Descendants]])),Tasks[[#This Row],[_LeafPV]]))</f>
        <v/>
      </c>
      <c r="BD54" s="70" t="str">
        <f aca="false">IF(Tasks[[#This Row],[Task Name]]="","",IF(Tasks[[#This Row],[_IsSummary]],SUM(INDEX(Tasks[_LeafAC],Tasks[[#This Row],[_Row]]+1):INDEX(Tasks[_LeafAC],Tasks[[#This Row],[_Row]]+Tasks[[#This Row],[_Descendants]])),Tasks[[#This Row],[_LeafAC]]))</f>
        <v/>
      </c>
      <c r="BE54" s="45" t="str">
        <f aca="false">IF(Tasks[[#This Row],[Task Name]]="","",MAX(1,N(Tasks[[#This Row],[Level]])))</f>
        <v/>
      </c>
      <c r="BF54" s="45" t="n">
        <f aca="false">ROW()-ROW(Tasks[[#Headers],[ID]])</f>
        <v>49</v>
      </c>
      <c r="BG54" s="45" t="n">
        <f aca="false">IF(OR(Tasks[[#This Row],[Task Name]]="",Tasks[[#This Row],[_Level]]&lt;=1),0,IFERROR(LOOKUP(2,1/(Tasks[[#Headers],[_Level]]:Tasks[[#This Row],[_Level]]=Tasks[[#This Row],[_Level]]-1),ROW(Tasks[[#Headers],[_Level]]:Tasks[[#This Row],[_Level]])),0))</f>
        <v>0</v>
      </c>
      <c r="BH54" s="45" t="n">
        <f aca="false">IFERROR(N(INDEX(Tasks[_Level],Tasks[[#This Row],[_Row]]+1)),0)</f>
        <v>0</v>
      </c>
      <c r="BI54" s="73" t="b">
        <f aca="false">AND(Tasks[[#This Row],[Task Name]]&lt;&gt;"",Tasks[[#This Row],[_NextLevel]]&gt;Tasks[[#This Row],[_Level]])</f>
        <v>0</v>
      </c>
      <c r="BJ54" s="45" t="n">
        <f aca="false">IF(Tasks[[#This Row],[_IsSummary]],COUNTIF(Tasks[WBS],Tasks[[#This Row],[WBS]]&amp;".*"),0)</f>
        <v>0</v>
      </c>
      <c r="BK54" s="45" t="n">
        <f aca="false">IF(AND(Tasks[[#This Row],[Task Name]]&lt;&gt;"",NOT(Tasks[[#This Row],[_IsSummary]])),1,0)</f>
        <v>0</v>
      </c>
      <c r="BL54" s="45" t="n">
        <f aca="false">IF(N(Tasks[[#This Row],[_Pred1UID]])=0,0,IFERROR(MATCH(Tasks[[#This Row],[_Pred1UID]],Tasks[UID],0),-1))</f>
        <v>0</v>
      </c>
      <c r="BM54" s="45" t="n">
        <f aca="false">IF(N(Tasks[[#This Row],[_Pred2UID]])=0,0,IFERROR(MATCH(Tasks[[#This Row],[_Pred2UID]],Tasks[UID],0),-1))</f>
        <v>0</v>
      </c>
      <c r="BN54" s="45" t="n">
        <f aca="false">IF(N(Tasks[[#This Row],[_Pred3UID]])=0,0,IFERROR(MATCH(Tasks[[#This Row],[_Pred3UID]],Tasks[UID],0),-1))</f>
        <v>0</v>
      </c>
      <c r="BO54" s="45" t="n">
        <f aca="false">IF(N(Tasks[[#This Row],[_Pred4UID]])=0,0,IFERROR(MATCH(Tasks[[#This Row],[_Pred4UID]],Tasks[UID],0),-1))</f>
        <v>0</v>
      </c>
      <c r="BP5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5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54" s="74" t="n">
        <f aca="false">IF(OR(Tasks[[#This Row],[_ConstraintCode]]=2,Tasks[[#This Row],[_ConstraintCode]]=3,Tasks[[#This Row],[_ConstraintCode]]=4,Tasks[[#This Row],[_ConstraintCode]]=6),Tasks[[#This Row],[_ConstraintStart]],0)</f>
        <v>0</v>
      </c>
      <c r="BS54" s="74" t="n">
        <f aca="false">IF(OR(Tasks[[#This Row],[_ConstraintCode]]=2,Tasks[[#This Row],[_ConstraintCode]]=3,Tasks[[#This Row],[_ConstraintCode]]=5,Tasks[[#This Row],[_ConstraintCode]]=7),Tasks[[#This Row],[_ConstraintStart]],2958465)</f>
        <v>2958465</v>
      </c>
      <c r="BT5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54" s="74" t="str">
        <f aca="false">IF(NOT(Tasks[[#This Row],[_IsLeaf]]=1),"",IF(N(Tasks[[#This Row],[Duration]])&lt;=0,Tasks[[#This Row],[_LeafCalcStart]],WORKDAY.INTL(Tasks[[#This Row],[_LeafCalcStart]],Tasks[[#This Row],[Duration]]-1,WorkWeek,Holidays)))</f>
        <v/>
      </c>
      <c r="BV5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5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54" s="45" t="str">
        <f aca="false">IF(Tasks[[#This Row],[Predecessors]]="","",TRIM(MID(SUBSTITUTE(SUBSTITUTE(SUBSTITUTE(UPPER(Tasks[[#This Row],[Predecessors]]),";",",")," ",""),",",REPT(" ",99)),1,99)))</f>
        <v/>
      </c>
      <c r="BY54" s="45" t="str">
        <f aca="false">IF(Tasks[[#This Row],[_Pred1Text]]="","",IFERROR(VALUE(LEFT(Tasks[[#This Row],[_Pred1Text]],MIN(FIND("F",Tasks[[#This Row],[_Pred1Text]]&amp;"F"),FIND("S",Tasks[[#This Row],[_Pred1Text]]&amp;"S"),FIND("+",Tasks[[#This Row],[_Pred1Text]]&amp;"+"),FIND("-",Tasks[[#This Row],[_Pred1Text]]&amp;"-"))-1)),""))</f>
        <v/>
      </c>
      <c r="BZ5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5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54" s="45" t="str">
        <f aca="false">IF(Tasks[[#This Row],[_Pred1Text]]="","",TRIM(MID(SUBSTITUTE(SUBSTITUTE(SUBSTITUTE(UPPER(Tasks[[#This Row],[Predecessors]]),";",",")," ",""),",",REPT(" ",99)),100,99)))</f>
        <v/>
      </c>
      <c r="CC54" s="45" t="str">
        <f aca="false">IF(Tasks[[#This Row],[_Pred2Text]]="","",IFERROR(VALUE(LEFT(Tasks[[#This Row],[_Pred2Text]],MIN(FIND("F",Tasks[[#This Row],[_Pred2Text]]&amp;"F"),FIND("S",Tasks[[#This Row],[_Pred2Text]]&amp;"S"),FIND("+",Tasks[[#This Row],[_Pred2Text]]&amp;"+"),FIND("-",Tasks[[#This Row],[_Pred2Text]]&amp;"-"))-1)),""))</f>
        <v/>
      </c>
      <c r="CD5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5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54" s="45" t="str">
        <f aca="false">IF(Tasks[[#This Row],[_Pred2Text]]="","",TRIM(MID(SUBSTITUTE(SUBSTITUTE(SUBSTITUTE(UPPER(Tasks[[#This Row],[Predecessors]]),";",",")," ",""),",",REPT(" ",99)),199,99)))</f>
        <v/>
      </c>
      <c r="CG54" s="45" t="str">
        <f aca="false">IF(Tasks[[#This Row],[_Pred3Text]]="","",IFERROR(VALUE(LEFT(Tasks[[#This Row],[_Pred3Text]],MIN(FIND("F",Tasks[[#This Row],[_Pred3Text]]&amp;"F"),FIND("S",Tasks[[#This Row],[_Pred3Text]]&amp;"S"),FIND("+",Tasks[[#This Row],[_Pred3Text]]&amp;"+"),FIND("-",Tasks[[#This Row],[_Pred3Text]]&amp;"-"))-1)),""))</f>
        <v/>
      </c>
      <c r="CH5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5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54" s="45" t="str">
        <f aca="false">IF(Tasks[[#This Row],[_Pred3Text]]="","",TRIM(MID(SUBSTITUTE(SUBSTITUTE(SUBSTITUTE(UPPER(Tasks[[#This Row],[Predecessors]]),";",",")," ",""),",",REPT(" ",99)),298,99)))</f>
        <v/>
      </c>
      <c r="CK54" s="45" t="str">
        <f aca="false">IF(Tasks[[#This Row],[_Pred4Text]]="","",IFERROR(VALUE(LEFT(Tasks[[#This Row],[_Pred4Text]],MIN(FIND("F",Tasks[[#This Row],[_Pred4Text]]&amp;"F"),FIND("S",Tasks[[#This Row],[_Pred4Text]]&amp;"S"),FIND("+",Tasks[[#This Row],[_Pred4Text]]&amp;"+"),FIND("-",Tasks[[#This Row],[_Pred4Text]]&amp;"-"))-1)),""))</f>
        <v/>
      </c>
      <c r="CL5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5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54" s="45" t="str">
        <f aca="false">IF(OR(Tasks[[#This Row],[Task Name]]="",Tasks[[#This Row],[Resources]]=""),"",TRIM(MID(SUBSTITUTE(Tasks[[#This Row],[Resources]],",",REPT(" ",99)),1,99)))</f>
        <v/>
      </c>
      <c r="CO54" s="45" t="str">
        <f aca="false">IF(Tasks[[#This Row],[_Res1Text]]="","",TRIM(MID(SUBSTITUTE(Tasks[[#This Row],[Resources]],",",REPT(" ",99)),100,99)))</f>
        <v/>
      </c>
      <c r="CP54" s="45" t="str">
        <f aca="false">IF(Tasks[[#This Row],[_Res2Text]]="","",TRIM(MID(SUBSTITUTE(Tasks[[#This Row],[Resources]],",",REPT(" ",99)),199,99)))</f>
        <v/>
      </c>
      <c r="CQ54" s="45" t="str">
        <f aca="false">IF(Tasks[[#This Row],[_Res3Text]]="","",TRIM(MID(SUBSTITUTE(Tasks[[#This Row],[Resources]],",",REPT(" ",99)),298,99)))</f>
        <v/>
      </c>
      <c r="CR5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5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4" s="45" t="n">
        <f aca="false">IF(NOT(Tasks[[#This Row],[_IsLeaf]]=1),0,(Tasks[[#This Row],[_Resource1]]&lt;&gt;"")+(Tasks[[#This Row],[_Res2]]&lt;&gt;"")+(Tasks[[#This Row],[_Res3]]&lt;&gt;"")+(Tasks[[#This Row],[_Res4]]&lt;&gt;""))</f>
        <v>0</v>
      </c>
      <c r="CU5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5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4" s="45" t="n">
        <f aca="false">IF(OR(NOT(Tasks[[#This Row],[_IsLeaf]]=1),Tasks[[#This Row],[_Res2]]=""),0,IF(ISNA(MATCH(Tasks[[#This Row],[_Res2]],res_Name,0)),0,N(Tasks[[#This Row],[Duration]])*HoursPerDay*IF(Tasks[[#This Row],[_Res2Units]]="",DefaultUnits,Tasks[[#This Row],[_Res2Units]])))</f>
        <v>0</v>
      </c>
      <c r="CX54" s="45" t="n">
        <f aca="false">IF(Tasks[[#This Row],[_Res2Work]]=0,0,Tasks[[#This Row],[_Res2Work]]*IFERROR(INDEX(res_Rate,MATCH(Tasks[[#This Row],[_Res2]],res_Name,0)),0))</f>
        <v>0</v>
      </c>
      <c r="CY54" s="45" t="n">
        <f aca="false">IF(AND(AND(Tasks[[#This Row],[_IsLeaf]]=1,Tasks[[#This Row],[_LeafTotalWork]]&gt;0),Tasks[[#This Row],[_Res2Work]]&gt;0),Tasks[[#This Row],[_Res2Work]]/(Tasks[[#This Row],[_FinishWorkday]]-Tasks[[#This Row],[_StartWorkday]]+1),0)</f>
        <v>0</v>
      </c>
      <c r="CZ54" s="45" t="n">
        <f aca="false">Tasks[[#This Row],[_Res2WorkPerWD]]*MAX(0,Tasks[[#This Row],[_StartWorkday]]-1)</f>
        <v>0</v>
      </c>
      <c r="DA54" s="45" t="n">
        <f aca="false">Tasks[[#This Row],[_Res2Work]]*Tasks[[#This Row],[_LeafProgress]]</f>
        <v>0</v>
      </c>
      <c r="DB54" s="45" t="n">
        <f aca="false">IF(Tasks[[#This Row],[_LeafTotalCost]]=0,0,Tasks[[#This Row],[_LeafAC]]*Tasks[[#This Row],[_Res2Cost]]/Tasks[[#This Row],[_LeafTotalCost]])</f>
        <v>0</v>
      </c>
      <c r="DC5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5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54" s="45" t="n">
        <f aca="false">IF(OR(NOT(Tasks[[#This Row],[_IsLeaf]]=1),Tasks[[#This Row],[_Res3]]=""),0,IF(ISNA(MATCH(Tasks[[#This Row],[_Res3]],res_Name,0)),0,N(Tasks[[#This Row],[Duration]])*HoursPerDay*IF(Tasks[[#This Row],[_Res3Units]]="",DefaultUnits,Tasks[[#This Row],[_Res3Units]])))</f>
        <v>0</v>
      </c>
      <c r="DF54" s="45" t="n">
        <f aca="false">IF(Tasks[[#This Row],[_Res3Work]]=0,0,Tasks[[#This Row],[_Res3Work]]*IFERROR(INDEX(res_Rate,MATCH(Tasks[[#This Row],[_Res3]],res_Name,0)),0))</f>
        <v>0</v>
      </c>
      <c r="DG54" s="45" t="n">
        <f aca="false">IF(AND(AND(Tasks[[#This Row],[_IsLeaf]]=1,Tasks[[#This Row],[_LeafTotalWork]]&gt;0),Tasks[[#This Row],[_Res3Work]]&gt;0),Tasks[[#This Row],[_Res3Work]]/(Tasks[[#This Row],[_FinishWorkday]]-Tasks[[#This Row],[_StartWorkday]]+1),0)</f>
        <v>0</v>
      </c>
      <c r="DH54" s="45" t="n">
        <f aca="false">Tasks[[#This Row],[_Res3WorkPerWD]]*MAX(0,Tasks[[#This Row],[_StartWorkday]]-1)</f>
        <v>0</v>
      </c>
      <c r="DI54" s="45" t="n">
        <f aca="false">Tasks[[#This Row],[_Res3Work]]*Tasks[[#This Row],[_LeafProgress]]</f>
        <v>0</v>
      </c>
      <c r="DJ54" s="45" t="n">
        <f aca="false">IF(Tasks[[#This Row],[_LeafTotalCost]]=0,0,Tasks[[#This Row],[_LeafAC]]*Tasks[[#This Row],[_Res3Cost]]/Tasks[[#This Row],[_LeafTotalCost]])</f>
        <v>0</v>
      </c>
      <c r="DK5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5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54" s="45" t="n">
        <f aca="false">IF(OR(NOT(Tasks[[#This Row],[_IsLeaf]]=1),Tasks[[#This Row],[_Res4]]=""),0,IF(ISNA(MATCH(Tasks[[#This Row],[_Res4]],res_Name,0)),0,N(Tasks[[#This Row],[Duration]])*HoursPerDay*IF(Tasks[[#This Row],[_Res4Units]]="",DefaultUnits,Tasks[[#This Row],[_Res4Units]])))</f>
        <v>0</v>
      </c>
      <c r="DN54" s="45" t="n">
        <f aca="false">IF(Tasks[[#This Row],[_Res4Work]]=0,0,Tasks[[#This Row],[_Res4Work]]*IFERROR(INDEX(res_Rate,MATCH(Tasks[[#This Row],[_Res4]],res_Name,0)),0))</f>
        <v>0</v>
      </c>
      <c r="DO54" s="45" t="n">
        <f aca="false">IF(AND(AND(Tasks[[#This Row],[_IsLeaf]]=1,Tasks[[#This Row],[_LeafTotalWork]]&gt;0),Tasks[[#This Row],[_Res4Work]]&gt;0),Tasks[[#This Row],[_Res4Work]]/(Tasks[[#This Row],[_FinishWorkday]]-Tasks[[#This Row],[_StartWorkday]]+1),0)</f>
        <v>0</v>
      </c>
      <c r="DP54" s="45" t="n">
        <f aca="false">Tasks[[#This Row],[_Res4WorkPerWD]]*MAX(0,Tasks[[#This Row],[_StartWorkday]]-1)</f>
        <v>0</v>
      </c>
      <c r="DQ54" s="45" t="n">
        <f aca="false">Tasks[[#This Row],[_Res4Work]]*Tasks[[#This Row],[_LeafProgress]]</f>
        <v>0</v>
      </c>
      <c r="DR54" s="45" t="n">
        <f aca="false">IF(Tasks[[#This Row],[_LeafTotalCost]]=0,0,Tasks[[#This Row],[_LeafAC]]*Tasks[[#This Row],[_Res4Cost]]/Tasks[[#This Row],[_LeafTotalCost]])</f>
        <v>0</v>
      </c>
      <c r="DS54" s="45" t="n">
        <f aca="false">IF(ISNUMBER(Tasks[[#This Row],[% Complete]]),Tasks[[#This Row],[% Complete]],IF(Tasks[[#This Row],[Stage]]="",0,IFERROR(INDEX(stg_Pct,MATCH(Tasks[[#This Row],[Stage]],stg_Name,0)),0)))</f>
        <v>0</v>
      </c>
      <c r="DT54" s="45" t="n">
        <f aca="false">IF(NOT(Tasks[[#This Row],[_IsLeaf]]=1),0,IF(N(Tasks[[#This Row],[Actual Finish]])&gt;0,1,MIN(1,Tasks[[#This Row],[_Pct]])))</f>
        <v>0</v>
      </c>
      <c r="DU54" s="45" t="n">
        <f aca="false">IF(OR(NOT(Tasks[[#This Row],[_IsLeaf]]=1),Tasks[[#This Row],[_Resource1]]=""),0,IF(ISNA(MATCH(Tasks[[#This Row],[_Resource1]],res_Name,0)),0,N(Tasks[[#This Row],[Duration]])*HoursPerDay*IF(Tasks[[#This Row],[_Units1]]="",DefaultUnits,Tasks[[#This Row],[_Units1]])))</f>
        <v>0</v>
      </c>
      <c r="DV54" s="45" t="n">
        <f aca="false">IF(Tasks[[#This Row],[_LeafWork]]=0,0,Tasks[[#This Row],[_LeafWork]]*IFERROR(INDEX(res_Rate,MATCH(Tasks[[#This Row],[_Resource1]],res_Name,0)),0))</f>
        <v>0</v>
      </c>
      <c r="DW54" s="45" t="n">
        <f aca="false">Tasks[[#This Row],[_LeafWork]]+Tasks[[#This Row],[_Res2Work]]+Tasks[[#This Row],[_Res3Work]]+Tasks[[#This Row],[_Res4Work]]</f>
        <v>0</v>
      </c>
      <c r="DX54" s="45" t="n">
        <f aca="false">Tasks[[#This Row],[_LeafCost]]+Tasks[[#This Row],[_Res2Cost]]+Tasks[[#This Row],[_Res3Cost]]+Tasks[[#This Row],[_Res4Cost]]</f>
        <v>0</v>
      </c>
      <c r="DY54" s="45" t="n">
        <f aca="false">IF(Tasks[[#This Row],[_LeafTotalCost]]=0,Tasks[[#This Row],[_LeafAC]],Tasks[[#This Row],[_LeafAC]]*Tasks[[#This Row],[_LeafCost]]/Tasks[[#This Row],[_LeafTotalCost]])</f>
        <v>0</v>
      </c>
      <c r="DZ5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5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5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5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5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5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5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5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54" s="45" t="n">
        <f aca="false">IF(NOT(Tasks[[#This Row],[_IsLeaf]]=1),0,MAX(_xlfn.MAXIFS(Tasks[_Row],Tasks[_Pred1UID],Tasks[[#This Row],[UID]]),_xlfn.MAXIFS(Tasks[_Row],Tasks[_Pred2UID],Tasks[[#This Row],[UID]]),_xlfn.MAXIFS(Tasks[_Row],Tasks[_Pred3UID],Tasks[[#This Row],[UID]]),_xlfn.MAXIFS(Tasks[_Row],Tasks[_Pred4UID],Tasks[[#This Row],[UID]])))</f>
        <v>0</v>
      </c>
      <c r="EI5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5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54" s="74" t="str">
        <f aca="false">IF(NOT(Tasks[[#This Row],[_IsLeaf]]=1),"",IF(N(Tasks[[#This Row],[Duration]])&lt;=0,Tasks[[#This Row],[_LeafLateFinish]],WORKDAY.INTL(Tasks[[#This Row],[_LeafLateFinish]],-(Tasks[[#This Row],[Duration]]-1),WorkWeek,Holidays)))</f>
        <v/>
      </c>
      <c r="EL5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54" s="73" t="b">
        <f aca="false">AND(Tasks[[#This Row],[_IsLeaf]]=1,Tasks[[#This Row],[_LeafProgress]]&lt;1,N(Tasks[[#This Row],[_LeafTotalSlack]])&lt;=CriticalSlackDays)</f>
        <v>0</v>
      </c>
      <c r="EN54" s="45" t="n">
        <f aca="false">IF(AND(Tasks[[#This Row],[_IsLeaf]]=1,Tasks[[#This Row],[_ConstraintCode]]=1,Tasks[[#This Row],[Mode]]&lt;&gt;"Manual",N(Tasks[[#This Row],[Actual Start]])=0),MAX(0,N(Tasks[[#This Row],[Free Slack]])),0)</f>
        <v>0</v>
      </c>
      <c r="EO54" s="74" t="str">
        <f aca="false">IF(NOT(Tasks[[#This Row],[_IsLeaf]]=1),"",IF(Tasks[[#This Row],[_AlapShift]]=0,Tasks[[#This Row],[_LeafCalcStart]],WORKDAY.INTL(Tasks[[#This Row],[_LeafCalcStart]],Tasks[[#This Row],[_AlapShift]],WorkWeek,Holidays)))</f>
        <v/>
      </c>
      <c r="EP54" s="74" t="str">
        <f aca="false">IF(NOT(Tasks[[#This Row],[_IsLeaf]]=1),"",IF(Tasks[[#This Row],[_AlapShift]]=0,Tasks[[#This Row],[_LeafCalcFinish]],WORKDAY.INTL(Tasks[[#This Row],[_LeafCalcFinish]],Tasks[[#This Row],[_AlapShift]],WorkWeek,Holidays)))</f>
        <v/>
      </c>
      <c r="EQ54" s="74" t="str">
        <f aca="false">IF(NOT(Tasks[[#This Row],[_IsLeaf]]=1),"",IF(Tasks[[#This Row],[_AlapShift]]=0,Tasks[[#This Row],[_LeafFcstStart]],WORKDAY.INTL(Tasks[[#This Row],[_LeafFcstStart]],Tasks[[#This Row],[_AlapShift]],WorkWeek,Holidays)))</f>
        <v/>
      </c>
      <c r="ER54" s="74" t="str">
        <f aca="false">IF(NOT(Tasks[[#This Row],[_IsLeaf]]=1),"",IF(Tasks[[#This Row],[_AlapShift]]=0,Tasks[[#This Row],[_LeafFcstFinish]],WORKDAY.INTL(Tasks[[#This Row],[_LeafFcstFinish]],Tasks[[#This Row],[_AlapShift]],WorkWeek,Holidays)))</f>
        <v/>
      </c>
      <c r="ES54" s="74" t="str">
        <f aca="false">IF(Tasks[[#This Row],[Task Name]]="","",IF(Tasks[[#This Row],[_IsSummary]],MIN(INDEX(Tasks[_ShownCalcStart],Tasks[[#This Row],[_Row]]+1):INDEX(Tasks[_ShownCalcStart],Tasks[[#This Row],[_Row]]+Tasks[[#This Row],[_Descendants]])),Tasks[[#This Row],[_ShownCalcStart]]))</f>
        <v/>
      </c>
      <c r="ET54" s="74" t="str">
        <f aca="false">IF(Tasks[[#This Row],[Task Name]]="","",IF(Tasks[[#This Row],[_IsSummary]],MAX(INDEX(Tasks[_ShownCalcFinish],Tasks[[#This Row],[_Row]]+1):INDEX(Tasks[_ShownCalcFinish],Tasks[[#This Row],[_Row]]+Tasks[[#This Row],[_Descendants]])),Tasks[[#This Row],[_ShownCalcFinish]]))</f>
        <v/>
      </c>
      <c r="EU5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5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5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5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5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5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5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5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5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5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5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5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54" s="45" t="n">
        <f aca="false">IF(AND(Tasks[[#This Row],[_IsLeaf]]=1,Tasks[[#This Row],[_LeafTotalWork]]&gt;0),NETWORKDAYS.INTL(ProjectStart,Tasks[[#This Row],[_ShownFcstStart]],WorkWeek,Holidays),0)</f>
        <v>0</v>
      </c>
      <c r="FH54" s="45" t="n">
        <f aca="false">IF(AND(Tasks[[#This Row],[_IsLeaf]]=1,Tasks[[#This Row],[_LeafTotalWork]]&gt;0),MAX(Tasks[[#This Row],[_StartWorkday]],NETWORKDAYS.INTL(ProjectStart,Tasks[[#This Row],[_ShownFcstFinish]],WorkWeek,Holidays)),0)</f>
        <v>0</v>
      </c>
      <c r="FI54" s="45" t="n">
        <f aca="false">IF(AND(Tasks[[#This Row],[_IsLeaf]]=1,Tasks[[#This Row],[_LeafTotalWork]]&gt;0),Tasks[[#This Row],[_LeafWork]]/(Tasks[[#This Row],[_FinishWorkday]]-Tasks[[#This Row],[_StartWorkday]]+1),0)</f>
        <v>0</v>
      </c>
      <c r="FJ54" s="45" t="n">
        <f aca="false">Tasks[[#This Row],[_WorkPerWorkday]]*(Tasks[[#This Row],[_StartWorkday]]-1)</f>
        <v>-0</v>
      </c>
      <c r="FK54" s="45" t="n">
        <f aca="false">IF(Tasks[[#This Row],[_IsLeaf]]=1,MAX(N(Tasks[[#This Row],[Duration]]),0.1),0)</f>
        <v>0</v>
      </c>
      <c r="FL54" s="45" t="n">
        <f aca="false">Tasks[[#This Row],[_WeightDur]]*Tasks[[#This Row],[_LeafProgress]]</f>
        <v>0</v>
      </c>
      <c r="FM5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54" s="45" t="str">
        <f aca="false">IF(AND(Tasks[[#This Row],[_IsLeaf]]=1,N(Tasks[[#This Row],[Duration]])=0,Tasks[[#This Row],[_LeafProgress]]&lt;1),Tasks[[#This Row],[_ShownFcstFinish]]+Tasks[[#This Row],[_Row]]/100000,"")</f>
        <v/>
      </c>
      <c r="FO5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54" s="45" t="n">
        <f aca="false">IF(NOT(Tasks[[#This Row],[_IsLeaf]]=1),0,IF(Tasks[[#This Row],[Baseline Cost]]="",Tasks[[#This Row],[_LeafTotalCost]],N(Tasks[[#This Row],[Baseline Cost]])))</f>
        <v>0</v>
      </c>
      <c r="FQ54" s="45" t="n">
        <f aca="false">Tasks[[#This Row],[_LeafBudget]]*Tasks[[#This Row],[_PlannedPct]]</f>
        <v>0</v>
      </c>
      <c r="FR54" s="45" t="n">
        <f aca="false">Tasks[[#This Row],[_LeafBudget]]*Tasks[[#This Row],[_LeafProgress]]</f>
        <v>0</v>
      </c>
      <c r="FS54" s="45" t="n">
        <f aca="false">IF(NOT(Tasks[[#This Row],[_IsLeaf]]=1),0,IF(Tasks[[#This Row],[Actual Cost]]="",Tasks[[#This Row],[_LeafTotalCost]]*Tasks[[#This Row],[_LeafProgress]],N(Tasks[[#This Row],[Actual Cost]])))</f>
        <v>0</v>
      </c>
      <c r="FT54" s="45" t="str">
        <f aca="false">IF(Tasks[[#This Row],[Task Name]]="","",LEFT(Tasks[[#This Row],[WBS]],FIND(".",Tasks[[#This Row],[WBS]]&amp;".")-1))</f>
        <v/>
      </c>
      <c r="FU54" s="45" t="str">
        <f aca="false">IF(AND(Tasks[[#This Row],[Task Name]]&lt;&gt;"",Tasks[[#This Row],[_Level]]=1),Tasks[[#This Row],[_Row]],"")</f>
        <v/>
      </c>
      <c r="FV54" s="45" t="str">
        <f aca="false">IF(AND(Tasks[[#This Row],[_IsLeaf]]=1,N(Tasks[[#This Row],[Duration]])=0),Tasks[[#This Row],[Planned Finish]]+Tasks[[#This Row],[_Row]]/100000,"")</f>
        <v/>
      </c>
      <c r="FW54" s="45" t="str">
        <f aca="false">IF(AND(Tasks[[#This Row],[_IsLeaf]]=1,Tasks[[#This Row],[_LeafProgress]]&lt;1,OR(N(Tasks[[#This Row],[Finish Var]])&gt;0,Tasks[[#This Row],[Status]]="Late Start")),MAX(0,Tasks[[#This Row],[Finish Var]])+1-Tasks[[#This Row],[_Row]]/1000000,"")</f>
        <v/>
      </c>
      <c r="FX54" s="45" t="str">
        <f aca="false">IF(AND(Tasks[[#This Row],[_IsLeaf]]=1,N(Tasks[[#This Row],[Actual Start]])=0,Tasks[[#This Row],[_ShownFcstStart]]&gt;=StatusDate,Tasks[[#This Row],[_ShownFcstStart]]&lt;=LookaheadEnd),Tasks[[#This Row],[_ShownFcstStart]]+Tasks[[#This Row],[_Row]]/100000,"")</f>
        <v/>
      </c>
      <c r="FY54" s="45" t="str">
        <f aca="false">IF(AND(Tasks[[#This Row],[_IsLeaf]]=1,Tasks[[#This Row],[_LeafProgress]]&lt;1,Tasks[[#This Row],[_ShownFcstFinish]]&gt;=StatusDate,Tasks[[#This Row],[_ShownFcstFinish]]&lt;=LookaheadEnd),Tasks[[#This Row],[_ShownFcstFinish]]+Tasks[[#This Row],[_Row]]/100000,"")</f>
        <v/>
      </c>
      <c r="FZ54" s="45" t="str">
        <f aca="false">IF(Tasks[[#This Row],[_LeafCritical]],Tasks[[#This Row],[_ShownFcstStart]]+Tasks[[#This Row],[_Row]]/100000,"")</f>
        <v/>
      </c>
      <c r="GA54" s="45" t="n">
        <f aca="false">Tasks[[#This Row],[_LeafWork]]*Tasks[[#This Row],[_LeafProgress]]</f>
        <v>0</v>
      </c>
      <c r="GB54" s="74" t="str">
        <f aca="false">IF(AND(Tasks[[#This Row],[_IsLeaf]]=1,Tasks[[#This Row],[_LeafProgress]]&gt;=1),IF(N(Tasks[[#This Row],[Actual Finish]])&gt;0,Tasks[[#This Row],[Actual Finish]],Tasks[[#This Row],[_ShownFcstFinish]]),"")</f>
        <v/>
      </c>
    </row>
    <row r="55" customFormat="false" ht="15" hidden="false" customHeight="false" outlineLevel="0" collapsed="false">
      <c r="A55" s="67" t="str">
        <f aca="false">IF(Tasks[[#This Row],[Task Name]]="","",COUNTA(Tasks[[#Headers],[Task Name]]:Tasks[[#This Row],[Task Name]])-1)</f>
        <v/>
      </c>
      <c r="B55" s="21" t="n">
        <v>50</v>
      </c>
      <c r="C5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21"/>
      <c r="E55" s="22"/>
      <c r="F55" s="21"/>
      <c r="G55" s="22"/>
      <c r="H55" s="22"/>
      <c r="I55" s="22"/>
      <c r="J55" s="7"/>
      <c r="K55" s="7"/>
      <c r="L55" s="22"/>
      <c r="M55" s="58" t="str">
        <f aca="false">IF(Tasks[[#This Row],[Task Name]]="","",IF(Tasks[[#This Row],[_IsSummary]],MIN(INDEX(Tasks[_ShownFcstStart],Tasks[[#This Row],[_Row]]+1):INDEX(Tasks[_ShownFcstStart],Tasks[[#This Row],[_Row]]+Tasks[[#This Row],[_Descendants]])),Tasks[[#This Row],[_ShownFcstStart]]))</f>
        <v/>
      </c>
      <c r="N55" s="58" t="str">
        <f aca="false">IF(Tasks[[#This Row],[Task Name]]="","",IF(Tasks[[#This Row],[_IsSummary]],MAX(INDEX(Tasks[_ShownFcstFinish],Tasks[[#This Row],[_Row]]+1):INDEX(Tasks[_ShownFcstFinish],Tasks[[#This Row],[_Row]]+Tasks[[#This Row],[_Descendants]])),Tasks[[#This Row],[_ShownFcstFinish]]))</f>
        <v/>
      </c>
      <c r="O55" s="20" t="str">
        <f aca="false">IF(Tasks[[#This Row],[Task Name]]="","",IF(Tasks[[#This Row],[Progress]]&gt;=1,"Complete",IF(OR(N(Tasks[[#This Row],[Actual Start]])&gt;0,Tasks[[#This Row],[Progress]]&gt;0),IF(Tasks[[#This Row],[Finish Var]]&gt;0,"Behind","In Progress"),IF(Tasks[[#This Row],[Planned Start]]&lt;StatusDate,"Late Start","Not Started"))))</f>
        <v/>
      </c>
      <c r="P55" s="20" t="str">
        <f aca="false">IF(Tasks[[#This Row],[Task Name]]="","",IF(IF(Tasks[[#This Row],[_IsSummary]],COUNTIF(INDEX(Tasks[_LeafCritical],Tasks[[#This Row],[_Row]]+1):INDEX(Tasks[_LeafCritical],Tasks[[#This Row],[_Row]]+Tasks[[#This Row],[_Descendants]]),TRUE())&gt;0,Tasks[[#This Row],[_LeafCritical]]),"Yes",""))</f>
        <v/>
      </c>
      <c r="Q5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55" s="67" t="str">
        <f aca="false">IF(Tasks[[#This Row],[Task Name]]="","",IF(Tasks[[#This Row],[_Level]]&lt;=OutlineShowLevel,"Yes","No"))</f>
        <v/>
      </c>
      <c r="S55" s="7"/>
      <c r="T55" s="21"/>
      <c r="U55" s="22"/>
      <c r="V55" s="7"/>
      <c r="W55" s="67" t="str">
        <f aca="false">IF(Tasks[[#This Row],[Task Name]]="","",IF(Tasks[[#This Row],[Finish]]&gt;=Tasks[[#This Row],[Planned Finish]],NETWORKDAYS.INTL(Tasks[[#This Row],[Planned Finish]],Tasks[[#This Row],[Finish]],WorkWeek,Holidays)-1,1-NETWORKDAYS.INTL(Tasks[[#This Row],[Finish]],Tasks[[#This Row],[Planned Finish]],WorkWeek,Holidays)))</f>
        <v/>
      </c>
      <c r="X55" s="58" t="str">
        <f aca="false">IF(Tasks[[#This Row],[Task Name]]="","",IF(N(Tasks[[#This Row],[Baseline Start]])&gt;0,Tasks[[#This Row],[Baseline Start]],Tasks[[#This Row],[_CalcStart]]))</f>
        <v/>
      </c>
      <c r="Y55" s="58" t="str">
        <f aca="false">IF(Tasks[[#This Row],[Task Name]]="","",IF(N(Tasks[[#This Row],[Baseline Finish]])&gt;0,Tasks[[#This Row],[Baseline Finish]],Tasks[[#This Row],[_CalcFinish]]))</f>
        <v/>
      </c>
      <c r="Z55" s="67" t="str">
        <f aca="false">IF(Tasks[[#This Row],[Task Name]]="","",IF(Tasks[[#This Row],[Start]]&gt;=Tasks[[#This Row],[Planned Start]],NETWORKDAYS.INTL(Tasks[[#This Row],[Planned Start]],Tasks[[#This Row],[Start]],WorkWeek,Holidays)-1,1-NETWORKDAYS.INTL(Tasks[[#This Row],[Start]],Tasks[[#This Row],[Planned Start]],WorkWeek,Holidays)))</f>
        <v/>
      </c>
      <c r="AA55" s="58" t="str">
        <f aca="false">IF(Tasks[[#This Row],[Task Name]]="","",IF(Tasks[[#This Row],[_IsSummary]],MIN(INDEX(Tasks[_LeafLateStart],Tasks[[#This Row],[_Row]]+1):INDEX(Tasks[_LeafLateStart],Tasks[[#This Row],[_Row]]+Tasks[[#This Row],[_Descendants]])),Tasks[[#This Row],[_LeafLateStart]]))</f>
        <v/>
      </c>
      <c r="AB55" s="58" t="str">
        <f aca="false">IF(Tasks[[#This Row],[Task Name]]="","",IF(Tasks[[#This Row],[_IsSummary]],MAX(INDEX(Tasks[_LeafLateFinish],Tasks[[#This Row],[_Row]]+1):INDEX(Tasks[_LeafLateFinish],Tasks[[#This Row],[_Row]]+Tasks[[#This Row],[_Descendants]])),Tasks[[#This Row],[_LeafLateFinish]]))</f>
        <v/>
      </c>
      <c r="AC55" s="67" t="str">
        <f aca="false">IF(Tasks[[#This Row],[Task Name]]="","",IF(Tasks[[#This Row],[_IsSummary]],MIN(INDEX(Tasks[_LeafTotalSlack],Tasks[[#This Row],[_Row]]+1):INDEX(Tasks[_LeafTotalSlack],Tasks[[#This Row],[_Row]]+Tasks[[#This Row],[_Descendants]])),Tasks[[#This Row],[_LeafTotalSlack]]))</f>
        <v/>
      </c>
      <c r="AD5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5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5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55" s="60"/>
      <c r="AH5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5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55" s="69" t="str">
        <f aca="false">IF(Tasks[[#This Row],[Task Name]]="","",IF(Tasks[[#This Row],[_IsSummary]],SUM(INDEX(Tasks[_LeafTotalWork],Tasks[[#This Row],[_Row]]+1):INDEX(Tasks[_LeafTotalWork],Tasks[[#This Row],[_Row]]+Tasks[[#This Row],[_Descendants]])),Tasks[[#This Row],[_LeafTotalWork]]))</f>
        <v/>
      </c>
      <c r="AK5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55" s="70" t="str">
        <f aca="false">IF(Tasks[[#This Row],[Task Name]]="","",IF(Tasks[[#This Row],[_IsSummary]],SUM(INDEX(Tasks[_LeafTotalCost],Tasks[[#This Row],[_Row]]+1):INDEX(Tasks[_LeafTotalCost],Tasks[[#This Row],[_Row]]+Tasks[[#This Row],[_Descendants]])),Tasks[[#This Row],[_LeafTotalCost]]))</f>
        <v/>
      </c>
      <c r="AM55" s="71"/>
      <c r="AN55" s="20" t="str">
        <f aca="false">IF(OR(Tasks[[#This Row],[Task Name]]="",Tasks[[#This Row],[Baseline Duration]]=""),"",Tasks[[#This Row],[BL Source Duration]]-N(Tasks[[#This Row],[Baseline Duration]]))</f>
        <v/>
      </c>
      <c r="AO55" s="69" t="str">
        <f aca="false">IF(OR(Tasks[[#This Row],[Task Name]]="",Tasks[[#This Row],[Baseline Work]]=""),"",Tasks[[#This Row],[Work]]-N(Tasks[[#This Row],[Baseline Work]]))</f>
        <v/>
      </c>
      <c r="AP55" s="70" t="str">
        <f aca="false">IF(OR(Tasks[[#This Row],[Task Name]]="",Tasks[[#This Row],[Baseline Cost]]=""),"",Tasks[[#This Row],[Cost]]-N(Tasks[[#This Row],[Baseline Cost]]))</f>
        <v/>
      </c>
      <c r="AQ55" s="58" t="str">
        <f aca="false">IF(Tasks[[#This Row],[Task Name]]="","",Tasks[[#This Row],[Start]])</f>
        <v/>
      </c>
      <c r="AR55" s="58" t="str">
        <f aca="false">IF(Tasks[[#This Row],[Task Name]]="","",Tasks[[#This Row],[Finish]])</f>
        <v/>
      </c>
      <c r="AS55" s="67" t="str">
        <f aca="false">IF(Tasks[[#This Row],[Task Name]]="","",IF(Tasks[[#This Row],[_IsSummary]],NETWORKDAYS.INTL(Tasks[[#This Row],[Start]],Tasks[[#This Row],[Finish]],WorkWeek,Holidays),N(Tasks[[#This Row],[Duration]])))</f>
        <v/>
      </c>
      <c r="AT55" s="69" t="str">
        <f aca="false">IF(Tasks[[#This Row],[Task Name]]="","",Tasks[[#This Row],[Work]])</f>
        <v/>
      </c>
      <c r="AU55" s="70" t="str">
        <f aca="false">IF(Tasks[[#This Row],[Task Name]]="","",Tasks[[#This Row],[Cost]])</f>
        <v/>
      </c>
      <c r="AV55" s="7"/>
      <c r="AW55" s="7"/>
      <c r="AX55" s="21"/>
      <c r="AY55" s="72"/>
      <c r="AZ55" s="71"/>
      <c r="BA55" s="70" t="str">
        <f aca="false">IF(Tasks[[#This Row],[Task Name]]="","",IF(Tasks[[#This Row],[_IsSummary]],SUM(INDEX(Tasks[_LeafEV],Tasks[[#This Row],[_Row]]+1):INDEX(Tasks[_LeafEV],Tasks[[#This Row],[_Row]]+Tasks[[#This Row],[_Descendants]])),Tasks[[#This Row],[_LeafEV]]))</f>
        <v/>
      </c>
      <c r="BB55" s="70" t="str">
        <f aca="false">IF(Tasks[[#This Row],[Task Name]]="","",IF(Tasks[[#This Row],[_IsSummary]],SUM(INDEX(Tasks[_LeafBudget],Tasks[[#This Row],[_Row]]+1):INDEX(Tasks[_LeafBudget],Tasks[[#This Row],[_Row]]+Tasks[[#This Row],[_Descendants]])),Tasks[[#This Row],[_LeafBudget]]))</f>
        <v/>
      </c>
      <c r="BC55" s="70" t="str">
        <f aca="false">IF(Tasks[[#This Row],[Task Name]]="","",IF(Tasks[[#This Row],[_IsSummary]],SUM(INDEX(Tasks[_LeafPV],Tasks[[#This Row],[_Row]]+1):INDEX(Tasks[_LeafPV],Tasks[[#This Row],[_Row]]+Tasks[[#This Row],[_Descendants]])),Tasks[[#This Row],[_LeafPV]]))</f>
        <v/>
      </c>
      <c r="BD55" s="70" t="str">
        <f aca="false">IF(Tasks[[#This Row],[Task Name]]="","",IF(Tasks[[#This Row],[_IsSummary]],SUM(INDEX(Tasks[_LeafAC],Tasks[[#This Row],[_Row]]+1):INDEX(Tasks[_LeafAC],Tasks[[#This Row],[_Row]]+Tasks[[#This Row],[_Descendants]])),Tasks[[#This Row],[_LeafAC]]))</f>
        <v/>
      </c>
      <c r="BE55" s="45" t="str">
        <f aca="false">IF(Tasks[[#This Row],[Task Name]]="","",MAX(1,N(Tasks[[#This Row],[Level]])))</f>
        <v/>
      </c>
      <c r="BF55" s="45" t="n">
        <f aca="false">ROW()-ROW(Tasks[[#Headers],[ID]])</f>
        <v>50</v>
      </c>
      <c r="BG55" s="45" t="n">
        <f aca="false">IF(OR(Tasks[[#This Row],[Task Name]]="",Tasks[[#This Row],[_Level]]&lt;=1),0,IFERROR(LOOKUP(2,1/(Tasks[[#Headers],[_Level]]:Tasks[[#This Row],[_Level]]=Tasks[[#This Row],[_Level]]-1),ROW(Tasks[[#Headers],[_Level]]:Tasks[[#This Row],[_Level]])),0))</f>
        <v>0</v>
      </c>
      <c r="BH55" s="45" t="n">
        <f aca="false">IFERROR(N(INDEX(Tasks[_Level],Tasks[[#This Row],[_Row]]+1)),0)</f>
        <v>0</v>
      </c>
      <c r="BI55" s="73" t="b">
        <f aca="false">AND(Tasks[[#This Row],[Task Name]]&lt;&gt;"",Tasks[[#This Row],[_NextLevel]]&gt;Tasks[[#This Row],[_Level]])</f>
        <v>0</v>
      </c>
      <c r="BJ55" s="45" t="n">
        <f aca="false">IF(Tasks[[#This Row],[_IsSummary]],COUNTIF(Tasks[WBS],Tasks[[#This Row],[WBS]]&amp;".*"),0)</f>
        <v>0</v>
      </c>
      <c r="BK55" s="45" t="n">
        <f aca="false">IF(AND(Tasks[[#This Row],[Task Name]]&lt;&gt;"",NOT(Tasks[[#This Row],[_IsSummary]])),1,0)</f>
        <v>0</v>
      </c>
      <c r="BL55" s="45" t="n">
        <f aca="false">IF(N(Tasks[[#This Row],[_Pred1UID]])=0,0,IFERROR(MATCH(Tasks[[#This Row],[_Pred1UID]],Tasks[UID],0),-1))</f>
        <v>0</v>
      </c>
      <c r="BM55" s="45" t="n">
        <f aca="false">IF(N(Tasks[[#This Row],[_Pred2UID]])=0,0,IFERROR(MATCH(Tasks[[#This Row],[_Pred2UID]],Tasks[UID],0),-1))</f>
        <v>0</v>
      </c>
      <c r="BN55" s="45" t="n">
        <f aca="false">IF(N(Tasks[[#This Row],[_Pred3UID]])=0,0,IFERROR(MATCH(Tasks[[#This Row],[_Pred3UID]],Tasks[UID],0),-1))</f>
        <v>0</v>
      </c>
      <c r="BO55" s="45" t="n">
        <f aca="false">IF(N(Tasks[[#This Row],[_Pred4UID]])=0,0,IFERROR(MATCH(Tasks[[#This Row],[_Pred4UID]],Tasks[UID],0),-1))</f>
        <v>0</v>
      </c>
      <c r="BP5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5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55" s="74" t="n">
        <f aca="false">IF(OR(Tasks[[#This Row],[_ConstraintCode]]=2,Tasks[[#This Row],[_ConstraintCode]]=3,Tasks[[#This Row],[_ConstraintCode]]=4,Tasks[[#This Row],[_ConstraintCode]]=6),Tasks[[#This Row],[_ConstraintStart]],0)</f>
        <v>0</v>
      </c>
      <c r="BS55" s="74" t="n">
        <f aca="false">IF(OR(Tasks[[#This Row],[_ConstraintCode]]=2,Tasks[[#This Row],[_ConstraintCode]]=3,Tasks[[#This Row],[_ConstraintCode]]=5,Tasks[[#This Row],[_ConstraintCode]]=7),Tasks[[#This Row],[_ConstraintStart]],2958465)</f>
        <v>2958465</v>
      </c>
      <c r="BT5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55" s="74" t="str">
        <f aca="false">IF(NOT(Tasks[[#This Row],[_IsLeaf]]=1),"",IF(N(Tasks[[#This Row],[Duration]])&lt;=0,Tasks[[#This Row],[_LeafCalcStart]],WORKDAY.INTL(Tasks[[#This Row],[_LeafCalcStart]],Tasks[[#This Row],[Duration]]-1,WorkWeek,Holidays)))</f>
        <v/>
      </c>
      <c r="BV5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5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55" s="45" t="str">
        <f aca="false">IF(Tasks[[#This Row],[Predecessors]]="","",TRIM(MID(SUBSTITUTE(SUBSTITUTE(SUBSTITUTE(UPPER(Tasks[[#This Row],[Predecessors]]),";",",")," ",""),",",REPT(" ",99)),1,99)))</f>
        <v/>
      </c>
      <c r="BY55" s="45" t="str">
        <f aca="false">IF(Tasks[[#This Row],[_Pred1Text]]="","",IFERROR(VALUE(LEFT(Tasks[[#This Row],[_Pred1Text]],MIN(FIND("F",Tasks[[#This Row],[_Pred1Text]]&amp;"F"),FIND("S",Tasks[[#This Row],[_Pred1Text]]&amp;"S"),FIND("+",Tasks[[#This Row],[_Pred1Text]]&amp;"+"),FIND("-",Tasks[[#This Row],[_Pred1Text]]&amp;"-"))-1)),""))</f>
        <v/>
      </c>
      <c r="BZ5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5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55" s="45" t="str">
        <f aca="false">IF(Tasks[[#This Row],[_Pred1Text]]="","",TRIM(MID(SUBSTITUTE(SUBSTITUTE(SUBSTITUTE(UPPER(Tasks[[#This Row],[Predecessors]]),";",",")," ",""),",",REPT(" ",99)),100,99)))</f>
        <v/>
      </c>
      <c r="CC55" s="45" t="str">
        <f aca="false">IF(Tasks[[#This Row],[_Pred2Text]]="","",IFERROR(VALUE(LEFT(Tasks[[#This Row],[_Pred2Text]],MIN(FIND("F",Tasks[[#This Row],[_Pred2Text]]&amp;"F"),FIND("S",Tasks[[#This Row],[_Pred2Text]]&amp;"S"),FIND("+",Tasks[[#This Row],[_Pred2Text]]&amp;"+"),FIND("-",Tasks[[#This Row],[_Pred2Text]]&amp;"-"))-1)),""))</f>
        <v/>
      </c>
      <c r="CD5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5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55" s="45" t="str">
        <f aca="false">IF(Tasks[[#This Row],[_Pred2Text]]="","",TRIM(MID(SUBSTITUTE(SUBSTITUTE(SUBSTITUTE(UPPER(Tasks[[#This Row],[Predecessors]]),";",",")," ",""),",",REPT(" ",99)),199,99)))</f>
        <v/>
      </c>
      <c r="CG55" s="45" t="str">
        <f aca="false">IF(Tasks[[#This Row],[_Pred3Text]]="","",IFERROR(VALUE(LEFT(Tasks[[#This Row],[_Pred3Text]],MIN(FIND("F",Tasks[[#This Row],[_Pred3Text]]&amp;"F"),FIND("S",Tasks[[#This Row],[_Pred3Text]]&amp;"S"),FIND("+",Tasks[[#This Row],[_Pred3Text]]&amp;"+"),FIND("-",Tasks[[#This Row],[_Pred3Text]]&amp;"-"))-1)),""))</f>
        <v/>
      </c>
      <c r="CH5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5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55" s="45" t="str">
        <f aca="false">IF(Tasks[[#This Row],[_Pred3Text]]="","",TRIM(MID(SUBSTITUTE(SUBSTITUTE(SUBSTITUTE(UPPER(Tasks[[#This Row],[Predecessors]]),";",",")," ",""),",",REPT(" ",99)),298,99)))</f>
        <v/>
      </c>
      <c r="CK55" s="45" t="str">
        <f aca="false">IF(Tasks[[#This Row],[_Pred4Text]]="","",IFERROR(VALUE(LEFT(Tasks[[#This Row],[_Pred4Text]],MIN(FIND("F",Tasks[[#This Row],[_Pred4Text]]&amp;"F"),FIND("S",Tasks[[#This Row],[_Pred4Text]]&amp;"S"),FIND("+",Tasks[[#This Row],[_Pred4Text]]&amp;"+"),FIND("-",Tasks[[#This Row],[_Pred4Text]]&amp;"-"))-1)),""))</f>
        <v/>
      </c>
      <c r="CL5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5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55" s="45" t="str">
        <f aca="false">IF(OR(Tasks[[#This Row],[Task Name]]="",Tasks[[#This Row],[Resources]]=""),"",TRIM(MID(SUBSTITUTE(Tasks[[#This Row],[Resources]],",",REPT(" ",99)),1,99)))</f>
        <v/>
      </c>
      <c r="CO55" s="45" t="str">
        <f aca="false">IF(Tasks[[#This Row],[_Res1Text]]="","",TRIM(MID(SUBSTITUTE(Tasks[[#This Row],[Resources]],",",REPT(" ",99)),100,99)))</f>
        <v/>
      </c>
      <c r="CP55" s="45" t="str">
        <f aca="false">IF(Tasks[[#This Row],[_Res2Text]]="","",TRIM(MID(SUBSTITUTE(Tasks[[#This Row],[Resources]],",",REPT(" ",99)),199,99)))</f>
        <v/>
      </c>
      <c r="CQ55" s="45" t="str">
        <f aca="false">IF(Tasks[[#This Row],[_Res3Text]]="","",TRIM(MID(SUBSTITUTE(Tasks[[#This Row],[Resources]],",",REPT(" ",99)),298,99)))</f>
        <v/>
      </c>
      <c r="CR5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5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5" s="45" t="n">
        <f aca="false">IF(NOT(Tasks[[#This Row],[_IsLeaf]]=1),0,(Tasks[[#This Row],[_Resource1]]&lt;&gt;"")+(Tasks[[#This Row],[_Res2]]&lt;&gt;"")+(Tasks[[#This Row],[_Res3]]&lt;&gt;"")+(Tasks[[#This Row],[_Res4]]&lt;&gt;""))</f>
        <v>0</v>
      </c>
      <c r="CU5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5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5" s="45" t="n">
        <f aca="false">IF(OR(NOT(Tasks[[#This Row],[_IsLeaf]]=1),Tasks[[#This Row],[_Res2]]=""),0,IF(ISNA(MATCH(Tasks[[#This Row],[_Res2]],res_Name,0)),0,N(Tasks[[#This Row],[Duration]])*HoursPerDay*IF(Tasks[[#This Row],[_Res2Units]]="",DefaultUnits,Tasks[[#This Row],[_Res2Units]])))</f>
        <v>0</v>
      </c>
      <c r="CX55" s="45" t="n">
        <f aca="false">IF(Tasks[[#This Row],[_Res2Work]]=0,0,Tasks[[#This Row],[_Res2Work]]*IFERROR(INDEX(res_Rate,MATCH(Tasks[[#This Row],[_Res2]],res_Name,0)),0))</f>
        <v>0</v>
      </c>
      <c r="CY55" s="45" t="n">
        <f aca="false">IF(AND(AND(Tasks[[#This Row],[_IsLeaf]]=1,Tasks[[#This Row],[_LeafTotalWork]]&gt;0),Tasks[[#This Row],[_Res2Work]]&gt;0),Tasks[[#This Row],[_Res2Work]]/(Tasks[[#This Row],[_FinishWorkday]]-Tasks[[#This Row],[_StartWorkday]]+1),0)</f>
        <v>0</v>
      </c>
      <c r="CZ55" s="45" t="n">
        <f aca="false">Tasks[[#This Row],[_Res2WorkPerWD]]*MAX(0,Tasks[[#This Row],[_StartWorkday]]-1)</f>
        <v>0</v>
      </c>
      <c r="DA55" s="45" t="n">
        <f aca="false">Tasks[[#This Row],[_Res2Work]]*Tasks[[#This Row],[_LeafProgress]]</f>
        <v>0</v>
      </c>
      <c r="DB55" s="45" t="n">
        <f aca="false">IF(Tasks[[#This Row],[_LeafTotalCost]]=0,0,Tasks[[#This Row],[_LeafAC]]*Tasks[[#This Row],[_Res2Cost]]/Tasks[[#This Row],[_LeafTotalCost]])</f>
        <v>0</v>
      </c>
      <c r="DC5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5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55" s="45" t="n">
        <f aca="false">IF(OR(NOT(Tasks[[#This Row],[_IsLeaf]]=1),Tasks[[#This Row],[_Res3]]=""),0,IF(ISNA(MATCH(Tasks[[#This Row],[_Res3]],res_Name,0)),0,N(Tasks[[#This Row],[Duration]])*HoursPerDay*IF(Tasks[[#This Row],[_Res3Units]]="",DefaultUnits,Tasks[[#This Row],[_Res3Units]])))</f>
        <v>0</v>
      </c>
      <c r="DF55" s="45" t="n">
        <f aca="false">IF(Tasks[[#This Row],[_Res3Work]]=0,0,Tasks[[#This Row],[_Res3Work]]*IFERROR(INDEX(res_Rate,MATCH(Tasks[[#This Row],[_Res3]],res_Name,0)),0))</f>
        <v>0</v>
      </c>
      <c r="DG55" s="45" t="n">
        <f aca="false">IF(AND(AND(Tasks[[#This Row],[_IsLeaf]]=1,Tasks[[#This Row],[_LeafTotalWork]]&gt;0),Tasks[[#This Row],[_Res3Work]]&gt;0),Tasks[[#This Row],[_Res3Work]]/(Tasks[[#This Row],[_FinishWorkday]]-Tasks[[#This Row],[_StartWorkday]]+1),0)</f>
        <v>0</v>
      </c>
      <c r="DH55" s="45" t="n">
        <f aca="false">Tasks[[#This Row],[_Res3WorkPerWD]]*MAX(0,Tasks[[#This Row],[_StartWorkday]]-1)</f>
        <v>0</v>
      </c>
      <c r="DI55" s="45" t="n">
        <f aca="false">Tasks[[#This Row],[_Res3Work]]*Tasks[[#This Row],[_LeafProgress]]</f>
        <v>0</v>
      </c>
      <c r="DJ55" s="45" t="n">
        <f aca="false">IF(Tasks[[#This Row],[_LeafTotalCost]]=0,0,Tasks[[#This Row],[_LeafAC]]*Tasks[[#This Row],[_Res3Cost]]/Tasks[[#This Row],[_LeafTotalCost]])</f>
        <v>0</v>
      </c>
      <c r="DK5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5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55" s="45" t="n">
        <f aca="false">IF(OR(NOT(Tasks[[#This Row],[_IsLeaf]]=1),Tasks[[#This Row],[_Res4]]=""),0,IF(ISNA(MATCH(Tasks[[#This Row],[_Res4]],res_Name,0)),0,N(Tasks[[#This Row],[Duration]])*HoursPerDay*IF(Tasks[[#This Row],[_Res4Units]]="",DefaultUnits,Tasks[[#This Row],[_Res4Units]])))</f>
        <v>0</v>
      </c>
      <c r="DN55" s="45" t="n">
        <f aca="false">IF(Tasks[[#This Row],[_Res4Work]]=0,0,Tasks[[#This Row],[_Res4Work]]*IFERROR(INDEX(res_Rate,MATCH(Tasks[[#This Row],[_Res4]],res_Name,0)),0))</f>
        <v>0</v>
      </c>
      <c r="DO55" s="45" t="n">
        <f aca="false">IF(AND(AND(Tasks[[#This Row],[_IsLeaf]]=1,Tasks[[#This Row],[_LeafTotalWork]]&gt;0),Tasks[[#This Row],[_Res4Work]]&gt;0),Tasks[[#This Row],[_Res4Work]]/(Tasks[[#This Row],[_FinishWorkday]]-Tasks[[#This Row],[_StartWorkday]]+1),0)</f>
        <v>0</v>
      </c>
      <c r="DP55" s="45" t="n">
        <f aca="false">Tasks[[#This Row],[_Res4WorkPerWD]]*MAX(0,Tasks[[#This Row],[_StartWorkday]]-1)</f>
        <v>0</v>
      </c>
      <c r="DQ55" s="45" t="n">
        <f aca="false">Tasks[[#This Row],[_Res4Work]]*Tasks[[#This Row],[_LeafProgress]]</f>
        <v>0</v>
      </c>
      <c r="DR55" s="45" t="n">
        <f aca="false">IF(Tasks[[#This Row],[_LeafTotalCost]]=0,0,Tasks[[#This Row],[_LeafAC]]*Tasks[[#This Row],[_Res4Cost]]/Tasks[[#This Row],[_LeafTotalCost]])</f>
        <v>0</v>
      </c>
      <c r="DS55" s="45" t="n">
        <f aca="false">IF(ISNUMBER(Tasks[[#This Row],[% Complete]]),Tasks[[#This Row],[% Complete]],IF(Tasks[[#This Row],[Stage]]="",0,IFERROR(INDEX(stg_Pct,MATCH(Tasks[[#This Row],[Stage]],stg_Name,0)),0)))</f>
        <v>0</v>
      </c>
      <c r="DT55" s="45" t="n">
        <f aca="false">IF(NOT(Tasks[[#This Row],[_IsLeaf]]=1),0,IF(N(Tasks[[#This Row],[Actual Finish]])&gt;0,1,MIN(1,Tasks[[#This Row],[_Pct]])))</f>
        <v>0</v>
      </c>
      <c r="DU55" s="45" t="n">
        <f aca="false">IF(OR(NOT(Tasks[[#This Row],[_IsLeaf]]=1),Tasks[[#This Row],[_Resource1]]=""),0,IF(ISNA(MATCH(Tasks[[#This Row],[_Resource1]],res_Name,0)),0,N(Tasks[[#This Row],[Duration]])*HoursPerDay*IF(Tasks[[#This Row],[_Units1]]="",DefaultUnits,Tasks[[#This Row],[_Units1]])))</f>
        <v>0</v>
      </c>
      <c r="DV55" s="45" t="n">
        <f aca="false">IF(Tasks[[#This Row],[_LeafWork]]=0,0,Tasks[[#This Row],[_LeafWork]]*IFERROR(INDEX(res_Rate,MATCH(Tasks[[#This Row],[_Resource1]],res_Name,0)),0))</f>
        <v>0</v>
      </c>
      <c r="DW55" s="45" t="n">
        <f aca="false">Tasks[[#This Row],[_LeafWork]]+Tasks[[#This Row],[_Res2Work]]+Tasks[[#This Row],[_Res3Work]]+Tasks[[#This Row],[_Res4Work]]</f>
        <v>0</v>
      </c>
      <c r="DX55" s="45" t="n">
        <f aca="false">Tasks[[#This Row],[_LeafCost]]+Tasks[[#This Row],[_Res2Cost]]+Tasks[[#This Row],[_Res3Cost]]+Tasks[[#This Row],[_Res4Cost]]</f>
        <v>0</v>
      </c>
      <c r="DY55" s="45" t="n">
        <f aca="false">IF(Tasks[[#This Row],[_LeafTotalCost]]=0,Tasks[[#This Row],[_LeafAC]],Tasks[[#This Row],[_LeafAC]]*Tasks[[#This Row],[_LeafCost]]/Tasks[[#This Row],[_LeafTotalCost]])</f>
        <v>0</v>
      </c>
      <c r="DZ5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5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5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5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5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5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5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5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55" s="45" t="n">
        <f aca="false">IF(NOT(Tasks[[#This Row],[_IsLeaf]]=1),0,MAX(_xlfn.MAXIFS(Tasks[_Row],Tasks[_Pred1UID],Tasks[[#This Row],[UID]]),_xlfn.MAXIFS(Tasks[_Row],Tasks[_Pred2UID],Tasks[[#This Row],[UID]]),_xlfn.MAXIFS(Tasks[_Row],Tasks[_Pred3UID],Tasks[[#This Row],[UID]]),_xlfn.MAXIFS(Tasks[_Row],Tasks[_Pred4UID],Tasks[[#This Row],[UID]])))</f>
        <v>0</v>
      </c>
      <c r="EI5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5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55" s="74" t="str">
        <f aca="false">IF(NOT(Tasks[[#This Row],[_IsLeaf]]=1),"",IF(N(Tasks[[#This Row],[Duration]])&lt;=0,Tasks[[#This Row],[_LeafLateFinish]],WORKDAY.INTL(Tasks[[#This Row],[_LeafLateFinish]],-(Tasks[[#This Row],[Duration]]-1),WorkWeek,Holidays)))</f>
        <v/>
      </c>
      <c r="EL5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55" s="73" t="b">
        <f aca="false">AND(Tasks[[#This Row],[_IsLeaf]]=1,Tasks[[#This Row],[_LeafProgress]]&lt;1,N(Tasks[[#This Row],[_LeafTotalSlack]])&lt;=CriticalSlackDays)</f>
        <v>0</v>
      </c>
      <c r="EN55" s="45" t="n">
        <f aca="false">IF(AND(Tasks[[#This Row],[_IsLeaf]]=1,Tasks[[#This Row],[_ConstraintCode]]=1,Tasks[[#This Row],[Mode]]&lt;&gt;"Manual",N(Tasks[[#This Row],[Actual Start]])=0),MAX(0,N(Tasks[[#This Row],[Free Slack]])),0)</f>
        <v>0</v>
      </c>
      <c r="EO55" s="74" t="str">
        <f aca="false">IF(NOT(Tasks[[#This Row],[_IsLeaf]]=1),"",IF(Tasks[[#This Row],[_AlapShift]]=0,Tasks[[#This Row],[_LeafCalcStart]],WORKDAY.INTL(Tasks[[#This Row],[_LeafCalcStart]],Tasks[[#This Row],[_AlapShift]],WorkWeek,Holidays)))</f>
        <v/>
      </c>
      <c r="EP55" s="74" t="str">
        <f aca="false">IF(NOT(Tasks[[#This Row],[_IsLeaf]]=1),"",IF(Tasks[[#This Row],[_AlapShift]]=0,Tasks[[#This Row],[_LeafCalcFinish]],WORKDAY.INTL(Tasks[[#This Row],[_LeafCalcFinish]],Tasks[[#This Row],[_AlapShift]],WorkWeek,Holidays)))</f>
        <v/>
      </c>
      <c r="EQ55" s="74" t="str">
        <f aca="false">IF(NOT(Tasks[[#This Row],[_IsLeaf]]=1),"",IF(Tasks[[#This Row],[_AlapShift]]=0,Tasks[[#This Row],[_LeafFcstStart]],WORKDAY.INTL(Tasks[[#This Row],[_LeafFcstStart]],Tasks[[#This Row],[_AlapShift]],WorkWeek,Holidays)))</f>
        <v/>
      </c>
      <c r="ER55" s="74" t="str">
        <f aca="false">IF(NOT(Tasks[[#This Row],[_IsLeaf]]=1),"",IF(Tasks[[#This Row],[_AlapShift]]=0,Tasks[[#This Row],[_LeafFcstFinish]],WORKDAY.INTL(Tasks[[#This Row],[_LeafFcstFinish]],Tasks[[#This Row],[_AlapShift]],WorkWeek,Holidays)))</f>
        <v/>
      </c>
      <c r="ES55" s="74" t="str">
        <f aca="false">IF(Tasks[[#This Row],[Task Name]]="","",IF(Tasks[[#This Row],[_IsSummary]],MIN(INDEX(Tasks[_ShownCalcStart],Tasks[[#This Row],[_Row]]+1):INDEX(Tasks[_ShownCalcStart],Tasks[[#This Row],[_Row]]+Tasks[[#This Row],[_Descendants]])),Tasks[[#This Row],[_ShownCalcStart]]))</f>
        <v/>
      </c>
      <c r="ET55" s="74" t="str">
        <f aca="false">IF(Tasks[[#This Row],[Task Name]]="","",IF(Tasks[[#This Row],[_IsSummary]],MAX(INDEX(Tasks[_ShownCalcFinish],Tasks[[#This Row],[_Row]]+1):INDEX(Tasks[_ShownCalcFinish],Tasks[[#This Row],[_Row]]+Tasks[[#This Row],[_Descendants]])),Tasks[[#This Row],[_ShownCalcFinish]]))</f>
        <v/>
      </c>
      <c r="EU5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5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5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5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5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5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5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5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5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5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5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5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55" s="45" t="n">
        <f aca="false">IF(AND(Tasks[[#This Row],[_IsLeaf]]=1,Tasks[[#This Row],[_LeafTotalWork]]&gt;0),NETWORKDAYS.INTL(ProjectStart,Tasks[[#This Row],[_ShownFcstStart]],WorkWeek,Holidays),0)</f>
        <v>0</v>
      </c>
      <c r="FH55" s="45" t="n">
        <f aca="false">IF(AND(Tasks[[#This Row],[_IsLeaf]]=1,Tasks[[#This Row],[_LeafTotalWork]]&gt;0),MAX(Tasks[[#This Row],[_StartWorkday]],NETWORKDAYS.INTL(ProjectStart,Tasks[[#This Row],[_ShownFcstFinish]],WorkWeek,Holidays)),0)</f>
        <v>0</v>
      </c>
      <c r="FI55" s="45" t="n">
        <f aca="false">IF(AND(Tasks[[#This Row],[_IsLeaf]]=1,Tasks[[#This Row],[_LeafTotalWork]]&gt;0),Tasks[[#This Row],[_LeafWork]]/(Tasks[[#This Row],[_FinishWorkday]]-Tasks[[#This Row],[_StartWorkday]]+1),0)</f>
        <v>0</v>
      </c>
      <c r="FJ55" s="45" t="n">
        <f aca="false">Tasks[[#This Row],[_WorkPerWorkday]]*(Tasks[[#This Row],[_StartWorkday]]-1)</f>
        <v>-0</v>
      </c>
      <c r="FK55" s="45" t="n">
        <f aca="false">IF(Tasks[[#This Row],[_IsLeaf]]=1,MAX(N(Tasks[[#This Row],[Duration]]),0.1),0)</f>
        <v>0</v>
      </c>
      <c r="FL55" s="45" t="n">
        <f aca="false">Tasks[[#This Row],[_WeightDur]]*Tasks[[#This Row],[_LeafProgress]]</f>
        <v>0</v>
      </c>
      <c r="FM5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55" s="45" t="str">
        <f aca="false">IF(AND(Tasks[[#This Row],[_IsLeaf]]=1,N(Tasks[[#This Row],[Duration]])=0,Tasks[[#This Row],[_LeafProgress]]&lt;1),Tasks[[#This Row],[_ShownFcstFinish]]+Tasks[[#This Row],[_Row]]/100000,"")</f>
        <v/>
      </c>
      <c r="FO5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55" s="45" t="n">
        <f aca="false">IF(NOT(Tasks[[#This Row],[_IsLeaf]]=1),0,IF(Tasks[[#This Row],[Baseline Cost]]="",Tasks[[#This Row],[_LeafTotalCost]],N(Tasks[[#This Row],[Baseline Cost]])))</f>
        <v>0</v>
      </c>
      <c r="FQ55" s="45" t="n">
        <f aca="false">Tasks[[#This Row],[_LeafBudget]]*Tasks[[#This Row],[_PlannedPct]]</f>
        <v>0</v>
      </c>
      <c r="FR55" s="45" t="n">
        <f aca="false">Tasks[[#This Row],[_LeafBudget]]*Tasks[[#This Row],[_LeafProgress]]</f>
        <v>0</v>
      </c>
      <c r="FS55" s="45" t="n">
        <f aca="false">IF(NOT(Tasks[[#This Row],[_IsLeaf]]=1),0,IF(Tasks[[#This Row],[Actual Cost]]="",Tasks[[#This Row],[_LeafTotalCost]]*Tasks[[#This Row],[_LeafProgress]],N(Tasks[[#This Row],[Actual Cost]])))</f>
        <v>0</v>
      </c>
      <c r="FT55" s="45" t="str">
        <f aca="false">IF(Tasks[[#This Row],[Task Name]]="","",LEFT(Tasks[[#This Row],[WBS]],FIND(".",Tasks[[#This Row],[WBS]]&amp;".")-1))</f>
        <v/>
      </c>
      <c r="FU55" s="45" t="str">
        <f aca="false">IF(AND(Tasks[[#This Row],[Task Name]]&lt;&gt;"",Tasks[[#This Row],[_Level]]=1),Tasks[[#This Row],[_Row]],"")</f>
        <v/>
      </c>
      <c r="FV55" s="45" t="str">
        <f aca="false">IF(AND(Tasks[[#This Row],[_IsLeaf]]=1,N(Tasks[[#This Row],[Duration]])=0),Tasks[[#This Row],[Planned Finish]]+Tasks[[#This Row],[_Row]]/100000,"")</f>
        <v/>
      </c>
      <c r="FW55" s="45" t="str">
        <f aca="false">IF(AND(Tasks[[#This Row],[_IsLeaf]]=1,Tasks[[#This Row],[_LeafProgress]]&lt;1,OR(N(Tasks[[#This Row],[Finish Var]])&gt;0,Tasks[[#This Row],[Status]]="Late Start")),MAX(0,Tasks[[#This Row],[Finish Var]])+1-Tasks[[#This Row],[_Row]]/1000000,"")</f>
        <v/>
      </c>
      <c r="FX55" s="45" t="str">
        <f aca="false">IF(AND(Tasks[[#This Row],[_IsLeaf]]=1,N(Tasks[[#This Row],[Actual Start]])=0,Tasks[[#This Row],[_ShownFcstStart]]&gt;=StatusDate,Tasks[[#This Row],[_ShownFcstStart]]&lt;=LookaheadEnd),Tasks[[#This Row],[_ShownFcstStart]]+Tasks[[#This Row],[_Row]]/100000,"")</f>
        <v/>
      </c>
      <c r="FY55" s="45" t="str">
        <f aca="false">IF(AND(Tasks[[#This Row],[_IsLeaf]]=1,Tasks[[#This Row],[_LeafProgress]]&lt;1,Tasks[[#This Row],[_ShownFcstFinish]]&gt;=StatusDate,Tasks[[#This Row],[_ShownFcstFinish]]&lt;=LookaheadEnd),Tasks[[#This Row],[_ShownFcstFinish]]+Tasks[[#This Row],[_Row]]/100000,"")</f>
        <v/>
      </c>
      <c r="FZ55" s="45" t="str">
        <f aca="false">IF(Tasks[[#This Row],[_LeafCritical]],Tasks[[#This Row],[_ShownFcstStart]]+Tasks[[#This Row],[_Row]]/100000,"")</f>
        <v/>
      </c>
      <c r="GA55" s="45" t="n">
        <f aca="false">Tasks[[#This Row],[_LeafWork]]*Tasks[[#This Row],[_LeafProgress]]</f>
        <v>0</v>
      </c>
      <c r="GB55" s="74" t="str">
        <f aca="false">IF(AND(Tasks[[#This Row],[_IsLeaf]]=1,Tasks[[#This Row],[_LeafProgress]]&gt;=1),IF(N(Tasks[[#This Row],[Actual Finish]])&gt;0,Tasks[[#This Row],[Actual Finish]],Tasks[[#This Row],[_ShownFcstFinish]]),"")</f>
        <v/>
      </c>
    </row>
    <row r="56" customFormat="false" ht="15" hidden="false" customHeight="false" outlineLevel="0" collapsed="false">
      <c r="A56" s="67" t="str">
        <f aca="false">IF(Tasks[[#This Row],[Task Name]]="","",COUNTA(Tasks[[#Headers],[Task Name]]:Tasks[[#This Row],[Task Name]])-1)</f>
        <v/>
      </c>
      <c r="B56" s="21" t="n">
        <v>51</v>
      </c>
      <c r="C5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21"/>
      <c r="E56" s="22"/>
      <c r="F56" s="21"/>
      <c r="G56" s="22"/>
      <c r="H56" s="22"/>
      <c r="I56" s="22"/>
      <c r="J56" s="7"/>
      <c r="K56" s="7"/>
      <c r="L56" s="22"/>
      <c r="M56" s="58" t="str">
        <f aca="false">IF(Tasks[[#This Row],[Task Name]]="","",IF(Tasks[[#This Row],[_IsSummary]],MIN(INDEX(Tasks[_ShownFcstStart],Tasks[[#This Row],[_Row]]+1):INDEX(Tasks[_ShownFcstStart],Tasks[[#This Row],[_Row]]+Tasks[[#This Row],[_Descendants]])),Tasks[[#This Row],[_ShownFcstStart]]))</f>
        <v/>
      </c>
      <c r="N56" s="58" t="str">
        <f aca="false">IF(Tasks[[#This Row],[Task Name]]="","",IF(Tasks[[#This Row],[_IsSummary]],MAX(INDEX(Tasks[_ShownFcstFinish],Tasks[[#This Row],[_Row]]+1):INDEX(Tasks[_ShownFcstFinish],Tasks[[#This Row],[_Row]]+Tasks[[#This Row],[_Descendants]])),Tasks[[#This Row],[_ShownFcstFinish]]))</f>
        <v/>
      </c>
      <c r="O56" s="20" t="str">
        <f aca="false">IF(Tasks[[#This Row],[Task Name]]="","",IF(Tasks[[#This Row],[Progress]]&gt;=1,"Complete",IF(OR(N(Tasks[[#This Row],[Actual Start]])&gt;0,Tasks[[#This Row],[Progress]]&gt;0),IF(Tasks[[#This Row],[Finish Var]]&gt;0,"Behind","In Progress"),IF(Tasks[[#This Row],[Planned Start]]&lt;StatusDate,"Late Start","Not Started"))))</f>
        <v/>
      </c>
      <c r="P56" s="20" t="str">
        <f aca="false">IF(Tasks[[#This Row],[Task Name]]="","",IF(IF(Tasks[[#This Row],[_IsSummary]],COUNTIF(INDEX(Tasks[_LeafCritical],Tasks[[#This Row],[_Row]]+1):INDEX(Tasks[_LeafCritical],Tasks[[#This Row],[_Row]]+Tasks[[#This Row],[_Descendants]]),TRUE())&gt;0,Tasks[[#This Row],[_LeafCritical]]),"Yes",""))</f>
        <v/>
      </c>
      <c r="Q5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56" s="67" t="str">
        <f aca="false">IF(Tasks[[#This Row],[Task Name]]="","",IF(Tasks[[#This Row],[_Level]]&lt;=OutlineShowLevel,"Yes","No"))</f>
        <v/>
      </c>
      <c r="S56" s="7"/>
      <c r="T56" s="21"/>
      <c r="U56" s="22"/>
      <c r="V56" s="7"/>
      <c r="W56" s="67" t="str">
        <f aca="false">IF(Tasks[[#This Row],[Task Name]]="","",IF(Tasks[[#This Row],[Finish]]&gt;=Tasks[[#This Row],[Planned Finish]],NETWORKDAYS.INTL(Tasks[[#This Row],[Planned Finish]],Tasks[[#This Row],[Finish]],WorkWeek,Holidays)-1,1-NETWORKDAYS.INTL(Tasks[[#This Row],[Finish]],Tasks[[#This Row],[Planned Finish]],WorkWeek,Holidays)))</f>
        <v/>
      </c>
      <c r="X56" s="58" t="str">
        <f aca="false">IF(Tasks[[#This Row],[Task Name]]="","",IF(N(Tasks[[#This Row],[Baseline Start]])&gt;0,Tasks[[#This Row],[Baseline Start]],Tasks[[#This Row],[_CalcStart]]))</f>
        <v/>
      </c>
      <c r="Y56" s="58" t="str">
        <f aca="false">IF(Tasks[[#This Row],[Task Name]]="","",IF(N(Tasks[[#This Row],[Baseline Finish]])&gt;0,Tasks[[#This Row],[Baseline Finish]],Tasks[[#This Row],[_CalcFinish]]))</f>
        <v/>
      </c>
      <c r="Z56" s="67" t="str">
        <f aca="false">IF(Tasks[[#This Row],[Task Name]]="","",IF(Tasks[[#This Row],[Start]]&gt;=Tasks[[#This Row],[Planned Start]],NETWORKDAYS.INTL(Tasks[[#This Row],[Planned Start]],Tasks[[#This Row],[Start]],WorkWeek,Holidays)-1,1-NETWORKDAYS.INTL(Tasks[[#This Row],[Start]],Tasks[[#This Row],[Planned Start]],WorkWeek,Holidays)))</f>
        <v/>
      </c>
      <c r="AA56" s="58" t="str">
        <f aca="false">IF(Tasks[[#This Row],[Task Name]]="","",IF(Tasks[[#This Row],[_IsSummary]],MIN(INDEX(Tasks[_LeafLateStart],Tasks[[#This Row],[_Row]]+1):INDEX(Tasks[_LeafLateStart],Tasks[[#This Row],[_Row]]+Tasks[[#This Row],[_Descendants]])),Tasks[[#This Row],[_LeafLateStart]]))</f>
        <v/>
      </c>
      <c r="AB56" s="58" t="str">
        <f aca="false">IF(Tasks[[#This Row],[Task Name]]="","",IF(Tasks[[#This Row],[_IsSummary]],MAX(INDEX(Tasks[_LeafLateFinish],Tasks[[#This Row],[_Row]]+1):INDEX(Tasks[_LeafLateFinish],Tasks[[#This Row],[_Row]]+Tasks[[#This Row],[_Descendants]])),Tasks[[#This Row],[_LeafLateFinish]]))</f>
        <v/>
      </c>
      <c r="AC56" s="67" t="str">
        <f aca="false">IF(Tasks[[#This Row],[Task Name]]="","",IF(Tasks[[#This Row],[_IsSummary]],MIN(INDEX(Tasks[_LeafTotalSlack],Tasks[[#This Row],[_Row]]+1):INDEX(Tasks[_LeafTotalSlack],Tasks[[#This Row],[_Row]]+Tasks[[#This Row],[_Descendants]])),Tasks[[#This Row],[_LeafTotalSlack]]))</f>
        <v/>
      </c>
      <c r="AD5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5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5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56" s="60"/>
      <c r="AH5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5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56" s="69" t="str">
        <f aca="false">IF(Tasks[[#This Row],[Task Name]]="","",IF(Tasks[[#This Row],[_IsSummary]],SUM(INDEX(Tasks[_LeafTotalWork],Tasks[[#This Row],[_Row]]+1):INDEX(Tasks[_LeafTotalWork],Tasks[[#This Row],[_Row]]+Tasks[[#This Row],[_Descendants]])),Tasks[[#This Row],[_LeafTotalWork]]))</f>
        <v/>
      </c>
      <c r="AK5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56" s="70" t="str">
        <f aca="false">IF(Tasks[[#This Row],[Task Name]]="","",IF(Tasks[[#This Row],[_IsSummary]],SUM(INDEX(Tasks[_LeafTotalCost],Tasks[[#This Row],[_Row]]+1):INDEX(Tasks[_LeafTotalCost],Tasks[[#This Row],[_Row]]+Tasks[[#This Row],[_Descendants]])),Tasks[[#This Row],[_LeafTotalCost]]))</f>
        <v/>
      </c>
      <c r="AM56" s="71"/>
      <c r="AN56" s="20" t="str">
        <f aca="false">IF(OR(Tasks[[#This Row],[Task Name]]="",Tasks[[#This Row],[Baseline Duration]]=""),"",Tasks[[#This Row],[BL Source Duration]]-N(Tasks[[#This Row],[Baseline Duration]]))</f>
        <v/>
      </c>
      <c r="AO56" s="69" t="str">
        <f aca="false">IF(OR(Tasks[[#This Row],[Task Name]]="",Tasks[[#This Row],[Baseline Work]]=""),"",Tasks[[#This Row],[Work]]-N(Tasks[[#This Row],[Baseline Work]]))</f>
        <v/>
      </c>
      <c r="AP56" s="70" t="str">
        <f aca="false">IF(OR(Tasks[[#This Row],[Task Name]]="",Tasks[[#This Row],[Baseline Cost]]=""),"",Tasks[[#This Row],[Cost]]-N(Tasks[[#This Row],[Baseline Cost]]))</f>
        <v/>
      </c>
      <c r="AQ56" s="58" t="str">
        <f aca="false">IF(Tasks[[#This Row],[Task Name]]="","",Tasks[[#This Row],[Start]])</f>
        <v/>
      </c>
      <c r="AR56" s="58" t="str">
        <f aca="false">IF(Tasks[[#This Row],[Task Name]]="","",Tasks[[#This Row],[Finish]])</f>
        <v/>
      </c>
      <c r="AS56" s="67" t="str">
        <f aca="false">IF(Tasks[[#This Row],[Task Name]]="","",IF(Tasks[[#This Row],[_IsSummary]],NETWORKDAYS.INTL(Tasks[[#This Row],[Start]],Tasks[[#This Row],[Finish]],WorkWeek,Holidays),N(Tasks[[#This Row],[Duration]])))</f>
        <v/>
      </c>
      <c r="AT56" s="69" t="str">
        <f aca="false">IF(Tasks[[#This Row],[Task Name]]="","",Tasks[[#This Row],[Work]])</f>
        <v/>
      </c>
      <c r="AU56" s="70" t="str">
        <f aca="false">IF(Tasks[[#This Row],[Task Name]]="","",Tasks[[#This Row],[Cost]])</f>
        <v/>
      </c>
      <c r="AV56" s="7"/>
      <c r="AW56" s="7"/>
      <c r="AX56" s="21"/>
      <c r="AY56" s="72"/>
      <c r="AZ56" s="71"/>
      <c r="BA56" s="70" t="str">
        <f aca="false">IF(Tasks[[#This Row],[Task Name]]="","",IF(Tasks[[#This Row],[_IsSummary]],SUM(INDEX(Tasks[_LeafEV],Tasks[[#This Row],[_Row]]+1):INDEX(Tasks[_LeafEV],Tasks[[#This Row],[_Row]]+Tasks[[#This Row],[_Descendants]])),Tasks[[#This Row],[_LeafEV]]))</f>
        <v/>
      </c>
      <c r="BB56" s="70" t="str">
        <f aca="false">IF(Tasks[[#This Row],[Task Name]]="","",IF(Tasks[[#This Row],[_IsSummary]],SUM(INDEX(Tasks[_LeafBudget],Tasks[[#This Row],[_Row]]+1):INDEX(Tasks[_LeafBudget],Tasks[[#This Row],[_Row]]+Tasks[[#This Row],[_Descendants]])),Tasks[[#This Row],[_LeafBudget]]))</f>
        <v/>
      </c>
      <c r="BC56" s="70" t="str">
        <f aca="false">IF(Tasks[[#This Row],[Task Name]]="","",IF(Tasks[[#This Row],[_IsSummary]],SUM(INDEX(Tasks[_LeafPV],Tasks[[#This Row],[_Row]]+1):INDEX(Tasks[_LeafPV],Tasks[[#This Row],[_Row]]+Tasks[[#This Row],[_Descendants]])),Tasks[[#This Row],[_LeafPV]]))</f>
        <v/>
      </c>
      <c r="BD56" s="70" t="str">
        <f aca="false">IF(Tasks[[#This Row],[Task Name]]="","",IF(Tasks[[#This Row],[_IsSummary]],SUM(INDEX(Tasks[_LeafAC],Tasks[[#This Row],[_Row]]+1):INDEX(Tasks[_LeafAC],Tasks[[#This Row],[_Row]]+Tasks[[#This Row],[_Descendants]])),Tasks[[#This Row],[_LeafAC]]))</f>
        <v/>
      </c>
      <c r="BE56" s="45" t="str">
        <f aca="false">IF(Tasks[[#This Row],[Task Name]]="","",MAX(1,N(Tasks[[#This Row],[Level]])))</f>
        <v/>
      </c>
      <c r="BF56" s="45" t="n">
        <f aca="false">ROW()-ROW(Tasks[[#Headers],[ID]])</f>
        <v>51</v>
      </c>
      <c r="BG56" s="45" t="n">
        <f aca="false">IF(OR(Tasks[[#This Row],[Task Name]]="",Tasks[[#This Row],[_Level]]&lt;=1),0,IFERROR(LOOKUP(2,1/(Tasks[[#Headers],[_Level]]:Tasks[[#This Row],[_Level]]=Tasks[[#This Row],[_Level]]-1),ROW(Tasks[[#Headers],[_Level]]:Tasks[[#This Row],[_Level]])),0))</f>
        <v>0</v>
      </c>
      <c r="BH56" s="45" t="n">
        <f aca="false">IFERROR(N(INDEX(Tasks[_Level],Tasks[[#This Row],[_Row]]+1)),0)</f>
        <v>0</v>
      </c>
      <c r="BI56" s="73" t="b">
        <f aca="false">AND(Tasks[[#This Row],[Task Name]]&lt;&gt;"",Tasks[[#This Row],[_NextLevel]]&gt;Tasks[[#This Row],[_Level]])</f>
        <v>0</v>
      </c>
      <c r="BJ56" s="45" t="n">
        <f aca="false">IF(Tasks[[#This Row],[_IsSummary]],COUNTIF(Tasks[WBS],Tasks[[#This Row],[WBS]]&amp;".*"),0)</f>
        <v>0</v>
      </c>
      <c r="BK56" s="45" t="n">
        <f aca="false">IF(AND(Tasks[[#This Row],[Task Name]]&lt;&gt;"",NOT(Tasks[[#This Row],[_IsSummary]])),1,0)</f>
        <v>0</v>
      </c>
      <c r="BL56" s="45" t="n">
        <f aca="false">IF(N(Tasks[[#This Row],[_Pred1UID]])=0,0,IFERROR(MATCH(Tasks[[#This Row],[_Pred1UID]],Tasks[UID],0),-1))</f>
        <v>0</v>
      </c>
      <c r="BM56" s="45" t="n">
        <f aca="false">IF(N(Tasks[[#This Row],[_Pred2UID]])=0,0,IFERROR(MATCH(Tasks[[#This Row],[_Pred2UID]],Tasks[UID],0),-1))</f>
        <v>0</v>
      </c>
      <c r="BN56" s="45" t="n">
        <f aca="false">IF(N(Tasks[[#This Row],[_Pred3UID]])=0,0,IFERROR(MATCH(Tasks[[#This Row],[_Pred3UID]],Tasks[UID],0),-1))</f>
        <v>0</v>
      </c>
      <c r="BO56" s="45" t="n">
        <f aca="false">IF(N(Tasks[[#This Row],[_Pred4UID]])=0,0,IFERROR(MATCH(Tasks[[#This Row],[_Pred4UID]],Tasks[UID],0),-1))</f>
        <v>0</v>
      </c>
      <c r="BP5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5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56" s="74" t="n">
        <f aca="false">IF(OR(Tasks[[#This Row],[_ConstraintCode]]=2,Tasks[[#This Row],[_ConstraintCode]]=3,Tasks[[#This Row],[_ConstraintCode]]=4,Tasks[[#This Row],[_ConstraintCode]]=6),Tasks[[#This Row],[_ConstraintStart]],0)</f>
        <v>0</v>
      </c>
      <c r="BS56" s="74" t="n">
        <f aca="false">IF(OR(Tasks[[#This Row],[_ConstraintCode]]=2,Tasks[[#This Row],[_ConstraintCode]]=3,Tasks[[#This Row],[_ConstraintCode]]=5,Tasks[[#This Row],[_ConstraintCode]]=7),Tasks[[#This Row],[_ConstraintStart]],2958465)</f>
        <v>2958465</v>
      </c>
      <c r="BT5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56" s="74" t="str">
        <f aca="false">IF(NOT(Tasks[[#This Row],[_IsLeaf]]=1),"",IF(N(Tasks[[#This Row],[Duration]])&lt;=0,Tasks[[#This Row],[_LeafCalcStart]],WORKDAY.INTL(Tasks[[#This Row],[_LeafCalcStart]],Tasks[[#This Row],[Duration]]-1,WorkWeek,Holidays)))</f>
        <v/>
      </c>
      <c r="BV5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5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56" s="45" t="str">
        <f aca="false">IF(Tasks[[#This Row],[Predecessors]]="","",TRIM(MID(SUBSTITUTE(SUBSTITUTE(SUBSTITUTE(UPPER(Tasks[[#This Row],[Predecessors]]),";",",")," ",""),",",REPT(" ",99)),1,99)))</f>
        <v/>
      </c>
      <c r="BY56" s="45" t="str">
        <f aca="false">IF(Tasks[[#This Row],[_Pred1Text]]="","",IFERROR(VALUE(LEFT(Tasks[[#This Row],[_Pred1Text]],MIN(FIND("F",Tasks[[#This Row],[_Pred1Text]]&amp;"F"),FIND("S",Tasks[[#This Row],[_Pred1Text]]&amp;"S"),FIND("+",Tasks[[#This Row],[_Pred1Text]]&amp;"+"),FIND("-",Tasks[[#This Row],[_Pred1Text]]&amp;"-"))-1)),""))</f>
        <v/>
      </c>
      <c r="BZ5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5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56" s="45" t="str">
        <f aca="false">IF(Tasks[[#This Row],[_Pred1Text]]="","",TRIM(MID(SUBSTITUTE(SUBSTITUTE(SUBSTITUTE(UPPER(Tasks[[#This Row],[Predecessors]]),";",",")," ",""),",",REPT(" ",99)),100,99)))</f>
        <v/>
      </c>
      <c r="CC56" s="45" t="str">
        <f aca="false">IF(Tasks[[#This Row],[_Pred2Text]]="","",IFERROR(VALUE(LEFT(Tasks[[#This Row],[_Pred2Text]],MIN(FIND("F",Tasks[[#This Row],[_Pred2Text]]&amp;"F"),FIND("S",Tasks[[#This Row],[_Pred2Text]]&amp;"S"),FIND("+",Tasks[[#This Row],[_Pred2Text]]&amp;"+"),FIND("-",Tasks[[#This Row],[_Pred2Text]]&amp;"-"))-1)),""))</f>
        <v/>
      </c>
      <c r="CD5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5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56" s="45" t="str">
        <f aca="false">IF(Tasks[[#This Row],[_Pred2Text]]="","",TRIM(MID(SUBSTITUTE(SUBSTITUTE(SUBSTITUTE(UPPER(Tasks[[#This Row],[Predecessors]]),";",",")," ",""),",",REPT(" ",99)),199,99)))</f>
        <v/>
      </c>
      <c r="CG56" s="45" t="str">
        <f aca="false">IF(Tasks[[#This Row],[_Pred3Text]]="","",IFERROR(VALUE(LEFT(Tasks[[#This Row],[_Pred3Text]],MIN(FIND("F",Tasks[[#This Row],[_Pred3Text]]&amp;"F"),FIND("S",Tasks[[#This Row],[_Pred3Text]]&amp;"S"),FIND("+",Tasks[[#This Row],[_Pred3Text]]&amp;"+"),FIND("-",Tasks[[#This Row],[_Pred3Text]]&amp;"-"))-1)),""))</f>
        <v/>
      </c>
      <c r="CH5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5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56" s="45" t="str">
        <f aca="false">IF(Tasks[[#This Row],[_Pred3Text]]="","",TRIM(MID(SUBSTITUTE(SUBSTITUTE(SUBSTITUTE(UPPER(Tasks[[#This Row],[Predecessors]]),";",",")," ",""),",",REPT(" ",99)),298,99)))</f>
        <v/>
      </c>
      <c r="CK56" s="45" t="str">
        <f aca="false">IF(Tasks[[#This Row],[_Pred4Text]]="","",IFERROR(VALUE(LEFT(Tasks[[#This Row],[_Pred4Text]],MIN(FIND("F",Tasks[[#This Row],[_Pred4Text]]&amp;"F"),FIND("S",Tasks[[#This Row],[_Pred4Text]]&amp;"S"),FIND("+",Tasks[[#This Row],[_Pred4Text]]&amp;"+"),FIND("-",Tasks[[#This Row],[_Pred4Text]]&amp;"-"))-1)),""))</f>
        <v/>
      </c>
      <c r="CL5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5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56" s="45" t="str">
        <f aca="false">IF(OR(Tasks[[#This Row],[Task Name]]="",Tasks[[#This Row],[Resources]]=""),"",TRIM(MID(SUBSTITUTE(Tasks[[#This Row],[Resources]],",",REPT(" ",99)),1,99)))</f>
        <v/>
      </c>
      <c r="CO56" s="45" t="str">
        <f aca="false">IF(Tasks[[#This Row],[_Res1Text]]="","",TRIM(MID(SUBSTITUTE(Tasks[[#This Row],[Resources]],",",REPT(" ",99)),100,99)))</f>
        <v/>
      </c>
      <c r="CP56" s="45" t="str">
        <f aca="false">IF(Tasks[[#This Row],[_Res2Text]]="","",TRIM(MID(SUBSTITUTE(Tasks[[#This Row],[Resources]],",",REPT(" ",99)),199,99)))</f>
        <v/>
      </c>
      <c r="CQ56" s="45" t="str">
        <f aca="false">IF(Tasks[[#This Row],[_Res3Text]]="","",TRIM(MID(SUBSTITUTE(Tasks[[#This Row],[Resources]],",",REPT(" ",99)),298,99)))</f>
        <v/>
      </c>
      <c r="CR5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5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6" s="45" t="n">
        <f aca="false">IF(NOT(Tasks[[#This Row],[_IsLeaf]]=1),0,(Tasks[[#This Row],[_Resource1]]&lt;&gt;"")+(Tasks[[#This Row],[_Res2]]&lt;&gt;"")+(Tasks[[#This Row],[_Res3]]&lt;&gt;"")+(Tasks[[#This Row],[_Res4]]&lt;&gt;""))</f>
        <v>0</v>
      </c>
      <c r="CU5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5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6" s="45" t="n">
        <f aca="false">IF(OR(NOT(Tasks[[#This Row],[_IsLeaf]]=1),Tasks[[#This Row],[_Res2]]=""),0,IF(ISNA(MATCH(Tasks[[#This Row],[_Res2]],res_Name,0)),0,N(Tasks[[#This Row],[Duration]])*HoursPerDay*IF(Tasks[[#This Row],[_Res2Units]]="",DefaultUnits,Tasks[[#This Row],[_Res2Units]])))</f>
        <v>0</v>
      </c>
      <c r="CX56" s="45" t="n">
        <f aca="false">IF(Tasks[[#This Row],[_Res2Work]]=0,0,Tasks[[#This Row],[_Res2Work]]*IFERROR(INDEX(res_Rate,MATCH(Tasks[[#This Row],[_Res2]],res_Name,0)),0))</f>
        <v>0</v>
      </c>
      <c r="CY56" s="45" t="n">
        <f aca="false">IF(AND(AND(Tasks[[#This Row],[_IsLeaf]]=1,Tasks[[#This Row],[_LeafTotalWork]]&gt;0),Tasks[[#This Row],[_Res2Work]]&gt;0),Tasks[[#This Row],[_Res2Work]]/(Tasks[[#This Row],[_FinishWorkday]]-Tasks[[#This Row],[_StartWorkday]]+1),0)</f>
        <v>0</v>
      </c>
      <c r="CZ56" s="45" t="n">
        <f aca="false">Tasks[[#This Row],[_Res2WorkPerWD]]*MAX(0,Tasks[[#This Row],[_StartWorkday]]-1)</f>
        <v>0</v>
      </c>
      <c r="DA56" s="45" t="n">
        <f aca="false">Tasks[[#This Row],[_Res2Work]]*Tasks[[#This Row],[_LeafProgress]]</f>
        <v>0</v>
      </c>
      <c r="DB56" s="45" t="n">
        <f aca="false">IF(Tasks[[#This Row],[_LeafTotalCost]]=0,0,Tasks[[#This Row],[_LeafAC]]*Tasks[[#This Row],[_Res2Cost]]/Tasks[[#This Row],[_LeafTotalCost]])</f>
        <v>0</v>
      </c>
      <c r="DC5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5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56" s="45" t="n">
        <f aca="false">IF(OR(NOT(Tasks[[#This Row],[_IsLeaf]]=1),Tasks[[#This Row],[_Res3]]=""),0,IF(ISNA(MATCH(Tasks[[#This Row],[_Res3]],res_Name,0)),0,N(Tasks[[#This Row],[Duration]])*HoursPerDay*IF(Tasks[[#This Row],[_Res3Units]]="",DefaultUnits,Tasks[[#This Row],[_Res3Units]])))</f>
        <v>0</v>
      </c>
      <c r="DF56" s="45" t="n">
        <f aca="false">IF(Tasks[[#This Row],[_Res3Work]]=0,0,Tasks[[#This Row],[_Res3Work]]*IFERROR(INDEX(res_Rate,MATCH(Tasks[[#This Row],[_Res3]],res_Name,0)),0))</f>
        <v>0</v>
      </c>
      <c r="DG56" s="45" t="n">
        <f aca="false">IF(AND(AND(Tasks[[#This Row],[_IsLeaf]]=1,Tasks[[#This Row],[_LeafTotalWork]]&gt;0),Tasks[[#This Row],[_Res3Work]]&gt;0),Tasks[[#This Row],[_Res3Work]]/(Tasks[[#This Row],[_FinishWorkday]]-Tasks[[#This Row],[_StartWorkday]]+1),0)</f>
        <v>0</v>
      </c>
      <c r="DH56" s="45" t="n">
        <f aca="false">Tasks[[#This Row],[_Res3WorkPerWD]]*MAX(0,Tasks[[#This Row],[_StartWorkday]]-1)</f>
        <v>0</v>
      </c>
      <c r="DI56" s="45" t="n">
        <f aca="false">Tasks[[#This Row],[_Res3Work]]*Tasks[[#This Row],[_LeafProgress]]</f>
        <v>0</v>
      </c>
      <c r="DJ56" s="45" t="n">
        <f aca="false">IF(Tasks[[#This Row],[_LeafTotalCost]]=0,0,Tasks[[#This Row],[_LeafAC]]*Tasks[[#This Row],[_Res3Cost]]/Tasks[[#This Row],[_LeafTotalCost]])</f>
        <v>0</v>
      </c>
      <c r="DK5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5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56" s="45" t="n">
        <f aca="false">IF(OR(NOT(Tasks[[#This Row],[_IsLeaf]]=1),Tasks[[#This Row],[_Res4]]=""),0,IF(ISNA(MATCH(Tasks[[#This Row],[_Res4]],res_Name,0)),0,N(Tasks[[#This Row],[Duration]])*HoursPerDay*IF(Tasks[[#This Row],[_Res4Units]]="",DefaultUnits,Tasks[[#This Row],[_Res4Units]])))</f>
        <v>0</v>
      </c>
      <c r="DN56" s="45" t="n">
        <f aca="false">IF(Tasks[[#This Row],[_Res4Work]]=0,0,Tasks[[#This Row],[_Res4Work]]*IFERROR(INDEX(res_Rate,MATCH(Tasks[[#This Row],[_Res4]],res_Name,0)),0))</f>
        <v>0</v>
      </c>
      <c r="DO56" s="45" t="n">
        <f aca="false">IF(AND(AND(Tasks[[#This Row],[_IsLeaf]]=1,Tasks[[#This Row],[_LeafTotalWork]]&gt;0),Tasks[[#This Row],[_Res4Work]]&gt;0),Tasks[[#This Row],[_Res4Work]]/(Tasks[[#This Row],[_FinishWorkday]]-Tasks[[#This Row],[_StartWorkday]]+1),0)</f>
        <v>0</v>
      </c>
      <c r="DP56" s="45" t="n">
        <f aca="false">Tasks[[#This Row],[_Res4WorkPerWD]]*MAX(0,Tasks[[#This Row],[_StartWorkday]]-1)</f>
        <v>0</v>
      </c>
      <c r="DQ56" s="45" t="n">
        <f aca="false">Tasks[[#This Row],[_Res4Work]]*Tasks[[#This Row],[_LeafProgress]]</f>
        <v>0</v>
      </c>
      <c r="DR56" s="45" t="n">
        <f aca="false">IF(Tasks[[#This Row],[_LeafTotalCost]]=0,0,Tasks[[#This Row],[_LeafAC]]*Tasks[[#This Row],[_Res4Cost]]/Tasks[[#This Row],[_LeafTotalCost]])</f>
        <v>0</v>
      </c>
      <c r="DS56" s="45" t="n">
        <f aca="false">IF(ISNUMBER(Tasks[[#This Row],[% Complete]]),Tasks[[#This Row],[% Complete]],IF(Tasks[[#This Row],[Stage]]="",0,IFERROR(INDEX(stg_Pct,MATCH(Tasks[[#This Row],[Stage]],stg_Name,0)),0)))</f>
        <v>0</v>
      </c>
      <c r="DT56" s="45" t="n">
        <f aca="false">IF(NOT(Tasks[[#This Row],[_IsLeaf]]=1),0,IF(N(Tasks[[#This Row],[Actual Finish]])&gt;0,1,MIN(1,Tasks[[#This Row],[_Pct]])))</f>
        <v>0</v>
      </c>
      <c r="DU56" s="45" t="n">
        <f aca="false">IF(OR(NOT(Tasks[[#This Row],[_IsLeaf]]=1),Tasks[[#This Row],[_Resource1]]=""),0,IF(ISNA(MATCH(Tasks[[#This Row],[_Resource1]],res_Name,0)),0,N(Tasks[[#This Row],[Duration]])*HoursPerDay*IF(Tasks[[#This Row],[_Units1]]="",DefaultUnits,Tasks[[#This Row],[_Units1]])))</f>
        <v>0</v>
      </c>
      <c r="DV56" s="45" t="n">
        <f aca="false">IF(Tasks[[#This Row],[_LeafWork]]=0,0,Tasks[[#This Row],[_LeafWork]]*IFERROR(INDEX(res_Rate,MATCH(Tasks[[#This Row],[_Resource1]],res_Name,0)),0))</f>
        <v>0</v>
      </c>
      <c r="DW56" s="45" t="n">
        <f aca="false">Tasks[[#This Row],[_LeafWork]]+Tasks[[#This Row],[_Res2Work]]+Tasks[[#This Row],[_Res3Work]]+Tasks[[#This Row],[_Res4Work]]</f>
        <v>0</v>
      </c>
      <c r="DX56" s="45" t="n">
        <f aca="false">Tasks[[#This Row],[_LeafCost]]+Tasks[[#This Row],[_Res2Cost]]+Tasks[[#This Row],[_Res3Cost]]+Tasks[[#This Row],[_Res4Cost]]</f>
        <v>0</v>
      </c>
      <c r="DY56" s="45" t="n">
        <f aca="false">IF(Tasks[[#This Row],[_LeafTotalCost]]=0,Tasks[[#This Row],[_LeafAC]],Tasks[[#This Row],[_LeafAC]]*Tasks[[#This Row],[_LeafCost]]/Tasks[[#This Row],[_LeafTotalCost]])</f>
        <v>0</v>
      </c>
      <c r="DZ5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5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5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5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5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5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5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5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56" s="45" t="n">
        <f aca="false">IF(NOT(Tasks[[#This Row],[_IsLeaf]]=1),0,MAX(_xlfn.MAXIFS(Tasks[_Row],Tasks[_Pred1UID],Tasks[[#This Row],[UID]]),_xlfn.MAXIFS(Tasks[_Row],Tasks[_Pred2UID],Tasks[[#This Row],[UID]]),_xlfn.MAXIFS(Tasks[_Row],Tasks[_Pred3UID],Tasks[[#This Row],[UID]]),_xlfn.MAXIFS(Tasks[_Row],Tasks[_Pred4UID],Tasks[[#This Row],[UID]])))</f>
        <v>0</v>
      </c>
      <c r="EI5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5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56" s="74" t="str">
        <f aca="false">IF(NOT(Tasks[[#This Row],[_IsLeaf]]=1),"",IF(N(Tasks[[#This Row],[Duration]])&lt;=0,Tasks[[#This Row],[_LeafLateFinish]],WORKDAY.INTL(Tasks[[#This Row],[_LeafLateFinish]],-(Tasks[[#This Row],[Duration]]-1),WorkWeek,Holidays)))</f>
        <v/>
      </c>
      <c r="EL5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56" s="73" t="b">
        <f aca="false">AND(Tasks[[#This Row],[_IsLeaf]]=1,Tasks[[#This Row],[_LeafProgress]]&lt;1,N(Tasks[[#This Row],[_LeafTotalSlack]])&lt;=CriticalSlackDays)</f>
        <v>0</v>
      </c>
      <c r="EN56" s="45" t="n">
        <f aca="false">IF(AND(Tasks[[#This Row],[_IsLeaf]]=1,Tasks[[#This Row],[_ConstraintCode]]=1,Tasks[[#This Row],[Mode]]&lt;&gt;"Manual",N(Tasks[[#This Row],[Actual Start]])=0),MAX(0,N(Tasks[[#This Row],[Free Slack]])),0)</f>
        <v>0</v>
      </c>
      <c r="EO56" s="74" t="str">
        <f aca="false">IF(NOT(Tasks[[#This Row],[_IsLeaf]]=1),"",IF(Tasks[[#This Row],[_AlapShift]]=0,Tasks[[#This Row],[_LeafCalcStart]],WORKDAY.INTL(Tasks[[#This Row],[_LeafCalcStart]],Tasks[[#This Row],[_AlapShift]],WorkWeek,Holidays)))</f>
        <v/>
      </c>
      <c r="EP56" s="74" t="str">
        <f aca="false">IF(NOT(Tasks[[#This Row],[_IsLeaf]]=1),"",IF(Tasks[[#This Row],[_AlapShift]]=0,Tasks[[#This Row],[_LeafCalcFinish]],WORKDAY.INTL(Tasks[[#This Row],[_LeafCalcFinish]],Tasks[[#This Row],[_AlapShift]],WorkWeek,Holidays)))</f>
        <v/>
      </c>
      <c r="EQ56" s="74" t="str">
        <f aca="false">IF(NOT(Tasks[[#This Row],[_IsLeaf]]=1),"",IF(Tasks[[#This Row],[_AlapShift]]=0,Tasks[[#This Row],[_LeafFcstStart]],WORKDAY.INTL(Tasks[[#This Row],[_LeafFcstStart]],Tasks[[#This Row],[_AlapShift]],WorkWeek,Holidays)))</f>
        <v/>
      </c>
      <c r="ER56" s="74" t="str">
        <f aca="false">IF(NOT(Tasks[[#This Row],[_IsLeaf]]=1),"",IF(Tasks[[#This Row],[_AlapShift]]=0,Tasks[[#This Row],[_LeafFcstFinish]],WORKDAY.INTL(Tasks[[#This Row],[_LeafFcstFinish]],Tasks[[#This Row],[_AlapShift]],WorkWeek,Holidays)))</f>
        <v/>
      </c>
      <c r="ES56" s="74" t="str">
        <f aca="false">IF(Tasks[[#This Row],[Task Name]]="","",IF(Tasks[[#This Row],[_IsSummary]],MIN(INDEX(Tasks[_ShownCalcStart],Tasks[[#This Row],[_Row]]+1):INDEX(Tasks[_ShownCalcStart],Tasks[[#This Row],[_Row]]+Tasks[[#This Row],[_Descendants]])),Tasks[[#This Row],[_ShownCalcStart]]))</f>
        <v/>
      </c>
      <c r="ET56" s="74" t="str">
        <f aca="false">IF(Tasks[[#This Row],[Task Name]]="","",IF(Tasks[[#This Row],[_IsSummary]],MAX(INDEX(Tasks[_ShownCalcFinish],Tasks[[#This Row],[_Row]]+1):INDEX(Tasks[_ShownCalcFinish],Tasks[[#This Row],[_Row]]+Tasks[[#This Row],[_Descendants]])),Tasks[[#This Row],[_ShownCalcFinish]]))</f>
        <v/>
      </c>
      <c r="EU5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5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5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5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5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5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5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5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5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5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5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5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56" s="45" t="n">
        <f aca="false">IF(AND(Tasks[[#This Row],[_IsLeaf]]=1,Tasks[[#This Row],[_LeafTotalWork]]&gt;0),NETWORKDAYS.INTL(ProjectStart,Tasks[[#This Row],[_ShownFcstStart]],WorkWeek,Holidays),0)</f>
        <v>0</v>
      </c>
      <c r="FH56" s="45" t="n">
        <f aca="false">IF(AND(Tasks[[#This Row],[_IsLeaf]]=1,Tasks[[#This Row],[_LeafTotalWork]]&gt;0),MAX(Tasks[[#This Row],[_StartWorkday]],NETWORKDAYS.INTL(ProjectStart,Tasks[[#This Row],[_ShownFcstFinish]],WorkWeek,Holidays)),0)</f>
        <v>0</v>
      </c>
      <c r="FI56" s="45" t="n">
        <f aca="false">IF(AND(Tasks[[#This Row],[_IsLeaf]]=1,Tasks[[#This Row],[_LeafTotalWork]]&gt;0),Tasks[[#This Row],[_LeafWork]]/(Tasks[[#This Row],[_FinishWorkday]]-Tasks[[#This Row],[_StartWorkday]]+1),0)</f>
        <v>0</v>
      </c>
      <c r="FJ56" s="45" t="n">
        <f aca="false">Tasks[[#This Row],[_WorkPerWorkday]]*(Tasks[[#This Row],[_StartWorkday]]-1)</f>
        <v>-0</v>
      </c>
      <c r="FK56" s="45" t="n">
        <f aca="false">IF(Tasks[[#This Row],[_IsLeaf]]=1,MAX(N(Tasks[[#This Row],[Duration]]),0.1),0)</f>
        <v>0</v>
      </c>
      <c r="FL56" s="45" t="n">
        <f aca="false">Tasks[[#This Row],[_WeightDur]]*Tasks[[#This Row],[_LeafProgress]]</f>
        <v>0</v>
      </c>
      <c r="FM5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56" s="45" t="str">
        <f aca="false">IF(AND(Tasks[[#This Row],[_IsLeaf]]=1,N(Tasks[[#This Row],[Duration]])=0,Tasks[[#This Row],[_LeafProgress]]&lt;1),Tasks[[#This Row],[_ShownFcstFinish]]+Tasks[[#This Row],[_Row]]/100000,"")</f>
        <v/>
      </c>
      <c r="FO5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56" s="45" t="n">
        <f aca="false">IF(NOT(Tasks[[#This Row],[_IsLeaf]]=1),0,IF(Tasks[[#This Row],[Baseline Cost]]="",Tasks[[#This Row],[_LeafTotalCost]],N(Tasks[[#This Row],[Baseline Cost]])))</f>
        <v>0</v>
      </c>
      <c r="FQ56" s="45" t="n">
        <f aca="false">Tasks[[#This Row],[_LeafBudget]]*Tasks[[#This Row],[_PlannedPct]]</f>
        <v>0</v>
      </c>
      <c r="FR56" s="45" t="n">
        <f aca="false">Tasks[[#This Row],[_LeafBudget]]*Tasks[[#This Row],[_LeafProgress]]</f>
        <v>0</v>
      </c>
      <c r="FS56" s="45" t="n">
        <f aca="false">IF(NOT(Tasks[[#This Row],[_IsLeaf]]=1),0,IF(Tasks[[#This Row],[Actual Cost]]="",Tasks[[#This Row],[_LeafTotalCost]]*Tasks[[#This Row],[_LeafProgress]],N(Tasks[[#This Row],[Actual Cost]])))</f>
        <v>0</v>
      </c>
      <c r="FT56" s="45" t="str">
        <f aca="false">IF(Tasks[[#This Row],[Task Name]]="","",LEFT(Tasks[[#This Row],[WBS]],FIND(".",Tasks[[#This Row],[WBS]]&amp;".")-1))</f>
        <v/>
      </c>
      <c r="FU56" s="45" t="str">
        <f aca="false">IF(AND(Tasks[[#This Row],[Task Name]]&lt;&gt;"",Tasks[[#This Row],[_Level]]=1),Tasks[[#This Row],[_Row]],"")</f>
        <v/>
      </c>
      <c r="FV56" s="45" t="str">
        <f aca="false">IF(AND(Tasks[[#This Row],[_IsLeaf]]=1,N(Tasks[[#This Row],[Duration]])=0),Tasks[[#This Row],[Planned Finish]]+Tasks[[#This Row],[_Row]]/100000,"")</f>
        <v/>
      </c>
      <c r="FW56" s="45" t="str">
        <f aca="false">IF(AND(Tasks[[#This Row],[_IsLeaf]]=1,Tasks[[#This Row],[_LeafProgress]]&lt;1,OR(N(Tasks[[#This Row],[Finish Var]])&gt;0,Tasks[[#This Row],[Status]]="Late Start")),MAX(0,Tasks[[#This Row],[Finish Var]])+1-Tasks[[#This Row],[_Row]]/1000000,"")</f>
        <v/>
      </c>
      <c r="FX56" s="45" t="str">
        <f aca="false">IF(AND(Tasks[[#This Row],[_IsLeaf]]=1,N(Tasks[[#This Row],[Actual Start]])=0,Tasks[[#This Row],[_ShownFcstStart]]&gt;=StatusDate,Tasks[[#This Row],[_ShownFcstStart]]&lt;=LookaheadEnd),Tasks[[#This Row],[_ShownFcstStart]]+Tasks[[#This Row],[_Row]]/100000,"")</f>
        <v/>
      </c>
      <c r="FY56" s="45" t="str">
        <f aca="false">IF(AND(Tasks[[#This Row],[_IsLeaf]]=1,Tasks[[#This Row],[_LeafProgress]]&lt;1,Tasks[[#This Row],[_ShownFcstFinish]]&gt;=StatusDate,Tasks[[#This Row],[_ShownFcstFinish]]&lt;=LookaheadEnd),Tasks[[#This Row],[_ShownFcstFinish]]+Tasks[[#This Row],[_Row]]/100000,"")</f>
        <v/>
      </c>
      <c r="FZ56" s="45" t="str">
        <f aca="false">IF(Tasks[[#This Row],[_LeafCritical]],Tasks[[#This Row],[_ShownFcstStart]]+Tasks[[#This Row],[_Row]]/100000,"")</f>
        <v/>
      </c>
      <c r="GA56" s="45" t="n">
        <f aca="false">Tasks[[#This Row],[_LeafWork]]*Tasks[[#This Row],[_LeafProgress]]</f>
        <v>0</v>
      </c>
      <c r="GB56" s="74" t="str">
        <f aca="false">IF(AND(Tasks[[#This Row],[_IsLeaf]]=1,Tasks[[#This Row],[_LeafProgress]]&gt;=1),IF(N(Tasks[[#This Row],[Actual Finish]])&gt;0,Tasks[[#This Row],[Actual Finish]],Tasks[[#This Row],[_ShownFcstFinish]]),"")</f>
        <v/>
      </c>
    </row>
    <row r="57" customFormat="false" ht="15" hidden="false" customHeight="false" outlineLevel="0" collapsed="false">
      <c r="A57" s="67" t="str">
        <f aca="false">IF(Tasks[[#This Row],[Task Name]]="","",COUNTA(Tasks[[#Headers],[Task Name]]:Tasks[[#This Row],[Task Name]])-1)</f>
        <v/>
      </c>
      <c r="B57" s="21" t="n">
        <v>52</v>
      </c>
      <c r="C5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21"/>
      <c r="E57" s="22"/>
      <c r="F57" s="21"/>
      <c r="G57" s="22"/>
      <c r="H57" s="22"/>
      <c r="I57" s="22"/>
      <c r="J57" s="7"/>
      <c r="K57" s="7"/>
      <c r="L57" s="22"/>
      <c r="M57" s="58" t="str">
        <f aca="false">IF(Tasks[[#This Row],[Task Name]]="","",IF(Tasks[[#This Row],[_IsSummary]],MIN(INDEX(Tasks[_ShownFcstStart],Tasks[[#This Row],[_Row]]+1):INDEX(Tasks[_ShownFcstStart],Tasks[[#This Row],[_Row]]+Tasks[[#This Row],[_Descendants]])),Tasks[[#This Row],[_ShownFcstStart]]))</f>
        <v/>
      </c>
      <c r="N57" s="58" t="str">
        <f aca="false">IF(Tasks[[#This Row],[Task Name]]="","",IF(Tasks[[#This Row],[_IsSummary]],MAX(INDEX(Tasks[_ShownFcstFinish],Tasks[[#This Row],[_Row]]+1):INDEX(Tasks[_ShownFcstFinish],Tasks[[#This Row],[_Row]]+Tasks[[#This Row],[_Descendants]])),Tasks[[#This Row],[_ShownFcstFinish]]))</f>
        <v/>
      </c>
      <c r="O57" s="20" t="str">
        <f aca="false">IF(Tasks[[#This Row],[Task Name]]="","",IF(Tasks[[#This Row],[Progress]]&gt;=1,"Complete",IF(OR(N(Tasks[[#This Row],[Actual Start]])&gt;0,Tasks[[#This Row],[Progress]]&gt;0),IF(Tasks[[#This Row],[Finish Var]]&gt;0,"Behind","In Progress"),IF(Tasks[[#This Row],[Planned Start]]&lt;StatusDate,"Late Start","Not Started"))))</f>
        <v/>
      </c>
      <c r="P57" s="20" t="str">
        <f aca="false">IF(Tasks[[#This Row],[Task Name]]="","",IF(IF(Tasks[[#This Row],[_IsSummary]],COUNTIF(INDEX(Tasks[_LeafCritical],Tasks[[#This Row],[_Row]]+1):INDEX(Tasks[_LeafCritical],Tasks[[#This Row],[_Row]]+Tasks[[#This Row],[_Descendants]]),TRUE())&gt;0,Tasks[[#This Row],[_LeafCritical]]),"Yes",""))</f>
        <v/>
      </c>
      <c r="Q5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57" s="67" t="str">
        <f aca="false">IF(Tasks[[#This Row],[Task Name]]="","",IF(Tasks[[#This Row],[_Level]]&lt;=OutlineShowLevel,"Yes","No"))</f>
        <v/>
      </c>
      <c r="S57" s="7"/>
      <c r="T57" s="21"/>
      <c r="U57" s="22"/>
      <c r="V57" s="7"/>
      <c r="W57" s="67" t="str">
        <f aca="false">IF(Tasks[[#This Row],[Task Name]]="","",IF(Tasks[[#This Row],[Finish]]&gt;=Tasks[[#This Row],[Planned Finish]],NETWORKDAYS.INTL(Tasks[[#This Row],[Planned Finish]],Tasks[[#This Row],[Finish]],WorkWeek,Holidays)-1,1-NETWORKDAYS.INTL(Tasks[[#This Row],[Finish]],Tasks[[#This Row],[Planned Finish]],WorkWeek,Holidays)))</f>
        <v/>
      </c>
      <c r="X57" s="58" t="str">
        <f aca="false">IF(Tasks[[#This Row],[Task Name]]="","",IF(N(Tasks[[#This Row],[Baseline Start]])&gt;0,Tasks[[#This Row],[Baseline Start]],Tasks[[#This Row],[_CalcStart]]))</f>
        <v/>
      </c>
      <c r="Y57" s="58" t="str">
        <f aca="false">IF(Tasks[[#This Row],[Task Name]]="","",IF(N(Tasks[[#This Row],[Baseline Finish]])&gt;0,Tasks[[#This Row],[Baseline Finish]],Tasks[[#This Row],[_CalcFinish]]))</f>
        <v/>
      </c>
      <c r="Z57" s="67" t="str">
        <f aca="false">IF(Tasks[[#This Row],[Task Name]]="","",IF(Tasks[[#This Row],[Start]]&gt;=Tasks[[#This Row],[Planned Start]],NETWORKDAYS.INTL(Tasks[[#This Row],[Planned Start]],Tasks[[#This Row],[Start]],WorkWeek,Holidays)-1,1-NETWORKDAYS.INTL(Tasks[[#This Row],[Start]],Tasks[[#This Row],[Planned Start]],WorkWeek,Holidays)))</f>
        <v/>
      </c>
      <c r="AA57" s="58" t="str">
        <f aca="false">IF(Tasks[[#This Row],[Task Name]]="","",IF(Tasks[[#This Row],[_IsSummary]],MIN(INDEX(Tasks[_LeafLateStart],Tasks[[#This Row],[_Row]]+1):INDEX(Tasks[_LeafLateStart],Tasks[[#This Row],[_Row]]+Tasks[[#This Row],[_Descendants]])),Tasks[[#This Row],[_LeafLateStart]]))</f>
        <v/>
      </c>
      <c r="AB57" s="58" t="str">
        <f aca="false">IF(Tasks[[#This Row],[Task Name]]="","",IF(Tasks[[#This Row],[_IsSummary]],MAX(INDEX(Tasks[_LeafLateFinish],Tasks[[#This Row],[_Row]]+1):INDEX(Tasks[_LeafLateFinish],Tasks[[#This Row],[_Row]]+Tasks[[#This Row],[_Descendants]])),Tasks[[#This Row],[_LeafLateFinish]]))</f>
        <v/>
      </c>
      <c r="AC57" s="67" t="str">
        <f aca="false">IF(Tasks[[#This Row],[Task Name]]="","",IF(Tasks[[#This Row],[_IsSummary]],MIN(INDEX(Tasks[_LeafTotalSlack],Tasks[[#This Row],[_Row]]+1):INDEX(Tasks[_LeafTotalSlack],Tasks[[#This Row],[_Row]]+Tasks[[#This Row],[_Descendants]])),Tasks[[#This Row],[_LeafTotalSlack]]))</f>
        <v/>
      </c>
      <c r="AD5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5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5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57" s="60"/>
      <c r="AH5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5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57" s="69" t="str">
        <f aca="false">IF(Tasks[[#This Row],[Task Name]]="","",IF(Tasks[[#This Row],[_IsSummary]],SUM(INDEX(Tasks[_LeafTotalWork],Tasks[[#This Row],[_Row]]+1):INDEX(Tasks[_LeafTotalWork],Tasks[[#This Row],[_Row]]+Tasks[[#This Row],[_Descendants]])),Tasks[[#This Row],[_LeafTotalWork]]))</f>
        <v/>
      </c>
      <c r="AK5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57" s="70" t="str">
        <f aca="false">IF(Tasks[[#This Row],[Task Name]]="","",IF(Tasks[[#This Row],[_IsSummary]],SUM(INDEX(Tasks[_LeafTotalCost],Tasks[[#This Row],[_Row]]+1):INDEX(Tasks[_LeafTotalCost],Tasks[[#This Row],[_Row]]+Tasks[[#This Row],[_Descendants]])),Tasks[[#This Row],[_LeafTotalCost]]))</f>
        <v/>
      </c>
      <c r="AM57" s="71"/>
      <c r="AN57" s="20" t="str">
        <f aca="false">IF(OR(Tasks[[#This Row],[Task Name]]="",Tasks[[#This Row],[Baseline Duration]]=""),"",Tasks[[#This Row],[BL Source Duration]]-N(Tasks[[#This Row],[Baseline Duration]]))</f>
        <v/>
      </c>
      <c r="AO57" s="69" t="str">
        <f aca="false">IF(OR(Tasks[[#This Row],[Task Name]]="",Tasks[[#This Row],[Baseline Work]]=""),"",Tasks[[#This Row],[Work]]-N(Tasks[[#This Row],[Baseline Work]]))</f>
        <v/>
      </c>
      <c r="AP57" s="70" t="str">
        <f aca="false">IF(OR(Tasks[[#This Row],[Task Name]]="",Tasks[[#This Row],[Baseline Cost]]=""),"",Tasks[[#This Row],[Cost]]-N(Tasks[[#This Row],[Baseline Cost]]))</f>
        <v/>
      </c>
      <c r="AQ57" s="58" t="str">
        <f aca="false">IF(Tasks[[#This Row],[Task Name]]="","",Tasks[[#This Row],[Start]])</f>
        <v/>
      </c>
      <c r="AR57" s="58" t="str">
        <f aca="false">IF(Tasks[[#This Row],[Task Name]]="","",Tasks[[#This Row],[Finish]])</f>
        <v/>
      </c>
      <c r="AS57" s="67" t="str">
        <f aca="false">IF(Tasks[[#This Row],[Task Name]]="","",IF(Tasks[[#This Row],[_IsSummary]],NETWORKDAYS.INTL(Tasks[[#This Row],[Start]],Tasks[[#This Row],[Finish]],WorkWeek,Holidays),N(Tasks[[#This Row],[Duration]])))</f>
        <v/>
      </c>
      <c r="AT57" s="69" t="str">
        <f aca="false">IF(Tasks[[#This Row],[Task Name]]="","",Tasks[[#This Row],[Work]])</f>
        <v/>
      </c>
      <c r="AU57" s="70" t="str">
        <f aca="false">IF(Tasks[[#This Row],[Task Name]]="","",Tasks[[#This Row],[Cost]])</f>
        <v/>
      </c>
      <c r="AV57" s="7"/>
      <c r="AW57" s="7"/>
      <c r="AX57" s="21"/>
      <c r="AY57" s="72"/>
      <c r="AZ57" s="71"/>
      <c r="BA57" s="70" t="str">
        <f aca="false">IF(Tasks[[#This Row],[Task Name]]="","",IF(Tasks[[#This Row],[_IsSummary]],SUM(INDEX(Tasks[_LeafEV],Tasks[[#This Row],[_Row]]+1):INDEX(Tasks[_LeafEV],Tasks[[#This Row],[_Row]]+Tasks[[#This Row],[_Descendants]])),Tasks[[#This Row],[_LeafEV]]))</f>
        <v/>
      </c>
      <c r="BB57" s="70" t="str">
        <f aca="false">IF(Tasks[[#This Row],[Task Name]]="","",IF(Tasks[[#This Row],[_IsSummary]],SUM(INDEX(Tasks[_LeafBudget],Tasks[[#This Row],[_Row]]+1):INDEX(Tasks[_LeafBudget],Tasks[[#This Row],[_Row]]+Tasks[[#This Row],[_Descendants]])),Tasks[[#This Row],[_LeafBudget]]))</f>
        <v/>
      </c>
      <c r="BC57" s="70" t="str">
        <f aca="false">IF(Tasks[[#This Row],[Task Name]]="","",IF(Tasks[[#This Row],[_IsSummary]],SUM(INDEX(Tasks[_LeafPV],Tasks[[#This Row],[_Row]]+1):INDEX(Tasks[_LeafPV],Tasks[[#This Row],[_Row]]+Tasks[[#This Row],[_Descendants]])),Tasks[[#This Row],[_LeafPV]]))</f>
        <v/>
      </c>
      <c r="BD57" s="70" t="str">
        <f aca="false">IF(Tasks[[#This Row],[Task Name]]="","",IF(Tasks[[#This Row],[_IsSummary]],SUM(INDEX(Tasks[_LeafAC],Tasks[[#This Row],[_Row]]+1):INDEX(Tasks[_LeafAC],Tasks[[#This Row],[_Row]]+Tasks[[#This Row],[_Descendants]])),Tasks[[#This Row],[_LeafAC]]))</f>
        <v/>
      </c>
      <c r="BE57" s="45" t="str">
        <f aca="false">IF(Tasks[[#This Row],[Task Name]]="","",MAX(1,N(Tasks[[#This Row],[Level]])))</f>
        <v/>
      </c>
      <c r="BF57" s="45" t="n">
        <f aca="false">ROW()-ROW(Tasks[[#Headers],[ID]])</f>
        <v>52</v>
      </c>
      <c r="BG57" s="45" t="n">
        <f aca="false">IF(OR(Tasks[[#This Row],[Task Name]]="",Tasks[[#This Row],[_Level]]&lt;=1),0,IFERROR(LOOKUP(2,1/(Tasks[[#Headers],[_Level]]:Tasks[[#This Row],[_Level]]=Tasks[[#This Row],[_Level]]-1),ROW(Tasks[[#Headers],[_Level]]:Tasks[[#This Row],[_Level]])),0))</f>
        <v>0</v>
      </c>
      <c r="BH57" s="45" t="n">
        <f aca="false">IFERROR(N(INDEX(Tasks[_Level],Tasks[[#This Row],[_Row]]+1)),0)</f>
        <v>0</v>
      </c>
      <c r="BI57" s="73" t="b">
        <f aca="false">AND(Tasks[[#This Row],[Task Name]]&lt;&gt;"",Tasks[[#This Row],[_NextLevel]]&gt;Tasks[[#This Row],[_Level]])</f>
        <v>0</v>
      </c>
      <c r="BJ57" s="45" t="n">
        <f aca="false">IF(Tasks[[#This Row],[_IsSummary]],COUNTIF(Tasks[WBS],Tasks[[#This Row],[WBS]]&amp;".*"),0)</f>
        <v>0</v>
      </c>
      <c r="BK57" s="45" t="n">
        <f aca="false">IF(AND(Tasks[[#This Row],[Task Name]]&lt;&gt;"",NOT(Tasks[[#This Row],[_IsSummary]])),1,0)</f>
        <v>0</v>
      </c>
      <c r="BL57" s="45" t="n">
        <f aca="false">IF(N(Tasks[[#This Row],[_Pred1UID]])=0,0,IFERROR(MATCH(Tasks[[#This Row],[_Pred1UID]],Tasks[UID],0),-1))</f>
        <v>0</v>
      </c>
      <c r="BM57" s="45" t="n">
        <f aca="false">IF(N(Tasks[[#This Row],[_Pred2UID]])=0,0,IFERROR(MATCH(Tasks[[#This Row],[_Pred2UID]],Tasks[UID],0),-1))</f>
        <v>0</v>
      </c>
      <c r="BN57" s="45" t="n">
        <f aca="false">IF(N(Tasks[[#This Row],[_Pred3UID]])=0,0,IFERROR(MATCH(Tasks[[#This Row],[_Pred3UID]],Tasks[UID],0),-1))</f>
        <v>0</v>
      </c>
      <c r="BO57" s="45" t="n">
        <f aca="false">IF(N(Tasks[[#This Row],[_Pred4UID]])=0,0,IFERROR(MATCH(Tasks[[#This Row],[_Pred4UID]],Tasks[UID],0),-1))</f>
        <v>0</v>
      </c>
      <c r="BP5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5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57" s="74" t="n">
        <f aca="false">IF(OR(Tasks[[#This Row],[_ConstraintCode]]=2,Tasks[[#This Row],[_ConstraintCode]]=3,Tasks[[#This Row],[_ConstraintCode]]=4,Tasks[[#This Row],[_ConstraintCode]]=6),Tasks[[#This Row],[_ConstraintStart]],0)</f>
        <v>0</v>
      </c>
      <c r="BS57" s="74" t="n">
        <f aca="false">IF(OR(Tasks[[#This Row],[_ConstraintCode]]=2,Tasks[[#This Row],[_ConstraintCode]]=3,Tasks[[#This Row],[_ConstraintCode]]=5,Tasks[[#This Row],[_ConstraintCode]]=7),Tasks[[#This Row],[_ConstraintStart]],2958465)</f>
        <v>2958465</v>
      </c>
      <c r="BT5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57" s="74" t="str">
        <f aca="false">IF(NOT(Tasks[[#This Row],[_IsLeaf]]=1),"",IF(N(Tasks[[#This Row],[Duration]])&lt;=0,Tasks[[#This Row],[_LeafCalcStart]],WORKDAY.INTL(Tasks[[#This Row],[_LeafCalcStart]],Tasks[[#This Row],[Duration]]-1,WorkWeek,Holidays)))</f>
        <v/>
      </c>
      <c r="BV5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5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57" s="45" t="str">
        <f aca="false">IF(Tasks[[#This Row],[Predecessors]]="","",TRIM(MID(SUBSTITUTE(SUBSTITUTE(SUBSTITUTE(UPPER(Tasks[[#This Row],[Predecessors]]),";",",")," ",""),",",REPT(" ",99)),1,99)))</f>
        <v/>
      </c>
      <c r="BY57" s="45" t="str">
        <f aca="false">IF(Tasks[[#This Row],[_Pred1Text]]="","",IFERROR(VALUE(LEFT(Tasks[[#This Row],[_Pred1Text]],MIN(FIND("F",Tasks[[#This Row],[_Pred1Text]]&amp;"F"),FIND("S",Tasks[[#This Row],[_Pred1Text]]&amp;"S"),FIND("+",Tasks[[#This Row],[_Pred1Text]]&amp;"+"),FIND("-",Tasks[[#This Row],[_Pred1Text]]&amp;"-"))-1)),""))</f>
        <v/>
      </c>
      <c r="BZ5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5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57" s="45" t="str">
        <f aca="false">IF(Tasks[[#This Row],[_Pred1Text]]="","",TRIM(MID(SUBSTITUTE(SUBSTITUTE(SUBSTITUTE(UPPER(Tasks[[#This Row],[Predecessors]]),";",",")," ",""),",",REPT(" ",99)),100,99)))</f>
        <v/>
      </c>
      <c r="CC57" s="45" t="str">
        <f aca="false">IF(Tasks[[#This Row],[_Pred2Text]]="","",IFERROR(VALUE(LEFT(Tasks[[#This Row],[_Pred2Text]],MIN(FIND("F",Tasks[[#This Row],[_Pred2Text]]&amp;"F"),FIND("S",Tasks[[#This Row],[_Pred2Text]]&amp;"S"),FIND("+",Tasks[[#This Row],[_Pred2Text]]&amp;"+"),FIND("-",Tasks[[#This Row],[_Pred2Text]]&amp;"-"))-1)),""))</f>
        <v/>
      </c>
      <c r="CD5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5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57" s="45" t="str">
        <f aca="false">IF(Tasks[[#This Row],[_Pred2Text]]="","",TRIM(MID(SUBSTITUTE(SUBSTITUTE(SUBSTITUTE(UPPER(Tasks[[#This Row],[Predecessors]]),";",",")," ",""),",",REPT(" ",99)),199,99)))</f>
        <v/>
      </c>
      <c r="CG57" s="45" t="str">
        <f aca="false">IF(Tasks[[#This Row],[_Pred3Text]]="","",IFERROR(VALUE(LEFT(Tasks[[#This Row],[_Pred3Text]],MIN(FIND("F",Tasks[[#This Row],[_Pred3Text]]&amp;"F"),FIND("S",Tasks[[#This Row],[_Pred3Text]]&amp;"S"),FIND("+",Tasks[[#This Row],[_Pred3Text]]&amp;"+"),FIND("-",Tasks[[#This Row],[_Pred3Text]]&amp;"-"))-1)),""))</f>
        <v/>
      </c>
      <c r="CH5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5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57" s="45" t="str">
        <f aca="false">IF(Tasks[[#This Row],[_Pred3Text]]="","",TRIM(MID(SUBSTITUTE(SUBSTITUTE(SUBSTITUTE(UPPER(Tasks[[#This Row],[Predecessors]]),";",",")," ",""),",",REPT(" ",99)),298,99)))</f>
        <v/>
      </c>
      <c r="CK57" s="45" t="str">
        <f aca="false">IF(Tasks[[#This Row],[_Pred4Text]]="","",IFERROR(VALUE(LEFT(Tasks[[#This Row],[_Pred4Text]],MIN(FIND("F",Tasks[[#This Row],[_Pred4Text]]&amp;"F"),FIND("S",Tasks[[#This Row],[_Pred4Text]]&amp;"S"),FIND("+",Tasks[[#This Row],[_Pred4Text]]&amp;"+"),FIND("-",Tasks[[#This Row],[_Pred4Text]]&amp;"-"))-1)),""))</f>
        <v/>
      </c>
      <c r="CL5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5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57" s="45" t="str">
        <f aca="false">IF(OR(Tasks[[#This Row],[Task Name]]="",Tasks[[#This Row],[Resources]]=""),"",TRIM(MID(SUBSTITUTE(Tasks[[#This Row],[Resources]],",",REPT(" ",99)),1,99)))</f>
        <v/>
      </c>
      <c r="CO57" s="45" t="str">
        <f aca="false">IF(Tasks[[#This Row],[_Res1Text]]="","",TRIM(MID(SUBSTITUTE(Tasks[[#This Row],[Resources]],",",REPT(" ",99)),100,99)))</f>
        <v/>
      </c>
      <c r="CP57" s="45" t="str">
        <f aca="false">IF(Tasks[[#This Row],[_Res2Text]]="","",TRIM(MID(SUBSTITUTE(Tasks[[#This Row],[Resources]],",",REPT(" ",99)),199,99)))</f>
        <v/>
      </c>
      <c r="CQ57" s="45" t="str">
        <f aca="false">IF(Tasks[[#This Row],[_Res3Text]]="","",TRIM(MID(SUBSTITUTE(Tasks[[#This Row],[Resources]],",",REPT(" ",99)),298,99)))</f>
        <v/>
      </c>
      <c r="CR5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5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7" s="45" t="n">
        <f aca="false">IF(NOT(Tasks[[#This Row],[_IsLeaf]]=1),0,(Tasks[[#This Row],[_Resource1]]&lt;&gt;"")+(Tasks[[#This Row],[_Res2]]&lt;&gt;"")+(Tasks[[#This Row],[_Res3]]&lt;&gt;"")+(Tasks[[#This Row],[_Res4]]&lt;&gt;""))</f>
        <v>0</v>
      </c>
      <c r="CU5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5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7" s="45" t="n">
        <f aca="false">IF(OR(NOT(Tasks[[#This Row],[_IsLeaf]]=1),Tasks[[#This Row],[_Res2]]=""),0,IF(ISNA(MATCH(Tasks[[#This Row],[_Res2]],res_Name,0)),0,N(Tasks[[#This Row],[Duration]])*HoursPerDay*IF(Tasks[[#This Row],[_Res2Units]]="",DefaultUnits,Tasks[[#This Row],[_Res2Units]])))</f>
        <v>0</v>
      </c>
      <c r="CX57" s="45" t="n">
        <f aca="false">IF(Tasks[[#This Row],[_Res2Work]]=0,0,Tasks[[#This Row],[_Res2Work]]*IFERROR(INDEX(res_Rate,MATCH(Tasks[[#This Row],[_Res2]],res_Name,0)),0))</f>
        <v>0</v>
      </c>
      <c r="CY57" s="45" t="n">
        <f aca="false">IF(AND(AND(Tasks[[#This Row],[_IsLeaf]]=1,Tasks[[#This Row],[_LeafTotalWork]]&gt;0),Tasks[[#This Row],[_Res2Work]]&gt;0),Tasks[[#This Row],[_Res2Work]]/(Tasks[[#This Row],[_FinishWorkday]]-Tasks[[#This Row],[_StartWorkday]]+1),0)</f>
        <v>0</v>
      </c>
      <c r="CZ57" s="45" t="n">
        <f aca="false">Tasks[[#This Row],[_Res2WorkPerWD]]*MAX(0,Tasks[[#This Row],[_StartWorkday]]-1)</f>
        <v>0</v>
      </c>
      <c r="DA57" s="45" t="n">
        <f aca="false">Tasks[[#This Row],[_Res2Work]]*Tasks[[#This Row],[_LeafProgress]]</f>
        <v>0</v>
      </c>
      <c r="DB57" s="45" t="n">
        <f aca="false">IF(Tasks[[#This Row],[_LeafTotalCost]]=0,0,Tasks[[#This Row],[_LeafAC]]*Tasks[[#This Row],[_Res2Cost]]/Tasks[[#This Row],[_LeafTotalCost]])</f>
        <v>0</v>
      </c>
      <c r="DC5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5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57" s="45" t="n">
        <f aca="false">IF(OR(NOT(Tasks[[#This Row],[_IsLeaf]]=1),Tasks[[#This Row],[_Res3]]=""),0,IF(ISNA(MATCH(Tasks[[#This Row],[_Res3]],res_Name,0)),0,N(Tasks[[#This Row],[Duration]])*HoursPerDay*IF(Tasks[[#This Row],[_Res3Units]]="",DefaultUnits,Tasks[[#This Row],[_Res3Units]])))</f>
        <v>0</v>
      </c>
      <c r="DF57" s="45" t="n">
        <f aca="false">IF(Tasks[[#This Row],[_Res3Work]]=0,0,Tasks[[#This Row],[_Res3Work]]*IFERROR(INDEX(res_Rate,MATCH(Tasks[[#This Row],[_Res3]],res_Name,0)),0))</f>
        <v>0</v>
      </c>
      <c r="DG57" s="45" t="n">
        <f aca="false">IF(AND(AND(Tasks[[#This Row],[_IsLeaf]]=1,Tasks[[#This Row],[_LeafTotalWork]]&gt;0),Tasks[[#This Row],[_Res3Work]]&gt;0),Tasks[[#This Row],[_Res3Work]]/(Tasks[[#This Row],[_FinishWorkday]]-Tasks[[#This Row],[_StartWorkday]]+1),0)</f>
        <v>0</v>
      </c>
      <c r="DH57" s="45" t="n">
        <f aca="false">Tasks[[#This Row],[_Res3WorkPerWD]]*MAX(0,Tasks[[#This Row],[_StartWorkday]]-1)</f>
        <v>0</v>
      </c>
      <c r="DI57" s="45" t="n">
        <f aca="false">Tasks[[#This Row],[_Res3Work]]*Tasks[[#This Row],[_LeafProgress]]</f>
        <v>0</v>
      </c>
      <c r="DJ57" s="45" t="n">
        <f aca="false">IF(Tasks[[#This Row],[_LeafTotalCost]]=0,0,Tasks[[#This Row],[_LeafAC]]*Tasks[[#This Row],[_Res3Cost]]/Tasks[[#This Row],[_LeafTotalCost]])</f>
        <v>0</v>
      </c>
      <c r="DK5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5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57" s="45" t="n">
        <f aca="false">IF(OR(NOT(Tasks[[#This Row],[_IsLeaf]]=1),Tasks[[#This Row],[_Res4]]=""),0,IF(ISNA(MATCH(Tasks[[#This Row],[_Res4]],res_Name,0)),0,N(Tasks[[#This Row],[Duration]])*HoursPerDay*IF(Tasks[[#This Row],[_Res4Units]]="",DefaultUnits,Tasks[[#This Row],[_Res4Units]])))</f>
        <v>0</v>
      </c>
      <c r="DN57" s="45" t="n">
        <f aca="false">IF(Tasks[[#This Row],[_Res4Work]]=0,0,Tasks[[#This Row],[_Res4Work]]*IFERROR(INDEX(res_Rate,MATCH(Tasks[[#This Row],[_Res4]],res_Name,0)),0))</f>
        <v>0</v>
      </c>
      <c r="DO57" s="45" t="n">
        <f aca="false">IF(AND(AND(Tasks[[#This Row],[_IsLeaf]]=1,Tasks[[#This Row],[_LeafTotalWork]]&gt;0),Tasks[[#This Row],[_Res4Work]]&gt;0),Tasks[[#This Row],[_Res4Work]]/(Tasks[[#This Row],[_FinishWorkday]]-Tasks[[#This Row],[_StartWorkday]]+1),0)</f>
        <v>0</v>
      </c>
      <c r="DP57" s="45" t="n">
        <f aca="false">Tasks[[#This Row],[_Res4WorkPerWD]]*MAX(0,Tasks[[#This Row],[_StartWorkday]]-1)</f>
        <v>0</v>
      </c>
      <c r="DQ57" s="45" t="n">
        <f aca="false">Tasks[[#This Row],[_Res4Work]]*Tasks[[#This Row],[_LeafProgress]]</f>
        <v>0</v>
      </c>
      <c r="DR57" s="45" t="n">
        <f aca="false">IF(Tasks[[#This Row],[_LeafTotalCost]]=0,0,Tasks[[#This Row],[_LeafAC]]*Tasks[[#This Row],[_Res4Cost]]/Tasks[[#This Row],[_LeafTotalCost]])</f>
        <v>0</v>
      </c>
      <c r="DS57" s="45" t="n">
        <f aca="false">IF(ISNUMBER(Tasks[[#This Row],[% Complete]]),Tasks[[#This Row],[% Complete]],IF(Tasks[[#This Row],[Stage]]="",0,IFERROR(INDEX(stg_Pct,MATCH(Tasks[[#This Row],[Stage]],stg_Name,0)),0)))</f>
        <v>0</v>
      </c>
      <c r="DT57" s="45" t="n">
        <f aca="false">IF(NOT(Tasks[[#This Row],[_IsLeaf]]=1),0,IF(N(Tasks[[#This Row],[Actual Finish]])&gt;0,1,MIN(1,Tasks[[#This Row],[_Pct]])))</f>
        <v>0</v>
      </c>
      <c r="DU57" s="45" t="n">
        <f aca="false">IF(OR(NOT(Tasks[[#This Row],[_IsLeaf]]=1),Tasks[[#This Row],[_Resource1]]=""),0,IF(ISNA(MATCH(Tasks[[#This Row],[_Resource1]],res_Name,0)),0,N(Tasks[[#This Row],[Duration]])*HoursPerDay*IF(Tasks[[#This Row],[_Units1]]="",DefaultUnits,Tasks[[#This Row],[_Units1]])))</f>
        <v>0</v>
      </c>
      <c r="DV57" s="45" t="n">
        <f aca="false">IF(Tasks[[#This Row],[_LeafWork]]=0,0,Tasks[[#This Row],[_LeafWork]]*IFERROR(INDEX(res_Rate,MATCH(Tasks[[#This Row],[_Resource1]],res_Name,0)),0))</f>
        <v>0</v>
      </c>
      <c r="DW57" s="45" t="n">
        <f aca="false">Tasks[[#This Row],[_LeafWork]]+Tasks[[#This Row],[_Res2Work]]+Tasks[[#This Row],[_Res3Work]]+Tasks[[#This Row],[_Res4Work]]</f>
        <v>0</v>
      </c>
      <c r="DX57" s="45" t="n">
        <f aca="false">Tasks[[#This Row],[_LeafCost]]+Tasks[[#This Row],[_Res2Cost]]+Tasks[[#This Row],[_Res3Cost]]+Tasks[[#This Row],[_Res4Cost]]</f>
        <v>0</v>
      </c>
      <c r="DY57" s="45" t="n">
        <f aca="false">IF(Tasks[[#This Row],[_LeafTotalCost]]=0,Tasks[[#This Row],[_LeafAC]],Tasks[[#This Row],[_LeafAC]]*Tasks[[#This Row],[_LeafCost]]/Tasks[[#This Row],[_LeafTotalCost]])</f>
        <v>0</v>
      </c>
      <c r="DZ5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5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5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5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5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5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5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5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57" s="45" t="n">
        <f aca="false">IF(NOT(Tasks[[#This Row],[_IsLeaf]]=1),0,MAX(_xlfn.MAXIFS(Tasks[_Row],Tasks[_Pred1UID],Tasks[[#This Row],[UID]]),_xlfn.MAXIFS(Tasks[_Row],Tasks[_Pred2UID],Tasks[[#This Row],[UID]]),_xlfn.MAXIFS(Tasks[_Row],Tasks[_Pred3UID],Tasks[[#This Row],[UID]]),_xlfn.MAXIFS(Tasks[_Row],Tasks[_Pred4UID],Tasks[[#This Row],[UID]])))</f>
        <v>0</v>
      </c>
      <c r="EI5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5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57" s="74" t="str">
        <f aca="false">IF(NOT(Tasks[[#This Row],[_IsLeaf]]=1),"",IF(N(Tasks[[#This Row],[Duration]])&lt;=0,Tasks[[#This Row],[_LeafLateFinish]],WORKDAY.INTL(Tasks[[#This Row],[_LeafLateFinish]],-(Tasks[[#This Row],[Duration]]-1),WorkWeek,Holidays)))</f>
        <v/>
      </c>
      <c r="EL5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57" s="73" t="b">
        <f aca="false">AND(Tasks[[#This Row],[_IsLeaf]]=1,Tasks[[#This Row],[_LeafProgress]]&lt;1,N(Tasks[[#This Row],[_LeafTotalSlack]])&lt;=CriticalSlackDays)</f>
        <v>0</v>
      </c>
      <c r="EN57" s="45" t="n">
        <f aca="false">IF(AND(Tasks[[#This Row],[_IsLeaf]]=1,Tasks[[#This Row],[_ConstraintCode]]=1,Tasks[[#This Row],[Mode]]&lt;&gt;"Manual",N(Tasks[[#This Row],[Actual Start]])=0),MAX(0,N(Tasks[[#This Row],[Free Slack]])),0)</f>
        <v>0</v>
      </c>
      <c r="EO57" s="74" t="str">
        <f aca="false">IF(NOT(Tasks[[#This Row],[_IsLeaf]]=1),"",IF(Tasks[[#This Row],[_AlapShift]]=0,Tasks[[#This Row],[_LeafCalcStart]],WORKDAY.INTL(Tasks[[#This Row],[_LeafCalcStart]],Tasks[[#This Row],[_AlapShift]],WorkWeek,Holidays)))</f>
        <v/>
      </c>
      <c r="EP57" s="74" t="str">
        <f aca="false">IF(NOT(Tasks[[#This Row],[_IsLeaf]]=1),"",IF(Tasks[[#This Row],[_AlapShift]]=0,Tasks[[#This Row],[_LeafCalcFinish]],WORKDAY.INTL(Tasks[[#This Row],[_LeafCalcFinish]],Tasks[[#This Row],[_AlapShift]],WorkWeek,Holidays)))</f>
        <v/>
      </c>
      <c r="EQ57" s="74" t="str">
        <f aca="false">IF(NOT(Tasks[[#This Row],[_IsLeaf]]=1),"",IF(Tasks[[#This Row],[_AlapShift]]=0,Tasks[[#This Row],[_LeafFcstStart]],WORKDAY.INTL(Tasks[[#This Row],[_LeafFcstStart]],Tasks[[#This Row],[_AlapShift]],WorkWeek,Holidays)))</f>
        <v/>
      </c>
      <c r="ER57" s="74" t="str">
        <f aca="false">IF(NOT(Tasks[[#This Row],[_IsLeaf]]=1),"",IF(Tasks[[#This Row],[_AlapShift]]=0,Tasks[[#This Row],[_LeafFcstFinish]],WORKDAY.INTL(Tasks[[#This Row],[_LeafFcstFinish]],Tasks[[#This Row],[_AlapShift]],WorkWeek,Holidays)))</f>
        <v/>
      </c>
      <c r="ES57" s="74" t="str">
        <f aca="false">IF(Tasks[[#This Row],[Task Name]]="","",IF(Tasks[[#This Row],[_IsSummary]],MIN(INDEX(Tasks[_ShownCalcStart],Tasks[[#This Row],[_Row]]+1):INDEX(Tasks[_ShownCalcStart],Tasks[[#This Row],[_Row]]+Tasks[[#This Row],[_Descendants]])),Tasks[[#This Row],[_ShownCalcStart]]))</f>
        <v/>
      </c>
      <c r="ET57" s="74" t="str">
        <f aca="false">IF(Tasks[[#This Row],[Task Name]]="","",IF(Tasks[[#This Row],[_IsSummary]],MAX(INDEX(Tasks[_ShownCalcFinish],Tasks[[#This Row],[_Row]]+1):INDEX(Tasks[_ShownCalcFinish],Tasks[[#This Row],[_Row]]+Tasks[[#This Row],[_Descendants]])),Tasks[[#This Row],[_ShownCalcFinish]]))</f>
        <v/>
      </c>
      <c r="EU5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5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5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5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5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5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5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5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5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5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5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5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57" s="45" t="n">
        <f aca="false">IF(AND(Tasks[[#This Row],[_IsLeaf]]=1,Tasks[[#This Row],[_LeafTotalWork]]&gt;0),NETWORKDAYS.INTL(ProjectStart,Tasks[[#This Row],[_ShownFcstStart]],WorkWeek,Holidays),0)</f>
        <v>0</v>
      </c>
      <c r="FH57" s="45" t="n">
        <f aca="false">IF(AND(Tasks[[#This Row],[_IsLeaf]]=1,Tasks[[#This Row],[_LeafTotalWork]]&gt;0),MAX(Tasks[[#This Row],[_StartWorkday]],NETWORKDAYS.INTL(ProjectStart,Tasks[[#This Row],[_ShownFcstFinish]],WorkWeek,Holidays)),0)</f>
        <v>0</v>
      </c>
      <c r="FI57" s="45" t="n">
        <f aca="false">IF(AND(Tasks[[#This Row],[_IsLeaf]]=1,Tasks[[#This Row],[_LeafTotalWork]]&gt;0),Tasks[[#This Row],[_LeafWork]]/(Tasks[[#This Row],[_FinishWorkday]]-Tasks[[#This Row],[_StartWorkday]]+1),0)</f>
        <v>0</v>
      </c>
      <c r="FJ57" s="45" t="n">
        <f aca="false">Tasks[[#This Row],[_WorkPerWorkday]]*(Tasks[[#This Row],[_StartWorkday]]-1)</f>
        <v>-0</v>
      </c>
      <c r="FK57" s="45" t="n">
        <f aca="false">IF(Tasks[[#This Row],[_IsLeaf]]=1,MAX(N(Tasks[[#This Row],[Duration]]),0.1),0)</f>
        <v>0</v>
      </c>
      <c r="FL57" s="45" t="n">
        <f aca="false">Tasks[[#This Row],[_WeightDur]]*Tasks[[#This Row],[_LeafProgress]]</f>
        <v>0</v>
      </c>
      <c r="FM5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57" s="45" t="str">
        <f aca="false">IF(AND(Tasks[[#This Row],[_IsLeaf]]=1,N(Tasks[[#This Row],[Duration]])=0,Tasks[[#This Row],[_LeafProgress]]&lt;1),Tasks[[#This Row],[_ShownFcstFinish]]+Tasks[[#This Row],[_Row]]/100000,"")</f>
        <v/>
      </c>
      <c r="FO5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57" s="45" t="n">
        <f aca="false">IF(NOT(Tasks[[#This Row],[_IsLeaf]]=1),0,IF(Tasks[[#This Row],[Baseline Cost]]="",Tasks[[#This Row],[_LeafTotalCost]],N(Tasks[[#This Row],[Baseline Cost]])))</f>
        <v>0</v>
      </c>
      <c r="FQ57" s="45" t="n">
        <f aca="false">Tasks[[#This Row],[_LeafBudget]]*Tasks[[#This Row],[_PlannedPct]]</f>
        <v>0</v>
      </c>
      <c r="FR57" s="45" t="n">
        <f aca="false">Tasks[[#This Row],[_LeafBudget]]*Tasks[[#This Row],[_LeafProgress]]</f>
        <v>0</v>
      </c>
      <c r="FS57" s="45" t="n">
        <f aca="false">IF(NOT(Tasks[[#This Row],[_IsLeaf]]=1),0,IF(Tasks[[#This Row],[Actual Cost]]="",Tasks[[#This Row],[_LeafTotalCost]]*Tasks[[#This Row],[_LeafProgress]],N(Tasks[[#This Row],[Actual Cost]])))</f>
        <v>0</v>
      </c>
      <c r="FT57" s="45" t="str">
        <f aca="false">IF(Tasks[[#This Row],[Task Name]]="","",LEFT(Tasks[[#This Row],[WBS]],FIND(".",Tasks[[#This Row],[WBS]]&amp;".")-1))</f>
        <v/>
      </c>
      <c r="FU57" s="45" t="str">
        <f aca="false">IF(AND(Tasks[[#This Row],[Task Name]]&lt;&gt;"",Tasks[[#This Row],[_Level]]=1),Tasks[[#This Row],[_Row]],"")</f>
        <v/>
      </c>
      <c r="FV57" s="45" t="str">
        <f aca="false">IF(AND(Tasks[[#This Row],[_IsLeaf]]=1,N(Tasks[[#This Row],[Duration]])=0),Tasks[[#This Row],[Planned Finish]]+Tasks[[#This Row],[_Row]]/100000,"")</f>
        <v/>
      </c>
      <c r="FW57" s="45" t="str">
        <f aca="false">IF(AND(Tasks[[#This Row],[_IsLeaf]]=1,Tasks[[#This Row],[_LeafProgress]]&lt;1,OR(N(Tasks[[#This Row],[Finish Var]])&gt;0,Tasks[[#This Row],[Status]]="Late Start")),MAX(0,Tasks[[#This Row],[Finish Var]])+1-Tasks[[#This Row],[_Row]]/1000000,"")</f>
        <v/>
      </c>
      <c r="FX57" s="45" t="str">
        <f aca="false">IF(AND(Tasks[[#This Row],[_IsLeaf]]=1,N(Tasks[[#This Row],[Actual Start]])=0,Tasks[[#This Row],[_ShownFcstStart]]&gt;=StatusDate,Tasks[[#This Row],[_ShownFcstStart]]&lt;=LookaheadEnd),Tasks[[#This Row],[_ShownFcstStart]]+Tasks[[#This Row],[_Row]]/100000,"")</f>
        <v/>
      </c>
      <c r="FY57" s="45" t="str">
        <f aca="false">IF(AND(Tasks[[#This Row],[_IsLeaf]]=1,Tasks[[#This Row],[_LeafProgress]]&lt;1,Tasks[[#This Row],[_ShownFcstFinish]]&gt;=StatusDate,Tasks[[#This Row],[_ShownFcstFinish]]&lt;=LookaheadEnd),Tasks[[#This Row],[_ShownFcstFinish]]+Tasks[[#This Row],[_Row]]/100000,"")</f>
        <v/>
      </c>
      <c r="FZ57" s="45" t="str">
        <f aca="false">IF(Tasks[[#This Row],[_LeafCritical]],Tasks[[#This Row],[_ShownFcstStart]]+Tasks[[#This Row],[_Row]]/100000,"")</f>
        <v/>
      </c>
      <c r="GA57" s="45" t="n">
        <f aca="false">Tasks[[#This Row],[_LeafWork]]*Tasks[[#This Row],[_LeafProgress]]</f>
        <v>0</v>
      </c>
      <c r="GB57" s="74" t="str">
        <f aca="false">IF(AND(Tasks[[#This Row],[_IsLeaf]]=1,Tasks[[#This Row],[_LeafProgress]]&gt;=1),IF(N(Tasks[[#This Row],[Actual Finish]])&gt;0,Tasks[[#This Row],[Actual Finish]],Tasks[[#This Row],[_ShownFcstFinish]]),"")</f>
        <v/>
      </c>
    </row>
    <row r="58" customFormat="false" ht="15" hidden="false" customHeight="false" outlineLevel="0" collapsed="false">
      <c r="A58" s="67" t="str">
        <f aca="false">IF(Tasks[[#This Row],[Task Name]]="","",COUNTA(Tasks[[#Headers],[Task Name]]:Tasks[[#This Row],[Task Name]])-1)</f>
        <v/>
      </c>
      <c r="B58" s="21" t="n">
        <v>53</v>
      </c>
      <c r="C5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21"/>
      <c r="E58" s="22"/>
      <c r="F58" s="21"/>
      <c r="G58" s="22"/>
      <c r="H58" s="22"/>
      <c r="I58" s="22"/>
      <c r="J58" s="7"/>
      <c r="K58" s="7"/>
      <c r="L58" s="22"/>
      <c r="M58" s="58" t="str">
        <f aca="false">IF(Tasks[[#This Row],[Task Name]]="","",IF(Tasks[[#This Row],[_IsSummary]],MIN(INDEX(Tasks[_ShownFcstStart],Tasks[[#This Row],[_Row]]+1):INDEX(Tasks[_ShownFcstStart],Tasks[[#This Row],[_Row]]+Tasks[[#This Row],[_Descendants]])),Tasks[[#This Row],[_ShownFcstStart]]))</f>
        <v/>
      </c>
      <c r="N58" s="58" t="str">
        <f aca="false">IF(Tasks[[#This Row],[Task Name]]="","",IF(Tasks[[#This Row],[_IsSummary]],MAX(INDEX(Tasks[_ShownFcstFinish],Tasks[[#This Row],[_Row]]+1):INDEX(Tasks[_ShownFcstFinish],Tasks[[#This Row],[_Row]]+Tasks[[#This Row],[_Descendants]])),Tasks[[#This Row],[_ShownFcstFinish]]))</f>
        <v/>
      </c>
      <c r="O58" s="20" t="str">
        <f aca="false">IF(Tasks[[#This Row],[Task Name]]="","",IF(Tasks[[#This Row],[Progress]]&gt;=1,"Complete",IF(OR(N(Tasks[[#This Row],[Actual Start]])&gt;0,Tasks[[#This Row],[Progress]]&gt;0),IF(Tasks[[#This Row],[Finish Var]]&gt;0,"Behind","In Progress"),IF(Tasks[[#This Row],[Planned Start]]&lt;StatusDate,"Late Start","Not Started"))))</f>
        <v/>
      </c>
      <c r="P58" s="20" t="str">
        <f aca="false">IF(Tasks[[#This Row],[Task Name]]="","",IF(IF(Tasks[[#This Row],[_IsSummary]],COUNTIF(INDEX(Tasks[_LeafCritical],Tasks[[#This Row],[_Row]]+1):INDEX(Tasks[_LeafCritical],Tasks[[#This Row],[_Row]]+Tasks[[#This Row],[_Descendants]]),TRUE())&gt;0,Tasks[[#This Row],[_LeafCritical]]),"Yes",""))</f>
        <v/>
      </c>
      <c r="Q5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58" s="67" t="str">
        <f aca="false">IF(Tasks[[#This Row],[Task Name]]="","",IF(Tasks[[#This Row],[_Level]]&lt;=OutlineShowLevel,"Yes","No"))</f>
        <v/>
      </c>
      <c r="S58" s="7"/>
      <c r="T58" s="21"/>
      <c r="U58" s="22"/>
      <c r="V58" s="7"/>
      <c r="W58" s="67" t="str">
        <f aca="false">IF(Tasks[[#This Row],[Task Name]]="","",IF(Tasks[[#This Row],[Finish]]&gt;=Tasks[[#This Row],[Planned Finish]],NETWORKDAYS.INTL(Tasks[[#This Row],[Planned Finish]],Tasks[[#This Row],[Finish]],WorkWeek,Holidays)-1,1-NETWORKDAYS.INTL(Tasks[[#This Row],[Finish]],Tasks[[#This Row],[Planned Finish]],WorkWeek,Holidays)))</f>
        <v/>
      </c>
      <c r="X58" s="58" t="str">
        <f aca="false">IF(Tasks[[#This Row],[Task Name]]="","",IF(N(Tasks[[#This Row],[Baseline Start]])&gt;0,Tasks[[#This Row],[Baseline Start]],Tasks[[#This Row],[_CalcStart]]))</f>
        <v/>
      </c>
      <c r="Y58" s="58" t="str">
        <f aca="false">IF(Tasks[[#This Row],[Task Name]]="","",IF(N(Tasks[[#This Row],[Baseline Finish]])&gt;0,Tasks[[#This Row],[Baseline Finish]],Tasks[[#This Row],[_CalcFinish]]))</f>
        <v/>
      </c>
      <c r="Z58" s="67" t="str">
        <f aca="false">IF(Tasks[[#This Row],[Task Name]]="","",IF(Tasks[[#This Row],[Start]]&gt;=Tasks[[#This Row],[Planned Start]],NETWORKDAYS.INTL(Tasks[[#This Row],[Planned Start]],Tasks[[#This Row],[Start]],WorkWeek,Holidays)-1,1-NETWORKDAYS.INTL(Tasks[[#This Row],[Start]],Tasks[[#This Row],[Planned Start]],WorkWeek,Holidays)))</f>
        <v/>
      </c>
      <c r="AA58" s="58" t="str">
        <f aca="false">IF(Tasks[[#This Row],[Task Name]]="","",IF(Tasks[[#This Row],[_IsSummary]],MIN(INDEX(Tasks[_LeafLateStart],Tasks[[#This Row],[_Row]]+1):INDEX(Tasks[_LeafLateStart],Tasks[[#This Row],[_Row]]+Tasks[[#This Row],[_Descendants]])),Tasks[[#This Row],[_LeafLateStart]]))</f>
        <v/>
      </c>
      <c r="AB58" s="58" t="str">
        <f aca="false">IF(Tasks[[#This Row],[Task Name]]="","",IF(Tasks[[#This Row],[_IsSummary]],MAX(INDEX(Tasks[_LeafLateFinish],Tasks[[#This Row],[_Row]]+1):INDEX(Tasks[_LeafLateFinish],Tasks[[#This Row],[_Row]]+Tasks[[#This Row],[_Descendants]])),Tasks[[#This Row],[_LeafLateFinish]]))</f>
        <v/>
      </c>
      <c r="AC58" s="67" t="str">
        <f aca="false">IF(Tasks[[#This Row],[Task Name]]="","",IF(Tasks[[#This Row],[_IsSummary]],MIN(INDEX(Tasks[_LeafTotalSlack],Tasks[[#This Row],[_Row]]+1):INDEX(Tasks[_LeafTotalSlack],Tasks[[#This Row],[_Row]]+Tasks[[#This Row],[_Descendants]])),Tasks[[#This Row],[_LeafTotalSlack]]))</f>
        <v/>
      </c>
      <c r="AD5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5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5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58" s="60"/>
      <c r="AH5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5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58" s="69" t="str">
        <f aca="false">IF(Tasks[[#This Row],[Task Name]]="","",IF(Tasks[[#This Row],[_IsSummary]],SUM(INDEX(Tasks[_LeafTotalWork],Tasks[[#This Row],[_Row]]+1):INDEX(Tasks[_LeafTotalWork],Tasks[[#This Row],[_Row]]+Tasks[[#This Row],[_Descendants]])),Tasks[[#This Row],[_LeafTotalWork]]))</f>
        <v/>
      </c>
      <c r="AK5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58" s="70" t="str">
        <f aca="false">IF(Tasks[[#This Row],[Task Name]]="","",IF(Tasks[[#This Row],[_IsSummary]],SUM(INDEX(Tasks[_LeafTotalCost],Tasks[[#This Row],[_Row]]+1):INDEX(Tasks[_LeafTotalCost],Tasks[[#This Row],[_Row]]+Tasks[[#This Row],[_Descendants]])),Tasks[[#This Row],[_LeafTotalCost]]))</f>
        <v/>
      </c>
      <c r="AM58" s="71"/>
      <c r="AN58" s="20" t="str">
        <f aca="false">IF(OR(Tasks[[#This Row],[Task Name]]="",Tasks[[#This Row],[Baseline Duration]]=""),"",Tasks[[#This Row],[BL Source Duration]]-N(Tasks[[#This Row],[Baseline Duration]]))</f>
        <v/>
      </c>
      <c r="AO58" s="69" t="str">
        <f aca="false">IF(OR(Tasks[[#This Row],[Task Name]]="",Tasks[[#This Row],[Baseline Work]]=""),"",Tasks[[#This Row],[Work]]-N(Tasks[[#This Row],[Baseline Work]]))</f>
        <v/>
      </c>
      <c r="AP58" s="70" t="str">
        <f aca="false">IF(OR(Tasks[[#This Row],[Task Name]]="",Tasks[[#This Row],[Baseline Cost]]=""),"",Tasks[[#This Row],[Cost]]-N(Tasks[[#This Row],[Baseline Cost]]))</f>
        <v/>
      </c>
      <c r="AQ58" s="58" t="str">
        <f aca="false">IF(Tasks[[#This Row],[Task Name]]="","",Tasks[[#This Row],[Start]])</f>
        <v/>
      </c>
      <c r="AR58" s="58" t="str">
        <f aca="false">IF(Tasks[[#This Row],[Task Name]]="","",Tasks[[#This Row],[Finish]])</f>
        <v/>
      </c>
      <c r="AS58" s="67" t="str">
        <f aca="false">IF(Tasks[[#This Row],[Task Name]]="","",IF(Tasks[[#This Row],[_IsSummary]],NETWORKDAYS.INTL(Tasks[[#This Row],[Start]],Tasks[[#This Row],[Finish]],WorkWeek,Holidays),N(Tasks[[#This Row],[Duration]])))</f>
        <v/>
      </c>
      <c r="AT58" s="69" t="str">
        <f aca="false">IF(Tasks[[#This Row],[Task Name]]="","",Tasks[[#This Row],[Work]])</f>
        <v/>
      </c>
      <c r="AU58" s="70" t="str">
        <f aca="false">IF(Tasks[[#This Row],[Task Name]]="","",Tasks[[#This Row],[Cost]])</f>
        <v/>
      </c>
      <c r="AV58" s="7"/>
      <c r="AW58" s="7"/>
      <c r="AX58" s="21"/>
      <c r="AY58" s="72"/>
      <c r="AZ58" s="71"/>
      <c r="BA58" s="70" t="str">
        <f aca="false">IF(Tasks[[#This Row],[Task Name]]="","",IF(Tasks[[#This Row],[_IsSummary]],SUM(INDEX(Tasks[_LeafEV],Tasks[[#This Row],[_Row]]+1):INDEX(Tasks[_LeafEV],Tasks[[#This Row],[_Row]]+Tasks[[#This Row],[_Descendants]])),Tasks[[#This Row],[_LeafEV]]))</f>
        <v/>
      </c>
      <c r="BB58" s="70" t="str">
        <f aca="false">IF(Tasks[[#This Row],[Task Name]]="","",IF(Tasks[[#This Row],[_IsSummary]],SUM(INDEX(Tasks[_LeafBudget],Tasks[[#This Row],[_Row]]+1):INDEX(Tasks[_LeafBudget],Tasks[[#This Row],[_Row]]+Tasks[[#This Row],[_Descendants]])),Tasks[[#This Row],[_LeafBudget]]))</f>
        <v/>
      </c>
      <c r="BC58" s="70" t="str">
        <f aca="false">IF(Tasks[[#This Row],[Task Name]]="","",IF(Tasks[[#This Row],[_IsSummary]],SUM(INDEX(Tasks[_LeafPV],Tasks[[#This Row],[_Row]]+1):INDEX(Tasks[_LeafPV],Tasks[[#This Row],[_Row]]+Tasks[[#This Row],[_Descendants]])),Tasks[[#This Row],[_LeafPV]]))</f>
        <v/>
      </c>
      <c r="BD58" s="70" t="str">
        <f aca="false">IF(Tasks[[#This Row],[Task Name]]="","",IF(Tasks[[#This Row],[_IsSummary]],SUM(INDEX(Tasks[_LeafAC],Tasks[[#This Row],[_Row]]+1):INDEX(Tasks[_LeafAC],Tasks[[#This Row],[_Row]]+Tasks[[#This Row],[_Descendants]])),Tasks[[#This Row],[_LeafAC]]))</f>
        <v/>
      </c>
      <c r="BE58" s="45" t="str">
        <f aca="false">IF(Tasks[[#This Row],[Task Name]]="","",MAX(1,N(Tasks[[#This Row],[Level]])))</f>
        <v/>
      </c>
      <c r="BF58" s="45" t="n">
        <f aca="false">ROW()-ROW(Tasks[[#Headers],[ID]])</f>
        <v>53</v>
      </c>
      <c r="BG58" s="45" t="n">
        <f aca="false">IF(OR(Tasks[[#This Row],[Task Name]]="",Tasks[[#This Row],[_Level]]&lt;=1),0,IFERROR(LOOKUP(2,1/(Tasks[[#Headers],[_Level]]:Tasks[[#This Row],[_Level]]=Tasks[[#This Row],[_Level]]-1),ROW(Tasks[[#Headers],[_Level]]:Tasks[[#This Row],[_Level]])),0))</f>
        <v>0</v>
      </c>
      <c r="BH58" s="45" t="n">
        <f aca="false">IFERROR(N(INDEX(Tasks[_Level],Tasks[[#This Row],[_Row]]+1)),0)</f>
        <v>0</v>
      </c>
      <c r="BI58" s="73" t="b">
        <f aca="false">AND(Tasks[[#This Row],[Task Name]]&lt;&gt;"",Tasks[[#This Row],[_NextLevel]]&gt;Tasks[[#This Row],[_Level]])</f>
        <v>0</v>
      </c>
      <c r="BJ58" s="45" t="n">
        <f aca="false">IF(Tasks[[#This Row],[_IsSummary]],COUNTIF(Tasks[WBS],Tasks[[#This Row],[WBS]]&amp;".*"),0)</f>
        <v>0</v>
      </c>
      <c r="BK58" s="45" t="n">
        <f aca="false">IF(AND(Tasks[[#This Row],[Task Name]]&lt;&gt;"",NOT(Tasks[[#This Row],[_IsSummary]])),1,0)</f>
        <v>0</v>
      </c>
      <c r="BL58" s="45" t="n">
        <f aca="false">IF(N(Tasks[[#This Row],[_Pred1UID]])=0,0,IFERROR(MATCH(Tasks[[#This Row],[_Pred1UID]],Tasks[UID],0),-1))</f>
        <v>0</v>
      </c>
      <c r="BM58" s="45" t="n">
        <f aca="false">IF(N(Tasks[[#This Row],[_Pred2UID]])=0,0,IFERROR(MATCH(Tasks[[#This Row],[_Pred2UID]],Tasks[UID],0),-1))</f>
        <v>0</v>
      </c>
      <c r="BN58" s="45" t="n">
        <f aca="false">IF(N(Tasks[[#This Row],[_Pred3UID]])=0,0,IFERROR(MATCH(Tasks[[#This Row],[_Pred3UID]],Tasks[UID],0),-1))</f>
        <v>0</v>
      </c>
      <c r="BO58" s="45" t="n">
        <f aca="false">IF(N(Tasks[[#This Row],[_Pred4UID]])=0,0,IFERROR(MATCH(Tasks[[#This Row],[_Pred4UID]],Tasks[UID],0),-1))</f>
        <v>0</v>
      </c>
      <c r="BP5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5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58" s="74" t="n">
        <f aca="false">IF(OR(Tasks[[#This Row],[_ConstraintCode]]=2,Tasks[[#This Row],[_ConstraintCode]]=3,Tasks[[#This Row],[_ConstraintCode]]=4,Tasks[[#This Row],[_ConstraintCode]]=6),Tasks[[#This Row],[_ConstraintStart]],0)</f>
        <v>0</v>
      </c>
      <c r="BS58" s="74" t="n">
        <f aca="false">IF(OR(Tasks[[#This Row],[_ConstraintCode]]=2,Tasks[[#This Row],[_ConstraintCode]]=3,Tasks[[#This Row],[_ConstraintCode]]=5,Tasks[[#This Row],[_ConstraintCode]]=7),Tasks[[#This Row],[_ConstraintStart]],2958465)</f>
        <v>2958465</v>
      </c>
      <c r="BT5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58" s="74" t="str">
        <f aca="false">IF(NOT(Tasks[[#This Row],[_IsLeaf]]=1),"",IF(N(Tasks[[#This Row],[Duration]])&lt;=0,Tasks[[#This Row],[_LeafCalcStart]],WORKDAY.INTL(Tasks[[#This Row],[_LeafCalcStart]],Tasks[[#This Row],[Duration]]-1,WorkWeek,Holidays)))</f>
        <v/>
      </c>
      <c r="BV5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5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58" s="45" t="str">
        <f aca="false">IF(Tasks[[#This Row],[Predecessors]]="","",TRIM(MID(SUBSTITUTE(SUBSTITUTE(SUBSTITUTE(UPPER(Tasks[[#This Row],[Predecessors]]),";",",")," ",""),",",REPT(" ",99)),1,99)))</f>
        <v/>
      </c>
      <c r="BY58" s="45" t="str">
        <f aca="false">IF(Tasks[[#This Row],[_Pred1Text]]="","",IFERROR(VALUE(LEFT(Tasks[[#This Row],[_Pred1Text]],MIN(FIND("F",Tasks[[#This Row],[_Pred1Text]]&amp;"F"),FIND("S",Tasks[[#This Row],[_Pred1Text]]&amp;"S"),FIND("+",Tasks[[#This Row],[_Pred1Text]]&amp;"+"),FIND("-",Tasks[[#This Row],[_Pred1Text]]&amp;"-"))-1)),""))</f>
        <v/>
      </c>
      <c r="BZ5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5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58" s="45" t="str">
        <f aca="false">IF(Tasks[[#This Row],[_Pred1Text]]="","",TRIM(MID(SUBSTITUTE(SUBSTITUTE(SUBSTITUTE(UPPER(Tasks[[#This Row],[Predecessors]]),";",",")," ",""),",",REPT(" ",99)),100,99)))</f>
        <v/>
      </c>
      <c r="CC58" s="45" t="str">
        <f aca="false">IF(Tasks[[#This Row],[_Pred2Text]]="","",IFERROR(VALUE(LEFT(Tasks[[#This Row],[_Pred2Text]],MIN(FIND("F",Tasks[[#This Row],[_Pred2Text]]&amp;"F"),FIND("S",Tasks[[#This Row],[_Pred2Text]]&amp;"S"),FIND("+",Tasks[[#This Row],[_Pred2Text]]&amp;"+"),FIND("-",Tasks[[#This Row],[_Pred2Text]]&amp;"-"))-1)),""))</f>
        <v/>
      </c>
      <c r="CD5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5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58" s="45" t="str">
        <f aca="false">IF(Tasks[[#This Row],[_Pred2Text]]="","",TRIM(MID(SUBSTITUTE(SUBSTITUTE(SUBSTITUTE(UPPER(Tasks[[#This Row],[Predecessors]]),";",",")," ",""),",",REPT(" ",99)),199,99)))</f>
        <v/>
      </c>
      <c r="CG58" s="45" t="str">
        <f aca="false">IF(Tasks[[#This Row],[_Pred3Text]]="","",IFERROR(VALUE(LEFT(Tasks[[#This Row],[_Pred3Text]],MIN(FIND("F",Tasks[[#This Row],[_Pred3Text]]&amp;"F"),FIND("S",Tasks[[#This Row],[_Pred3Text]]&amp;"S"),FIND("+",Tasks[[#This Row],[_Pred3Text]]&amp;"+"),FIND("-",Tasks[[#This Row],[_Pred3Text]]&amp;"-"))-1)),""))</f>
        <v/>
      </c>
      <c r="CH5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5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58" s="45" t="str">
        <f aca="false">IF(Tasks[[#This Row],[_Pred3Text]]="","",TRIM(MID(SUBSTITUTE(SUBSTITUTE(SUBSTITUTE(UPPER(Tasks[[#This Row],[Predecessors]]),";",",")," ",""),",",REPT(" ",99)),298,99)))</f>
        <v/>
      </c>
      <c r="CK58" s="45" t="str">
        <f aca="false">IF(Tasks[[#This Row],[_Pred4Text]]="","",IFERROR(VALUE(LEFT(Tasks[[#This Row],[_Pred4Text]],MIN(FIND("F",Tasks[[#This Row],[_Pred4Text]]&amp;"F"),FIND("S",Tasks[[#This Row],[_Pred4Text]]&amp;"S"),FIND("+",Tasks[[#This Row],[_Pred4Text]]&amp;"+"),FIND("-",Tasks[[#This Row],[_Pred4Text]]&amp;"-"))-1)),""))</f>
        <v/>
      </c>
      <c r="CL5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5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58" s="45" t="str">
        <f aca="false">IF(OR(Tasks[[#This Row],[Task Name]]="",Tasks[[#This Row],[Resources]]=""),"",TRIM(MID(SUBSTITUTE(Tasks[[#This Row],[Resources]],",",REPT(" ",99)),1,99)))</f>
        <v/>
      </c>
      <c r="CO58" s="45" t="str">
        <f aca="false">IF(Tasks[[#This Row],[_Res1Text]]="","",TRIM(MID(SUBSTITUTE(Tasks[[#This Row],[Resources]],",",REPT(" ",99)),100,99)))</f>
        <v/>
      </c>
      <c r="CP58" s="45" t="str">
        <f aca="false">IF(Tasks[[#This Row],[_Res2Text]]="","",TRIM(MID(SUBSTITUTE(Tasks[[#This Row],[Resources]],",",REPT(" ",99)),199,99)))</f>
        <v/>
      </c>
      <c r="CQ58" s="45" t="str">
        <f aca="false">IF(Tasks[[#This Row],[_Res3Text]]="","",TRIM(MID(SUBSTITUTE(Tasks[[#This Row],[Resources]],",",REPT(" ",99)),298,99)))</f>
        <v/>
      </c>
      <c r="CR5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5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8" s="45" t="n">
        <f aca="false">IF(NOT(Tasks[[#This Row],[_IsLeaf]]=1),0,(Tasks[[#This Row],[_Resource1]]&lt;&gt;"")+(Tasks[[#This Row],[_Res2]]&lt;&gt;"")+(Tasks[[#This Row],[_Res3]]&lt;&gt;"")+(Tasks[[#This Row],[_Res4]]&lt;&gt;""))</f>
        <v>0</v>
      </c>
      <c r="CU5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5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8" s="45" t="n">
        <f aca="false">IF(OR(NOT(Tasks[[#This Row],[_IsLeaf]]=1),Tasks[[#This Row],[_Res2]]=""),0,IF(ISNA(MATCH(Tasks[[#This Row],[_Res2]],res_Name,0)),0,N(Tasks[[#This Row],[Duration]])*HoursPerDay*IF(Tasks[[#This Row],[_Res2Units]]="",DefaultUnits,Tasks[[#This Row],[_Res2Units]])))</f>
        <v>0</v>
      </c>
      <c r="CX58" s="45" t="n">
        <f aca="false">IF(Tasks[[#This Row],[_Res2Work]]=0,0,Tasks[[#This Row],[_Res2Work]]*IFERROR(INDEX(res_Rate,MATCH(Tasks[[#This Row],[_Res2]],res_Name,0)),0))</f>
        <v>0</v>
      </c>
      <c r="CY58" s="45" t="n">
        <f aca="false">IF(AND(AND(Tasks[[#This Row],[_IsLeaf]]=1,Tasks[[#This Row],[_LeafTotalWork]]&gt;0),Tasks[[#This Row],[_Res2Work]]&gt;0),Tasks[[#This Row],[_Res2Work]]/(Tasks[[#This Row],[_FinishWorkday]]-Tasks[[#This Row],[_StartWorkday]]+1),0)</f>
        <v>0</v>
      </c>
      <c r="CZ58" s="45" t="n">
        <f aca="false">Tasks[[#This Row],[_Res2WorkPerWD]]*MAX(0,Tasks[[#This Row],[_StartWorkday]]-1)</f>
        <v>0</v>
      </c>
      <c r="DA58" s="45" t="n">
        <f aca="false">Tasks[[#This Row],[_Res2Work]]*Tasks[[#This Row],[_LeafProgress]]</f>
        <v>0</v>
      </c>
      <c r="DB58" s="45" t="n">
        <f aca="false">IF(Tasks[[#This Row],[_LeafTotalCost]]=0,0,Tasks[[#This Row],[_LeafAC]]*Tasks[[#This Row],[_Res2Cost]]/Tasks[[#This Row],[_LeafTotalCost]])</f>
        <v>0</v>
      </c>
      <c r="DC5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5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58" s="45" t="n">
        <f aca="false">IF(OR(NOT(Tasks[[#This Row],[_IsLeaf]]=1),Tasks[[#This Row],[_Res3]]=""),0,IF(ISNA(MATCH(Tasks[[#This Row],[_Res3]],res_Name,0)),0,N(Tasks[[#This Row],[Duration]])*HoursPerDay*IF(Tasks[[#This Row],[_Res3Units]]="",DefaultUnits,Tasks[[#This Row],[_Res3Units]])))</f>
        <v>0</v>
      </c>
      <c r="DF58" s="45" t="n">
        <f aca="false">IF(Tasks[[#This Row],[_Res3Work]]=0,0,Tasks[[#This Row],[_Res3Work]]*IFERROR(INDEX(res_Rate,MATCH(Tasks[[#This Row],[_Res3]],res_Name,0)),0))</f>
        <v>0</v>
      </c>
      <c r="DG58" s="45" t="n">
        <f aca="false">IF(AND(AND(Tasks[[#This Row],[_IsLeaf]]=1,Tasks[[#This Row],[_LeafTotalWork]]&gt;0),Tasks[[#This Row],[_Res3Work]]&gt;0),Tasks[[#This Row],[_Res3Work]]/(Tasks[[#This Row],[_FinishWorkday]]-Tasks[[#This Row],[_StartWorkday]]+1),0)</f>
        <v>0</v>
      </c>
      <c r="DH58" s="45" t="n">
        <f aca="false">Tasks[[#This Row],[_Res3WorkPerWD]]*MAX(0,Tasks[[#This Row],[_StartWorkday]]-1)</f>
        <v>0</v>
      </c>
      <c r="DI58" s="45" t="n">
        <f aca="false">Tasks[[#This Row],[_Res3Work]]*Tasks[[#This Row],[_LeafProgress]]</f>
        <v>0</v>
      </c>
      <c r="DJ58" s="45" t="n">
        <f aca="false">IF(Tasks[[#This Row],[_LeafTotalCost]]=0,0,Tasks[[#This Row],[_LeafAC]]*Tasks[[#This Row],[_Res3Cost]]/Tasks[[#This Row],[_LeafTotalCost]])</f>
        <v>0</v>
      </c>
      <c r="DK5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5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58" s="45" t="n">
        <f aca="false">IF(OR(NOT(Tasks[[#This Row],[_IsLeaf]]=1),Tasks[[#This Row],[_Res4]]=""),0,IF(ISNA(MATCH(Tasks[[#This Row],[_Res4]],res_Name,0)),0,N(Tasks[[#This Row],[Duration]])*HoursPerDay*IF(Tasks[[#This Row],[_Res4Units]]="",DefaultUnits,Tasks[[#This Row],[_Res4Units]])))</f>
        <v>0</v>
      </c>
      <c r="DN58" s="45" t="n">
        <f aca="false">IF(Tasks[[#This Row],[_Res4Work]]=0,0,Tasks[[#This Row],[_Res4Work]]*IFERROR(INDEX(res_Rate,MATCH(Tasks[[#This Row],[_Res4]],res_Name,0)),0))</f>
        <v>0</v>
      </c>
      <c r="DO58" s="45" t="n">
        <f aca="false">IF(AND(AND(Tasks[[#This Row],[_IsLeaf]]=1,Tasks[[#This Row],[_LeafTotalWork]]&gt;0),Tasks[[#This Row],[_Res4Work]]&gt;0),Tasks[[#This Row],[_Res4Work]]/(Tasks[[#This Row],[_FinishWorkday]]-Tasks[[#This Row],[_StartWorkday]]+1),0)</f>
        <v>0</v>
      </c>
      <c r="DP58" s="45" t="n">
        <f aca="false">Tasks[[#This Row],[_Res4WorkPerWD]]*MAX(0,Tasks[[#This Row],[_StartWorkday]]-1)</f>
        <v>0</v>
      </c>
      <c r="DQ58" s="45" t="n">
        <f aca="false">Tasks[[#This Row],[_Res4Work]]*Tasks[[#This Row],[_LeafProgress]]</f>
        <v>0</v>
      </c>
      <c r="DR58" s="45" t="n">
        <f aca="false">IF(Tasks[[#This Row],[_LeafTotalCost]]=0,0,Tasks[[#This Row],[_LeafAC]]*Tasks[[#This Row],[_Res4Cost]]/Tasks[[#This Row],[_LeafTotalCost]])</f>
        <v>0</v>
      </c>
      <c r="DS58" s="45" t="n">
        <f aca="false">IF(ISNUMBER(Tasks[[#This Row],[% Complete]]),Tasks[[#This Row],[% Complete]],IF(Tasks[[#This Row],[Stage]]="",0,IFERROR(INDEX(stg_Pct,MATCH(Tasks[[#This Row],[Stage]],stg_Name,0)),0)))</f>
        <v>0</v>
      </c>
      <c r="DT58" s="45" t="n">
        <f aca="false">IF(NOT(Tasks[[#This Row],[_IsLeaf]]=1),0,IF(N(Tasks[[#This Row],[Actual Finish]])&gt;0,1,MIN(1,Tasks[[#This Row],[_Pct]])))</f>
        <v>0</v>
      </c>
      <c r="DU58" s="45" t="n">
        <f aca="false">IF(OR(NOT(Tasks[[#This Row],[_IsLeaf]]=1),Tasks[[#This Row],[_Resource1]]=""),0,IF(ISNA(MATCH(Tasks[[#This Row],[_Resource1]],res_Name,0)),0,N(Tasks[[#This Row],[Duration]])*HoursPerDay*IF(Tasks[[#This Row],[_Units1]]="",DefaultUnits,Tasks[[#This Row],[_Units1]])))</f>
        <v>0</v>
      </c>
      <c r="DV58" s="45" t="n">
        <f aca="false">IF(Tasks[[#This Row],[_LeafWork]]=0,0,Tasks[[#This Row],[_LeafWork]]*IFERROR(INDEX(res_Rate,MATCH(Tasks[[#This Row],[_Resource1]],res_Name,0)),0))</f>
        <v>0</v>
      </c>
      <c r="DW58" s="45" t="n">
        <f aca="false">Tasks[[#This Row],[_LeafWork]]+Tasks[[#This Row],[_Res2Work]]+Tasks[[#This Row],[_Res3Work]]+Tasks[[#This Row],[_Res4Work]]</f>
        <v>0</v>
      </c>
      <c r="DX58" s="45" t="n">
        <f aca="false">Tasks[[#This Row],[_LeafCost]]+Tasks[[#This Row],[_Res2Cost]]+Tasks[[#This Row],[_Res3Cost]]+Tasks[[#This Row],[_Res4Cost]]</f>
        <v>0</v>
      </c>
      <c r="DY58" s="45" t="n">
        <f aca="false">IF(Tasks[[#This Row],[_LeafTotalCost]]=0,Tasks[[#This Row],[_LeafAC]],Tasks[[#This Row],[_LeafAC]]*Tasks[[#This Row],[_LeafCost]]/Tasks[[#This Row],[_LeafTotalCost]])</f>
        <v>0</v>
      </c>
      <c r="DZ5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5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5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5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5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5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5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5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58" s="45" t="n">
        <f aca="false">IF(NOT(Tasks[[#This Row],[_IsLeaf]]=1),0,MAX(_xlfn.MAXIFS(Tasks[_Row],Tasks[_Pred1UID],Tasks[[#This Row],[UID]]),_xlfn.MAXIFS(Tasks[_Row],Tasks[_Pred2UID],Tasks[[#This Row],[UID]]),_xlfn.MAXIFS(Tasks[_Row],Tasks[_Pred3UID],Tasks[[#This Row],[UID]]),_xlfn.MAXIFS(Tasks[_Row],Tasks[_Pred4UID],Tasks[[#This Row],[UID]])))</f>
        <v>0</v>
      </c>
      <c r="EI5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5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58" s="74" t="str">
        <f aca="false">IF(NOT(Tasks[[#This Row],[_IsLeaf]]=1),"",IF(N(Tasks[[#This Row],[Duration]])&lt;=0,Tasks[[#This Row],[_LeafLateFinish]],WORKDAY.INTL(Tasks[[#This Row],[_LeafLateFinish]],-(Tasks[[#This Row],[Duration]]-1),WorkWeek,Holidays)))</f>
        <v/>
      </c>
      <c r="EL5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58" s="73" t="b">
        <f aca="false">AND(Tasks[[#This Row],[_IsLeaf]]=1,Tasks[[#This Row],[_LeafProgress]]&lt;1,N(Tasks[[#This Row],[_LeafTotalSlack]])&lt;=CriticalSlackDays)</f>
        <v>0</v>
      </c>
      <c r="EN58" s="45" t="n">
        <f aca="false">IF(AND(Tasks[[#This Row],[_IsLeaf]]=1,Tasks[[#This Row],[_ConstraintCode]]=1,Tasks[[#This Row],[Mode]]&lt;&gt;"Manual",N(Tasks[[#This Row],[Actual Start]])=0),MAX(0,N(Tasks[[#This Row],[Free Slack]])),0)</f>
        <v>0</v>
      </c>
      <c r="EO58" s="74" t="str">
        <f aca="false">IF(NOT(Tasks[[#This Row],[_IsLeaf]]=1),"",IF(Tasks[[#This Row],[_AlapShift]]=0,Tasks[[#This Row],[_LeafCalcStart]],WORKDAY.INTL(Tasks[[#This Row],[_LeafCalcStart]],Tasks[[#This Row],[_AlapShift]],WorkWeek,Holidays)))</f>
        <v/>
      </c>
      <c r="EP58" s="74" t="str">
        <f aca="false">IF(NOT(Tasks[[#This Row],[_IsLeaf]]=1),"",IF(Tasks[[#This Row],[_AlapShift]]=0,Tasks[[#This Row],[_LeafCalcFinish]],WORKDAY.INTL(Tasks[[#This Row],[_LeafCalcFinish]],Tasks[[#This Row],[_AlapShift]],WorkWeek,Holidays)))</f>
        <v/>
      </c>
      <c r="EQ58" s="74" t="str">
        <f aca="false">IF(NOT(Tasks[[#This Row],[_IsLeaf]]=1),"",IF(Tasks[[#This Row],[_AlapShift]]=0,Tasks[[#This Row],[_LeafFcstStart]],WORKDAY.INTL(Tasks[[#This Row],[_LeafFcstStart]],Tasks[[#This Row],[_AlapShift]],WorkWeek,Holidays)))</f>
        <v/>
      </c>
      <c r="ER58" s="74" t="str">
        <f aca="false">IF(NOT(Tasks[[#This Row],[_IsLeaf]]=1),"",IF(Tasks[[#This Row],[_AlapShift]]=0,Tasks[[#This Row],[_LeafFcstFinish]],WORKDAY.INTL(Tasks[[#This Row],[_LeafFcstFinish]],Tasks[[#This Row],[_AlapShift]],WorkWeek,Holidays)))</f>
        <v/>
      </c>
      <c r="ES58" s="74" t="str">
        <f aca="false">IF(Tasks[[#This Row],[Task Name]]="","",IF(Tasks[[#This Row],[_IsSummary]],MIN(INDEX(Tasks[_ShownCalcStart],Tasks[[#This Row],[_Row]]+1):INDEX(Tasks[_ShownCalcStart],Tasks[[#This Row],[_Row]]+Tasks[[#This Row],[_Descendants]])),Tasks[[#This Row],[_ShownCalcStart]]))</f>
        <v/>
      </c>
      <c r="ET58" s="74" t="str">
        <f aca="false">IF(Tasks[[#This Row],[Task Name]]="","",IF(Tasks[[#This Row],[_IsSummary]],MAX(INDEX(Tasks[_ShownCalcFinish],Tasks[[#This Row],[_Row]]+1):INDEX(Tasks[_ShownCalcFinish],Tasks[[#This Row],[_Row]]+Tasks[[#This Row],[_Descendants]])),Tasks[[#This Row],[_ShownCalcFinish]]))</f>
        <v/>
      </c>
      <c r="EU5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5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5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5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5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5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5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5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5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5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5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5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58" s="45" t="n">
        <f aca="false">IF(AND(Tasks[[#This Row],[_IsLeaf]]=1,Tasks[[#This Row],[_LeafTotalWork]]&gt;0),NETWORKDAYS.INTL(ProjectStart,Tasks[[#This Row],[_ShownFcstStart]],WorkWeek,Holidays),0)</f>
        <v>0</v>
      </c>
      <c r="FH58" s="45" t="n">
        <f aca="false">IF(AND(Tasks[[#This Row],[_IsLeaf]]=1,Tasks[[#This Row],[_LeafTotalWork]]&gt;0),MAX(Tasks[[#This Row],[_StartWorkday]],NETWORKDAYS.INTL(ProjectStart,Tasks[[#This Row],[_ShownFcstFinish]],WorkWeek,Holidays)),0)</f>
        <v>0</v>
      </c>
      <c r="FI58" s="45" t="n">
        <f aca="false">IF(AND(Tasks[[#This Row],[_IsLeaf]]=1,Tasks[[#This Row],[_LeafTotalWork]]&gt;0),Tasks[[#This Row],[_LeafWork]]/(Tasks[[#This Row],[_FinishWorkday]]-Tasks[[#This Row],[_StartWorkday]]+1),0)</f>
        <v>0</v>
      </c>
      <c r="FJ58" s="45" t="n">
        <f aca="false">Tasks[[#This Row],[_WorkPerWorkday]]*(Tasks[[#This Row],[_StartWorkday]]-1)</f>
        <v>-0</v>
      </c>
      <c r="FK58" s="45" t="n">
        <f aca="false">IF(Tasks[[#This Row],[_IsLeaf]]=1,MAX(N(Tasks[[#This Row],[Duration]]),0.1),0)</f>
        <v>0</v>
      </c>
      <c r="FL58" s="45" t="n">
        <f aca="false">Tasks[[#This Row],[_WeightDur]]*Tasks[[#This Row],[_LeafProgress]]</f>
        <v>0</v>
      </c>
      <c r="FM5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58" s="45" t="str">
        <f aca="false">IF(AND(Tasks[[#This Row],[_IsLeaf]]=1,N(Tasks[[#This Row],[Duration]])=0,Tasks[[#This Row],[_LeafProgress]]&lt;1),Tasks[[#This Row],[_ShownFcstFinish]]+Tasks[[#This Row],[_Row]]/100000,"")</f>
        <v/>
      </c>
      <c r="FO5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58" s="45" t="n">
        <f aca="false">IF(NOT(Tasks[[#This Row],[_IsLeaf]]=1),0,IF(Tasks[[#This Row],[Baseline Cost]]="",Tasks[[#This Row],[_LeafTotalCost]],N(Tasks[[#This Row],[Baseline Cost]])))</f>
        <v>0</v>
      </c>
      <c r="FQ58" s="45" t="n">
        <f aca="false">Tasks[[#This Row],[_LeafBudget]]*Tasks[[#This Row],[_PlannedPct]]</f>
        <v>0</v>
      </c>
      <c r="FR58" s="45" t="n">
        <f aca="false">Tasks[[#This Row],[_LeafBudget]]*Tasks[[#This Row],[_LeafProgress]]</f>
        <v>0</v>
      </c>
      <c r="FS58" s="45" t="n">
        <f aca="false">IF(NOT(Tasks[[#This Row],[_IsLeaf]]=1),0,IF(Tasks[[#This Row],[Actual Cost]]="",Tasks[[#This Row],[_LeafTotalCost]]*Tasks[[#This Row],[_LeafProgress]],N(Tasks[[#This Row],[Actual Cost]])))</f>
        <v>0</v>
      </c>
      <c r="FT58" s="45" t="str">
        <f aca="false">IF(Tasks[[#This Row],[Task Name]]="","",LEFT(Tasks[[#This Row],[WBS]],FIND(".",Tasks[[#This Row],[WBS]]&amp;".")-1))</f>
        <v/>
      </c>
      <c r="FU58" s="45" t="str">
        <f aca="false">IF(AND(Tasks[[#This Row],[Task Name]]&lt;&gt;"",Tasks[[#This Row],[_Level]]=1),Tasks[[#This Row],[_Row]],"")</f>
        <v/>
      </c>
      <c r="FV58" s="45" t="str">
        <f aca="false">IF(AND(Tasks[[#This Row],[_IsLeaf]]=1,N(Tasks[[#This Row],[Duration]])=0),Tasks[[#This Row],[Planned Finish]]+Tasks[[#This Row],[_Row]]/100000,"")</f>
        <v/>
      </c>
      <c r="FW58" s="45" t="str">
        <f aca="false">IF(AND(Tasks[[#This Row],[_IsLeaf]]=1,Tasks[[#This Row],[_LeafProgress]]&lt;1,OR(N(Tasks[[#This Row],[Finish Var]])&gt;0,Tasks[[#This Row],[Status]]="Late Start")),MAX(0,Tasks[[#This Row],[Finish Var]])+1-Tasks[[#This Row],[_Row]]/1000000,"")</f>
        <v/>
      </c>
      <c r="FX58" s="45" t="str">
        <f aca="false">IF(AND(Tasks[[#This Row],[_IsLeaf]]=1,N(Tasks[[#This Row],[Actual Start]])=0,Tasks[[#This Row],[_ShownFcstStart]]&gt;=StatusDate,Tasks[[#This Row],[_ShownFcstStart]]&lt;=LookaheadEnd),Tasks[[#This Row],[_ShownFcstStart]]+Tasks[[#This Row],[_Row]]/100000,"")</f>
        <v/>
      </c>
      <c r="FY58" s="45" t="str">
        <f aca="false">IF(AND(Tasks[[#This Row],[_IsLeaf]]=1,Tasks[[#This Row],[_LeafProgress]]&lt;1,Tasks[[#This Row],[_ShownFcstFinish]]&gt;=StatusDate,Tasks[[#This Row],[_ShownFcstFinish]]&lt;=LookaheadEnd),Tasks[[#This Row],[_ShownFcstFinish]]+Tasks[[#This Row],[_Row]]/100000,"")</f>
        <v/>
      </c>
      <c r="FZ58" s="45" t="str">
        <f aca="false">IF(Tasks[[#This Row],[_LeafCritical]],Tasks[[#This Row],[_ShownFcstStart]]+Tasks[[#This Row],[_Row]]/100000,"")</f>
        <v/>
      </c>
      <c r="GA58" s="45" t="n">
        <f aca="false">Tasks[[#This Row],[_LeafWork]]*Tasks[[#This Row],[_LeafProgress]]</f>
        <v>0</v>
      </c>
      <c r="GB58" s="74" t="str">
        <f aca="false">IF(AND(Tasks[[#This Row],[_IsLeaf]]=1,Tasks[[#This Row],[_LeafProgress]]&gt;=1),IF(N(Tasks[[#This Row],[Actual Finish]])&gt;0,Tasks[[#This Row],[Actual Finish]],Tasks[[#This Row],[_ShownFcstFinish]]),"")</f>
        <v/>
      </c>
    </row>
    <row r="59" customFormat="false" ht="15" hidden="false" customHeight="false" outlineLevel="0" collapsed="false">
      <c r="A59" s="67" t="str">
        <f aca="false">IF(Tasks[[#This Row],[Task Name]]="","",COUNTA(Tasks[[#Headers],[Task Name]]:Tasks[[#This Row],[Task Name]])-1)</f>
        <v/>
      </c>
      <c r="B59" s="21" t="n">
        <v>54</v>
      </c>
      <c r="C5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21"/>
      <c r="E59" s="22"/>
      <c r="F59" s="21"/>
      <c r="G59" s="22"/>
      <c r="H59" s="22"/>
      <c r="I59" s="22"/>
      <c r="J59" s="7"/>
      <c r="K59" s="7"/>
      <c r="L59" s="22"/>
      <c r="M59" s="58" t="str">
        <f aca="false">IF(Tasks[[#This Row],[Task Name]]="","",IF(Tasks[[#This Row],[_IsSummary]],MIN(INDEX(Tasks[_ShownFcstStart],Tasks[[#This Row],[_Row]]+1):INDEX(Tasks[_ShownFcstStart],Tasks[[#This Row],[_Row]]+Tasks[[#This Row],[_Descendants]])),Tasks[[#This Row],[_ShownFcstStart]]))</f>
        <v/>
      </c>
      <c r="N59" s="58" t="str">
        <f aca="false">IF(Tasks[[#This Row],[Task Name]]="","",IF(Tasks[[#This Row],[_IsSummary]],MAX(INDEX(Tasks[_ShownFcstFinish],Tasks[[#This Row],[_Row]]+1):INDEX(Tasks[_ShownFcstFinish],Tasks[[#This Row],[_Row]]+Tasks[[#This Row],[_Descendants]])),Tasks[[#This Row],[_ShownFcstFinish]]))</f>
        <v/>
      </c>
      <c r="O59" s="20" t="str">
        <f aca="false">IF(Tasks[[#This Row],[Task Name]]="","",IF(Tasks[[#This Row],[Progress]]&gt;=1,"Complete",IF(OR(N(Tasks[[#This Row],[Actual Start]])&gt;0,Tasks[[#This Row],[Progress]]&gt;0),IF(Tasks[[#This Row],[Finish Var]]&gt;0,"Behind","In Progress"),IF(Tasks[[#This Row],[Planned Start]]&lt;StatusDate,"Late Start","Not Started"))))</f>
        <v/>
      </c>
      <c r="P59" s="20" t="str">
        <f aca="false">IF(Tasks[[#This Row],[Task Name]]="","",IF(IF(Tasks[[#This Row],[_IsSummary]],COUNTIF(INDEX(Tasks[_LeafCritical],Tasks[[#This Row],[_Row]]+1):INDEX(Tasks[_LeafCritical],Tasks[[#This Row],[_Row]]+Tasks[[#This Row],[_Descendants]]),TRUE())&gt;0,Tasks[[#This Row],[_LeafCritical]]),"Yes",""))</f>
        <v/>
      </c>
      <c r="Q5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59" s="67" t="str">
        <f aca="false">IF(Tasks[[#This Row],[Task Name]]="","",IF(Tasks[[#This Row],[_Level]]&lt;=OutlineShowLevel,"Yes","No"))</f>
        <v/>
      </c>
      <c r="S59" s="7"/>
      <c r="T59" s="21"/>
      <c r="U59" s="22"/>
      <c r="V59" s="7"/>
      <c r="W59" s="67" t="str">
        <f aca="false">IF(Tasks[[#This Row],[Task Name]]="","",IF(Tasks[[#This Row],[Finish]]&gt;=Tasks[[#This Row],[Planned Finish]],NETWORKDAYS.INTL(Tasks[[#This Row],[Planned Finish]],Tasks[[#This Row],[Finish]],WorkWeek,Holidays)-1,1-NETWORKDAYS.INTL(Tasks[[#This Row],[Finish]],Tasks[[#This Row],[Planned Finish]],WorkWeek,Holidays)))</f>
        <v/>
      </c>
      <c r="X59" s="58" t="str">
        <f aca="false">IF(Tasks[[#This Row],[Task Name]]="","",IF(N(Tasks[[#This Row],[Baseline Start]])&gt;0,Tasks[[#This Row],[Baseline Start]],Tasks[[#This Row],[_CalcStart]]))</f>
        <v/>
      </c>
      <c r="Y59" s="58" t="str">
        <f aca="false">IF(Tasks[[#This Row],[Task Name]]="","",IF(N(Tasks[[#This Row],[Baseline Finish]])&gt;0,Tasks[[#This Row],[Baseline Finish]],Tasks[[#This Row],[_CalcFinish]]))</f>
        <v/>
      </c>
      <c r="Z59" s="67" t="str">
        <f aca="false">IF(Tasks[[#This Row],[Task Name]]="","",IF(Tasks[[#This Row],[Start]]&gt;=Tasks[[#This Row],[Planned Start]],NETWORKDAYS.INTL(Tasks[[#This Row],[Planned Start]],Tasks[[#This Row],[Start]],WorkWeek,Holidays)-1,1-NETWORKDAYS.INTL(Tasks[[#This Row],[Start]],Tasks[[#This Row],[Planned Start]],WorkWeek,Holidays)))</f>
        <v/>
      </c>
      <c r="AA59" s="58" t="str">
        <f aca="false">IF(Tasks[[#This Row],[Task Name]]="","",IF(Tasks[[#This Row],[_IsSummary]],MIN(INDEX(Tasks[_LeafLateStart],Tasks[[#This Row],[_Row]]+1):INDEX(Tasks[_LeafLateStart],Tasks[[#This Row],[_Row]]+Tasks[[#This Row],[_Descendants]])),Tasks[[#This Row],[_LeafLateStart]]))</f>
        <v/>
      </c>
      <c r="AB59" s="58" t="str">
        <f aca="false">IF(Tasks[[#This Row],[Task Name]]="","",IF(Tasks[[#This Row],[_IsSummary]],MAX(INDEX(Tasks[_LeafLateFinish],Tasks[[#This Row],[_Row]]+1):INDEX(Tasks[_LeafLateFinish],Tasks[[#This Row],[_Row]]+Tasks[[#This Row],[_Descendants]])),Tasks[[#This Row],[_LeafLateFinish]]))</f>
        <v/>
      </c>
      <c r="AC59" s="67" t="str">
        <f aca="false">IF(Tasks[[#This Row],[Task Name]]="","",IF(Tasks[[#This Row],[_IsSummary]],MIN(INDEX(Tasks[_LeafTotalSlack],Tasks[[#This Row],[_Row]]+1):INDEX(Tasks[_LeafTotalSlack],Tasks[[#This Row],[_Row]]+Tasks[[#This Row],[_Descendants]])),Tasks[[#This Row],[_LeafTotalSlack]]))</f>
        <v/>
      </c>
      <c r="AD5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5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5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59" s="60"/>
      <c r="AH5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5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59" s="69" t="str">
        <f aca="false">IF(Tasks[[#This Row],[Task Name]]="","",IF(Tasks[[#This Row],[_IsSummary]],SUM(INDEX(Tasks[_LeafTotalWork],Tasks[[#This Row],[_Row]]+1):INDEX(Tasks[_LeafTotalWork],Tasks[[#This Row],[_Row]]+Tasks[[#This Row],[_Descendants]])),Tasks[[#This Row],[_LeafTotalWork]]))</f>
        <v/>
      </c>
      <c r="AK5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59" s="70" t="str">
        <f aca="false">IF(Tasks[[#This Row],[Task Name]]="","",IF(Tasks[[#This Row],[_IsSummary]],SUM(INDEX(Tasks[_LeafTotalCost],Tasks[[#This Row],[_Row]]+1):INDEX(Tasks[_LeafTotalCost],Tasks[[#This Row],[_Row]]+Tasks[[#This Row],[_Descendants]])),Tasks[[#This Row],[_LeafTotalCost]]))</f>
        <v/>
      </c>
      <c r="AM59" s="71"/>
      <c r="AN59" s="20" t="str">
        <f aca="false">IF(OR(Tasks[[#This Row],[Task Name]]="",Tasks[[#This Row],[Baseline Duration]]=""),"",Tasks[[#This Row],[BL Source Duration]]-N(Tasks[[#This Row],[Baseline Duration]]))</f>
        <v/>
      </c>
      <c r="AO59" s="69" t="str">
        <f aca="false">IF(OR(Tasks[[#This Row],[Task Name]]="",Tasks[[#This Row],[Baseline Work]]=""),"",Tasks[[#This Row],[Work]]-N(Tasks[[#This Row],[Baseline Work]]))</f>
        <v/>
      </c>
      <c r="AP59" s="70" t="str">
        <f aca="false">IF(OR(Tasks[[#This Row],[Task Name]]="",Tasks[[#This Row],[Baseline Cost]]=""),"",Tasks[[#This Row],[Cost]]-N(Tasks[[#This Row],[Baseline Cost]]))</f>
        <v/>
      </c>
      <c r="AQ59" s="58" t="str">
        <f aca="false">IF(Tasks[[#This Row],[Task Name]]="","",Tasks[[#This Row],[Start]])</f>
        <v/>
      </c>
      <c r="AR59" s="58" t="str">
        <f aca="false">IF(Tasks[[#This Row],[Task Name]]="","",Tasks[[#This Row],[Finish]])</f>
        <v/>
      </c>
      <c r="AS59" s="67" t="str">
        <f aca="false">IF(Tasks[[#This Row],[Task Name]]="","",IF(Tasks[[#This Row],[_IsSummary]],NETWORKDAYS.INTL(Tasks[[#This Row],[Start]],Tasks[[#This Row],[Finish]],WorkWeek,Holidays),N(Tasks[[#This Row],[Duration]])))</f>
        <v/>
      </c>
      <c r="AT59" s="69" t="str">
        <f aca="false">IF(Tasks[[#This Row],[Task Name]]="","",Tasks[[#This Row],[Work]])</f>
        <v/>
      </c>
      <c r="AU59" s="70" t="str">
        <f aca="false">IF(Tasks[[#This Row],[Task Name]]="","",Tasks[[#This Row],[Cost]])</f>
        <v/>
      </c>
      <c r="AV59" s="7"/>
      <c r="AW59" s="7"/>
      <c r="AX59" s="21"/>
      <c r="AY59" s="72"/>
      <c r="AZ59" s="71"/>
      <c r="BA59" s="70" t="str">
        <f aca="false">IF(Tasks[[#This Row],[Task Name]]="","",IF(Tasks[[#This Row],[_IsSummary]],SUM(INDEX(Tasks[_LeafEV],Tasks[[#This Row],[_Row]]+1):INDEX(Tasks[_LeafEV],Tasks[[#This Row],[_Row]]+Tasks[[#This Row],[_Descendants]])),Tasks[[#This Row],[_LeafEV]]))</f>
        <v/>
      </c>
      <c r="BB59" s="70" t="str">
        <f aca="false">IF(Tasks[[#This Row],[Task Name]]="","",IF(Tasks[[#This Row],[_IsSummary]],SUM(INDEX(Tasks[_LeafBudget],Tasks[[#This Row],[_Row]]+1):INDEX(Tasks[_LeafBudget],Tasks[[#This Row],[_Row]]+Tasks[[#This Row],[_Descendants]])),Tasks[[#This Row],[_LeafBudget]]))</f>
        <v/>
      </c>
      <c r="BC59" s="70" t="str">
        <f aca="false">IF(Tasks[[#This Row],[Task Name]]="","",IF(Tasks[[#This Row],[_IsSummary]],SUM(INDEX(Tasks[_LeafPV],Tasks[[#This Row],[_Row]]+1):INDEX(Tasks[_LeafPV],Tasks[[#This Row],[_Row]]+Tasks[[#This Row],[_Descendants]])),Tasks[[#This Row],[_LeafPV]]))</f>
        <v/>
      </c>
      <c r="BD59" s="70" t="str">
        <f aca="false">IF(Tasks[[#This Row],[Task Name]]="","",IF(Tasks[[#This Row],[_IsSummary]],SUM(INDEX(Tasks[_LeafAC],Tasks[[#This Row],[_Row]]+1):INDEX(Tasks[_LeafAC],Tasks[[#This Row],[_Row]]+Tasks[[#This Row],[_Descendants]])),Tasks[[#This Row],[_LeafAC]]))</f>
        <v/>
      </c>
      <c r="BE59" s="45" t="str">
        <f aca="false">IF(Tasks[[#This Row],[Task Name]]="","",MAX(1,N(Tasks[[#This Row],[Level]])))</f>
        <v/>
      </c>
      <c r="BF59" s="45" t="n">
        <f aca="false">ROW()-ROW(Tasks[[#Headers],[ID]])</f>
        <v>54</v>
      </c>
      <c r="BG59" s="45" t="n">
        <f aca="false">IF(OR(Tasks[[#This Row],[Task Name]]="",Tasks[[#This Row],[_Level]]&lt;=1),0,IFERROR(LOOKUP(2,1/(Tasks[[#Headers],[_Level]]:Tasks[[#This Row],[_Level]]=Tasks[[#This Row],[_Level]]-1),ROW(Tasks[[#Headers],[_Level]]:Tasks[[#This Row],[_Level]])),0))</f>
        <v>0</v>
      </c>
      <c r="BH59" s="45" t="n">
        <f aca="false">IFERROR(N(INDEX(Tasks[_Level],Tasks[[#This Row],[_Row]]+1)),0)</f>
        <v>0</v>
      </c>
      <c r="BI59" s="73" t="b">
        <f aca="false">AND(Tasks[[#This Row],[Task Name]]&lt;&gt;"",Tasks[[#This Row],[_NextLevel]]&gt;Tasks[[#This Row],[_Level]])</f>
        <v>0</v>
      </c>
      <c r="BJ59" s="45" t="n">
        <f aca="false">IF(Tasks[[#This Row],[_IsSummary]],COUNTIF(Tasks[WBS],Tasks[[#This Row],[WBS]]&amp;".*"),0)</f>
        <v>0</v>
      </c>
      <c r="BK59" s="45" t="n">
        <f aca="false">IF(AND(Tasks[[#This Row],[Task Name]]&lt;&gt;"",NOT(Tasks[[#This Row],[_IsSummary]])),1,0)</f>
        <v>0</v>
      </c>
      <c r="BL59" s="45" t="n">
        <f aca="false">IF(N(Tasks[[#This Row],[_Pred1UID]])=0,0,IFERROR(MATCH(Tasks[[#This Row],[_Pred1UID]],Tasks[UID],0),-1))</f>
        <v>0</v>
      </c>
      <c r="BM59" s="45" t="n">
        <f aca="false">IF(N(Tasks[[#This Row],[_Pred2UID]])=0,0,IFERROR(MATCH(Tasks[[#This Row],[_Pred2UID]],Tasks[UID],0),-1))</f>
        <v>0</v>
      </c>
      <c r="BN59" s="45" t="n">
        <f aca="false">IF(N(Tasks[[#This Row],[_Pred3UID]])=0,0,IFERROR(MATCH(Tasks[[#This Row],[_Pred3UID]],Tasks[UID],0),-1))</f>
        <v>0</v>
      </c>
      <c r="BO59" s="45" t="n">
        <f aca="false">IF(N(Tasks[[#This Row],[_Pred4UID]])=0,0,IFERROR(MATCH(Tasks[[#This Row],[_Pred4UID]],Tasks[UID],0),-1))</f>
        <v>0</v>
      </c>
      <c r="BP5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5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59" s="74" t="n">
        <f aca="false">IF(OR(Tasks[[#This Row],[_ConstraintCode]]=2,Tasks[[#This Row],[_ConstraintCode]]=3,Tasks[[#This Row],[_ConstraintCode]]=4,Tasks[[#This Row],[_ConstraintCode]]=6),Tasks[[#This Row],[_ConstraintStart]],0)</f>
        <v>0</v>
      </c>
      <c r="BS59" s="74" t="n">
        <f aca="false">IF(OR(Tasks[[#This Row],[_ConstraintCode]]=2,Tasks[[#This Row],[_ConstraintCode]]=3,Tasks[[#This Row],[_ConstraintCode]]=5,Tasks[[#This Row],[_ConstraintCode]]=7),Tasks[[#This Row],[_ConstraintStart]],2958465)</f>
        <v>2958465</v>
      </c>
      <c r="BT5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59" s="74" t="str">
        <f aca="false">IF(NOT(Tasks[[#This Row],[_IsLeaf]]=1),"",IF(N(Tasks[[#This Row],[Duration]])&lt;=0,Tasks[[#This Row],[_LeafCalcStart]],WORKDAY.INTL(Tasks[[#This Row],[_LeafCalcStart]],Tasks[[#This Row],[Duration]]-1,WorkWeek,Holidays)))</f>
        <v/>
      </c>
      <c r="BV5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5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59" s="45" t="str">
        <f aca="false">IF(Tasks[[#This Row],[Predecessors]]="","",TRIM(MID(SUBSTITUTE(SUBSTITUTE(SUBSTITUTE(UPPER(Tasks[[#This Row],[Predecessors]]),";",",")," ",""),",",REPT(" ",99)),1,99)))</f>
        <v/>
      </c>
      <c r="BY59" s="45" t="str">
        <f aca="false">IF(Tasks[[#This Row],[_Pred1Text]]="","",IFERROR(VALUE(LEFT(Tasks[[#This Row],[_Pred1Text]],MIN(FIND("F",Tasks[[#This Row],[_Pred1Text]]&amp;"F"),FIND("S",Tasks[[#This Row],[_Pred1Text]]&amp;"S"),FIND("+",Tasks[[#This Row],[_Pred1Text]]&amp;"+"),FIND("-",Tasks[[#This Row],[_Pred1Text]]&amp;"-"))-1)),""))</f>
        <v/>
      </c>
      <c r="BZ5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5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59" s="45" t="str">
        <f aca="false">IF(Tasks[[#This Row],[_Pred1Text]]="","",TRIM(MID(SUBSTITUTE(SUBSTITUTE(SUBSTITUTE(UPPER(Tasks[[#This Row],[Predecessors]]),";",",")," ",""),",",REPT(" ",99)),100,99)))</f>
        <v/>
      </c>
      <c r="CC59" s="45" t="str">
        <f aca="false">IF(Tasks[[#This Row],[_Pred2Text]]="","",IFERROR(VALUE(LEFT(Tasks[[#This Row],[_Pred2Text]],MIN(FIND("F",Tasks[[#This Row],[_Pred2Text]]&amp;"F"),FIND("S",Tasks[[#This Row],[_Pred2Text]]&amp;"S"),FIND("+",Tasks[[#This Row],[_Pred2Text]]&amp;"+"),FIND("-",Tasks[[#This Row],[_Pred2Text]]&amp;"-"))-1)),""))</f>
        <v/>
      </c>
      <c r="CD5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5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59" s="45" t="str">
        <f aca="false">IF(Tasks[[#This Row],[_Pred2Text]]="","",TRIM(MID(SUBSTITUTE(SUBSTITUTE(SUBSTITUTE(UPPER(Tasks[[#This Row],[Predecessors]]),";",",")," ",""),",",REPT(" ",99)),199,99)))</f>
        <v/>
      </c>
      <c r="CG59" s="45" t="str">
        <f aca="false">IF(Tasks[[#This Row],[_Pred3Text]]="","",IFERROR(VALUE(LEFT(Tasks[[#This Row],[_Pred3Text]],MIN(FIND("F",Tasks[[#This Row],[_Pred3Text]]&amp;"F"),FIND("S",Tasks[[#This Row],[_Pred3Text]]&amp;"S"),FIND("+",Tasks[[#This Row],[_Pred3Text]]&amp;"+"),FIND("-",Tasks[[#This Row],[_Pred3Text]]&amp;"-"))-1)),""))</f>
        <v/>
      </c>
      <c r="CH5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5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59" s="45" t="str">
        <f aca="false">IF(Tasks[[#This Row],[_Pred3Text]]="","",TRIM(MID(SUBSTITUTE(SUBSTITUTE(SUBSTITUTE(UPPER(Tasks[[#This Row],[Predecessors]]),";",",")," ",""),",",REPT(" ",99)),298,99)))</f>
        <v/>
      </c>
      <c r="CK59" s="45" t="str">
        <f aca="false">IF(Tasks[[#This Row],[_Pred4Text]]="","",IFERROR(VALUE(LEFT(Tasks[[#This Row],[_Pred4Text]],MIN(FIND("F",Tasks[[#This Row],[_Pred4Text]]&amp;"F"),FIND("S",Tasks[[#This Row],[_Pred4Text]]&amp;"S"),FIND("+",Tasks[[#This Row],[_Pred4Text]]&amp;"+"),FIND("-",Tasks[[#This Row],[_Pred4Text]]&amp;"-"))-1)),""))</f>
        <v/>
      </c>
      <c r="CL5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5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59" s="45" t="str">
        <f aca="false">IF(OR(Tasks[[#This Row],[Task Name]]="",Tasks[[#This Row],[Resources]]=""),"",TRIM(MID(SUBSTITUTE(Tasks[[#This Row],[Resources]],",",REPT(" ",99)),1,99)))</f>
        <v/>
      </c>
      <c r="CO59" s="45" t="str">
        <f aca="false">IF(Tasks[[#This Row],[_Res1Text]]="","",TRIM(MID(SUBSTITUTE(Tasks[[#This Row],[Resources]],",",REPT(" ",99)),100,99)))</f>
        <v/>
      </c>
      <c r="CP59" s="45" t="str">
        <f aca="false">IF(Tasks[[#This Row],[_Res2Text]]="","",TRIM(MID(SUBSTITUTE(Tasks[[#This Row],[Resources]],",",REPT(" ",99)),199,99)))</f>
        <v/>
      </c>
      <c r="CQ59" s="45" t="str">
        <f aca="false">IF(Tasks[[#This Row],[_Res3Text]]="","",TRIM(MID(SUBSTITUTE(Tasks[[#This Row],[Resources]],",",REPT(" ",99)),298,99)))</f>
        <v/>
      </c>
      <c r="CR5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5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9" s="45" t="n">
        <f aca="false">IF(NOT(Tasks[[#This Row],[_IsLeaf]]=1),0,(Tasks[[#This Row],[_Resource1]]&lt;&gt;"")+(Tasks[[#This Row],[_Res2]]&lt;&gt;"")+(Tasks[[#This Row],[_Res3]]&lt;&gt;"")+(Tasks[[#This Row],[_Res4]]&lt;&gt;""))</f>
        <v>0</v>
      </c>
      <c r="CU5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5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9" s="45" t="n">
        <f aca="false">IF(OR(NOT(Tasks[[#This Row],[_IsLeaf]]=1),Tasks[[#This Row],[_Res2]]=""),0,IF(ISNA(MATCH(Tasks[[#This Row],[_Res2]],res_Name,0)),0,N(Tasks[[#This Row],[Duration]])*HoursPerDay*IF(Tasks[[#This Row],[_Res2Units]]="",DefaultUnits,Tasks[[#This Row],[_Res2Units]])))</f>
        <v>0</v>
      </c>
      <c r="CX59" s="45" t="n">
        <f aca="false">IF(Tasks[[#This Row],[_Res2Work]]=0,0,Tasks[[#This Row],[_Res2Work]]*IFERROR(INDEX(res_Rate,MATCH(Tasks[[#This Row],[_Res2]],res_Name,0)),0))</f>
        <v>0</v>
      </c>
      <c r="CY59" s="45" t="n">
        <f aca="false">IF(AND(AND(Tasks[[#This Row],[_IsLeaf]]=1,Tasks[[#This Row],[_LeafTotalWork]]&gt;0),Tasks[[#This Row],[_Res2Work]]&gt;0),Tasks[[#This Row],[_Res2Work]]/(Tasks[[#This Row],[_FinishWorkday]]-Tasks[[#This Row],[_StartWorkday]]+1),0)</f>
        <v>0</v>
      </c>
      <c r="CZ59" s="45" t="n">
        <f aca="false">Tasks[[#This Row],[_Res2WorkPerWD]]*MAX(0,Tasks[[#This Row],[_StartWorkday]]-1)</f>
        <v>0</v>
      </c>
      <c r="DA59" s="45" t="n">
        <f aca="false">Tasks[[#This Row],[_Res2Work]]*Tasks[[#This Row],[_LeafProgress]]</f>
        <v>0</v>
      </c>
      <c r="DB59" s="45" t="n">
        <f aca="false">IF(Tasks[[#This Row],[_LeafTotalCost]]=0,0,Tasks[[#This Row],[_LeafAC]]*Tasks[[#This Row],[_Res2Cost]]/Tasks[[#This Row],[_LeafTotalCost]])</f>
        <v>0</v>
      </c>
      <c r="DC5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5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59" s="45" t="n">
        <f aca="false">IF(OR(NOT(Tasks[[#This Row],[_IsLeaf]]=1),Tasks[[#This Row],[_Res3]]=""),0,IF(ISNA(MATCH(Tasks[[#This Row],[_Res3]],res_Name,0)),0,N(Tasks[[#This Row],[Duration]])*HoursPerDay*IF(Tasks[[#This Row],[_Res3Units]]="",DefaultUnits,Tasks[[#This Row],[_Res3Units]])))</f>
        <v>0</v>
      </c>
      <c r="DF59" s="45" t="n">
        <f aca="false">IF(Tasks[[#This Row],[_Res3Work]]=0,0,Tasks[[#This Row],[_Res3Work]]*IFERROR(INDEX(res_Rate,MATCH(Tasks[[#This Row],[_Res3]],res_Name,0)),0))</f>
        <v>0</v>
      </c>
      <c r="DG59" s="45" t="n">
        <f aca="false">IF(AND(AND(Tasks[[#This Row],[_IsLeaf]]=1,Tasks[[#This Row],[_LeafTotalWork]]&gt;0),Tasks[[#This Row],[_Res3Work]]&gt;0),Tasks[[#This Row],[_Res3Work]]/(Tasks[[#This Row],[_FinishWorkday]]-Tasks[[#This Row],[_StartWorkday]]+1),0)</f>
        <v>0</v>
      </c>
      <c r="DH59" s="45" t="n">
        <f aca="false">Tasks[[#This Row],[_Res3WorkPerWD]]*MAX(0,Tasks[[#This Row],[_StartWorkday]]-1)</f>
        <v>0</v>
      </c>
      <c r="DI59" s="45" t="n">
        <f aca="false">Tasks[[#This Row],[_Res3Work]]*Tasks[[#This Row],[_LeafProgress]]</f>
        <v>0</v>
      </c>
      <c r="DJ59" s="45" t="n">
        <f aca="false">IF(Tasks[[#This Row],[_LeafTotalCost]]=0,0,Tasks[[#This Row],[_LeafAC]]*Tasks[[#This Row],[_Res3Cost]]/Tasks[[#This Row],[_LeafTotalCost]])</f>
        <v>0</v>
      </c>
      <c r="DK5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5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59" s="45" t="n">
        <f aca="false">IF(OR(NOT(Tasks[[#This Row],[_IsLeaf]]=1),Tasks[[#This Row],[_Res4]]=""),0,IF(ISNA(MATCH(Tasks[[#This Row],[_Res4]],res_Name,0)),0,N(Tasks[[#This Row],[Duration]])*HoursPerDay*IF(Tasks[[#This Row],[_Res4Units]]="",DefaultUnits,Tasks[[#This Row],[_Res4Units]])))</f>
        <v>0</v>
      </c>
      <c r="DN59" s="45" t="n">
        <f aca="false">IF(Tasks[[#This Row],[_Res4Work]]=0,0,Tasks[[#This Row],[_Res4Work]]*IFERROR(INDEX(res_Rate,MATCH(Tasks[[#This Row],[_Res4]],res_Name,0)),0))</f>
        <v>0</v>
      </c>
      <c r="DO59" s="45" t="n">
        <f aca="false">IF(AND(AND(Tasks[[#This Row],[_IsLeaf]]=1,Tasks[[#This Row],[_LeafTotalWork]]&gt;0),Tasks[[#This Row],[_Res4Work]]&gt;0),Tasks[[#This Row],[_Res4Work]]/(Tasks[[#This Row],[_FinishWorkday]]-Tasks[[#This Row],[_StartWorkday]]+1),0)</f>
        <v>0</v>
      </c>
      <c r="DP59" s="45" t="n">
        <f aca="false">Tasks[[#This Row],[_Res4WorkPerWD]]*MAX(0,Tasks[[#This Row],[_StartWorkday]]-1)</f>
        <v>0</v>
      </c>
      <c r="DQ59" s="45" t="n">
        <f aca="false">Tasks[[#This Row],[_Res4Work]]*Tasks[[#This Row],[_LeafProgress]]</f>
        <v>0</v>
      </c>
      <c r="DR59" s="45" t="n">
        <f aca="false">IF(Tasks[[#This Row],[_LeafTotalCost]]=0,0,Tasks[[#This Row],[_LeafAC]]*Tasks[[#This Row],[_Res4Cost]]/Tasks[[#This Row],[_LeafTotalCost]])</f>
        <v>0</v>
      </c>
      <c r="DS59" s="45" t="n">
        <f aca="false">IF(ISNUMBER(Tasks[[#This Row],[% Complete]]),Tasks[[#This Row],[% Complete]],IF(Tasks[[#This Row],[Stage]]="",0,IFERROR(INDEX(stg_Pct,MATCH(Tasks[[#This Row],[Stage]],stg_Name,0)),0)))</f>
        <v>0</v>
      </c>
      <c r="DT59" s="45" t="n">
        <f aca="false">IF(NOT(Tasks[[#This Row],[_IsLeaf]]=1),0,IF(N(Tasks[[#This Row],[Actual Finish]])&gt;0,1,MIN(1,Tasks[[#This Row],[_Pct]])))</f>
        <v>0</v>
      </c>
      <c r="DU59" s="45" t="n">
        <f aca="false">IF(OR(NOT(Tasks[[#This Row],[_IsLeaf]]=1),Tasks[[#This Row],[_Resource1]]=""),0,IF(ISNA(MATCH(Tasks[[#This Row],[_Resource1]],res_Name,0)),0,N(Tasks[[#This Row],[Duration]])*HoursPerDay*IF(Tasks[[#This Row],[_Units1]]="",DefaultUnits,Tasks[[#This Row],[_Units1]])))</f>
        <v>0</v>
      </c>
      <c r="DV59" s="45" t="n">
        <f aca="false">IF(Tasks[[#This Row],[_LeafWork]]=0,0,Tasks[[#This Row],[_LeafWork]]*IFERROR(INDEX(res_Rate,MATCH(Tasks[[#This Row],[_Resource1]],res_Name,0)),0))</f>
        <v>0</v>
      </c>
      <c r="DW59" s="45" t="n">
        <f aca="false">Tasks[[#This Row],[_LeafWork]]+Tasks[[#This Row],[_Res2Work]]+Tasks[[#This Row],[_Res3Work]]+Tasks[[#This Row],[_Res4Work]]</f>
        <v>0</v>
      </c>
      <c r="DX59" s="45" t="n">
        <f aca="false">Tasks[[#This Row],[_LeafCost]]+Tasks[[#This Row],[_Res2Cost]]+Tasks[[#This Row],[_Res3Cost]]+Tasks[[#This Row],[_Res4Cost]]</f>
        <v>0</v>
      </c>
      <c r="DY59" s="45" t="n">
        <f aca="false">IF(Tasks[[#This Row],[_LeafTotalCost]]=0,Tasks[[#This Row],[_LeafAC]],Tasks[[#This Row],[_LeafAC]]*Tasks[[#This Row],[_LeafCost]]/Tasks[[#This Row],[_LeafTotalCost]])</f>
        <v>0</v>
      </c>
      <c r="DZ5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5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5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5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5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5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5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5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59" s="45" t="n">
        <f aca="false">IF(NOT(Tasks[[#This Row],[_IsLeaf]]=1),0,MAX(_xlfn.MAXIFS(Tasks[_Row],Tasks[_Pred1UID],Tasks[[#This Row],[UID]]),_xlfn.MAXIFS(Tasks[_Row],Tasks[_Pred2UID],Tasks[[#This Row],[UID]]),_xlfn.MAXIFS(Tasks[_Row],Tasks[_Pred3UID],Tasks[[#This Row],[UID]]),_xlfn.MAXIFS(Tasks[_Row],Tasks[_Pred4UID],Tasks[[#This Row],[UID]])))</f>
        <v>0</v>
      </c>
      <c r="EI5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5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59" s="74" t="str">
        <f aca="false">IF(NOT(Tasks[[#This Row],[_IsLeaf]]=1),"",IF(N(Tasks[[#This Row],[Duration]])&lt;=0,Tasks[[#This Row],[_LeafLateFinish]],WORKDAY.INTL(Tasks[[#This Row],[_LeafLateFinish]],-(Tasks[[#This Row],[Duration]]-1),WorkWeek,Holidays)))</f>
        <v/>
      </c>
      <c r="EL5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59" s="73" t="b">
        <f aca="false">AND(Tasks[[#This Row],[_IsLeaf]]=1,Tasks[[#This Row],[_LeafProgress]]&lt;1,N(Tasks[[#This Row],[_LeafTotalSlack]])&lt;=CriticalSlackDays)</f>
        <v>0</v>
      </c>
      <c r="EN59" s="45" t="n">
        <f aca="false">IF(AND(Tasks[[#This Row],[_IsLeaf]]=1,Tasks[[#This Row],[_ConstraintCode]]=1,Tasks[[#This Row],[Mode]]&lt;&gt;"Manual",N(Tasks[[#This Row],[Actual Start]])=0),MAX(0,N(Tasks[[#This Row],[Free Slack]])),0)</f>
        <v>0</v>
      </c>
      <c r="EO59" s="74" t="str">
        <f aca="false">IF(NOT(Tasks[[#This Row],[_IsLeaf]]=1),"",IF(Tasks[[#This Row],[_AlapShift]]=0,Tasks[[#This Row],[_LeafCalcStart]],WORKDAY.INTL(Tasks[[#This Row],[_LeafCalcStart]],Tasks[[#This Row],[_AlapShift]],WorkWeek,Holidays)))</f>
        <v/>
      </c>
      <c r="EP59" s="74" t="str">
        <f aca="false">IF(NOT(Tasks[[#This Row],[_IsLeaf]]=1),"",IF(Tasks[[#This Row],[_AlapShift]]=0,Tasks[[#This Row],[_LeafCalcFinish]],WORKDAY.INTL(Tasks[[#This Row],[_LeafCalcFinish]],Tasks[[#This Row],[_AlapShift]],WorkWeek,Holidays)))</f>
        <v/>
      </c>
      <c r="EQ59" s="74" t="str">
        <f aca="false">IF(NOT(Tasks[[#This Row],[_IsLeaf]]=1),"",IF(Tasks[[#This Row],[_AlapShift]]=0,Tasks[[#This Row],[_LeafFcstStart]],WORKDAY.INTL(Tasks[[#This Row],[_LeafFcstStart]],Tasks[[#This Row],[_AlapShift]],WorkWeek,Holidays)))</f>
        <v/>
      </c>
      <c r="ER59" s="74" t="str">
        <f aca="false">IF(NOT(Tasks[[#This Row],[_IsLeaf]]=1),"",IF(Tasks[[#This Row],[_AlapShift]]=0,Tasks[[#This Row],[_LeafFcstFinish]],WORKDAY.INTL(Tasks[[#This Row],[_LeafFcstFinish]],Tasks[[#This Row],[_AlapShift]],WorkWeek,Holidays)))</f>
        <v/>
      </c>
      <c r="ES59" s="74" t="str">
        <f aca="false">IF(Tasks[[#This Row],[Task Name]]="","",IF(Tasks[[#This Row],[_IsSummary]],MIN(INDEX(Tasks[_ShownCalcStart],Tasks[[#This Row],[_Row]]+1):INDEX(Tasks[_ShownCalcStart],Tasks[[#This Row],[_Row]]+Tasks[[#This Row],[_Descendants]])),Tasks[[#This Row],[_ShownCalcStart]]))</f>
        <v/>
      </c>
      <c r="ET59" s="74" t="str">
        <f aca="false">IF(Tasks[[#This Row],[Task Name]]="","",IF(Tasks[[#This Row],[_IsSummary]],MAX(INDEX(Tasks[_ShownCalcFinish],Tasks[[#This Row],[_Row]]+1):INDEX(Tasks[_ShownCalcFinish],Tasks[[#This Row],[_Row]]+Tasks[[#This Row],[_Descendants]])),Tasks[[#This Row],[_ShownCalcFinish]]))</f>
        <v/>
      </c>
      <c r="EU5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5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5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5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5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5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5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5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5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5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5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5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59" s="45" t="n">
        <f aca="false">IF(AND(Tasks[[#This Row],[_IsLeaf]]=1,Tasks[[#This Row],[_LeafTotalWork]]&gt;0),NETWORKDAYS.INTL(ProjectStart,Tasks[[#This Row],[_ShownFcstStart]],WorkWeek,Holidays),0)</f>
        <v>0</v>
      </c>
      <c r="FH59" s="45" t="n">
        <f aca="false">IF(AND(Tasks[[#This Row],[_IsLeaf]]=1,Tasks[[#This Row],[_LeafTotalWork]]&gt;0),MAX(Tasks[[#This Row],[_StartWorkday]],NETWORKDAYS.INTL(ProjectStart,Tasks[[#This Row],[_ShownFcstFinish]],WorkWeek,Holidays)),0)</f>
        <v>0</v>
      </c>
      <c r="FI59" s="45" t="n">
        <f aca="false">IF(AND(Tasks[[#This Row],[_IsLeaf]]=1,Tasks[[#This Row],[_LeafTotalWork]]&gt;0),Tasks[[#This Row],[_LeafWork]]/(Tasks[[#This Row],[_FinishWorkday]]-Tasks[[#This Row],[_StartWorkday]]+1),0)</f>
        <v>0</v>
      </c>
      <c r="FJ59" s="45" t="n">
        <f aca="false">Tasks[[#This Row],[_WorkPerWorkday]]*(Tasks[[#This Row],[_StartWorkday]]-1)</f>
        <v>-0</v>
      </c>
      <c r="FK59" s="45" t="n">
        <f aca="false">IF(Tasks[[#This Row],[_IsLeaf]]=1,MAX(N(Tasks[[#This Row],[Duration]]),0.1),0)</f>
        <v>0</v>
      </c>
      <c r="FL59" s="45" t="n">
        <f aca="false">Tasks[[#This Row],[_WeightDur]]*Tasks[[#This Row],[_LeafProgress]]</f>
        <v>0</v>
      </c>
      <c r="FM5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59" s="45" t="str">
        <f aca="false">IF(AND(Tasks[[#This Row],[_IsLeaf]]=1,N(Tasks[[#This Row],[Duration]])=0,Tasks[[#This Row],[_LeafProgress]]&lt;1),Tasks[[#This Row],[_ShownFcstFinish]]+Tasks[[#This Row],[_Row]]/100000,"")</f>
        <v/>
      </c>
      <c r="FO5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59" s="45" t="n">
        <f aca="false">IF(NOT(Tasks[[#This Row],[_IsLeaf]]=1),0,IF(Tasks[[#This Row],[Baseline Cost]]="",Tasks[[#This Row],[_LeafTotalCost]],N(Tasks[[#This Row],[Baseline Cost]])))</f>
        <v>0</v>
      </c>
      <c r="FQ59" s="45" t="n">
        <f aca="false">Tasks[[#This Row],[_LeafBudget]]*Tasks[[#This Row],[_PlannedPct]]</f>
        <v>0</v>
      </c>
      <c r="FR59" s="45" t="n">
        <f aca="false">Tasks[[#This Row],[_LeafBudget]]*Tasks[[#This Row],[_LeafProgress]]</f>
        <v>0</v>
      </c>
      <c r="FS59" s="45" t="n">
        <f aca="false">IF(NOT(Tasks[[#This Row],[_IsLeaf]]=1),0,IF(Tasks[[#This Row],[Actual Cost]]="",Tasks[[#This Row],[_LeafTotalCost]]*Tasks[[#This Row],[_LeafProgress]],N(Tasks[[#This Row],[Actual Cost]])))</f>
        <v>0</v>
      </c>
      <c r="FT59" s="45" t="str">
        <f aca="false">IF(Tasks[[#This Row],[Task Name]]="","",LEFT(Tasks[[#This Row],[WBS]],FIND(".",Tasks[[#This Row],[WBS]]&amp;".")-1))</f>
        <v/>
      </c>
      <c r="FU59" s="45" t="str">
        <f aca="false">IF(AND(Tasks[[#This Row],[Task Name]]&lt;&gt;"",Tasks[[#This Row],[_Level]]=1),Tasks[[#This Row],[_Row]],"")</f>
        <v/>
      </c>
      <c r="FV59" s="45" t="str">
        <f aca="false">IF(AND(Tasks[[#This Row],[_IsLeaf]]=1,N(Tasks[[#This Row],[Duration]])=0),Tasks[[#This Row],[Planned Finish]]+Tasks[[#This Row],[_Row]]/100000,"")</f>
        <v/>
      </c>
      <c r="FW59" s="45" t="str">
        <f aca="false">IF(AND(Tasks[[#This Row],[_IsLeaf]]=1,Tasks[[#This Row],[_LeafProgress]]&lt;1,OR(N(Tasks[[#This Row],[Finish Var]])&gt;0,Tasks[[#This Row],[Status]]="Late Start")),MAX(0,Tasks[[#This Row],[Finish Var]])+1-Tasks[[#This Row],[_Row]]/1000000,"")</f>
        <v/>
      </c>
      <c r="FX59" s="45" t="str">
        <f aca="false">IF(AND(Tasks[[#This Row],[_IsLeaf]]=1,N(Tasks[[#This Row],[Actual Start]])=0,Tasks[[#This Row],[_ShownFcstStart]]&gt;=StatusDate,Tasks[[#This Row],[_ShownFcstStart]]&lt;=LookaheadEnd),Tasks[[#This Row],[_ShownFcstStart]]+Tasks[[#This Row],[_Row]]/100000,"")</f>
        <v/>
      </c>
      <c r="FY59" s="45" t="str">
        <f aca="false">IF(AND(Tasks[[#This Row],[_IsLeaf]]=1,Tasks[[#This Row],[_LeafProgress]]&lt;1,Tasks[[#This Row],[_ShownFcstFinish]]&gt;=StatusDate,Tasks[[#This Row],[_ShownFcstFinish]]&lt;=LookaheadEnd),Tasks[[#This Row],[_ShownFcstFinish]]+Tasks[[#This Row],[_Row]]/100000,"")</f>
        <v/>
      </c>
      <c r="FZ59" s="45" t="str">
        <f aca="false">IF(Tasks[[#This Row],[_LeafCritical]],Tasks[[#This Row],[_ShownFcstStart]]+Tasks[[#This Row],[_Row]]/100000,"")</f>
        <v/>
      </c>
      <c r="GA59" s="45" t="n">
        <f aca="false">Tasks[[#This Row],[_LeafWork]]*Tasks[[#This Row],[_LeafProgress]]</f>
        <v>0</v>
      </c>
      <c r="GB59" s="74" t="str">
        <f aca="false">IF(AND(Tasks[[#This Row],[_IsLeaf]]=1,Tasks[[#This Row],[_LeafProgress]]&gt;=1),IF(N(Tasks[[#This Row],[Actual Finish]])&gt;0,Tasks[[#This Row],[Actual Finish]],Tasks[[#This Row],[_ShownFcstFinish]]),"")</f>
        <v/>
      </c>
    </row>
    <row r="60" customFormat="false" ht="15" hidden="false" customHeight="false" outlineLevel="0" collapsed="false">
      <c r="A60" s="67" t="str">
        <f aca="false">IF(Tasks[[#This Row],[Task Name]]="","",COUNTA(Tasks[[#Headers],[Task Name]]:Tasks[[#This Row],[Task Name]])-1)</f>
        <v/>
      </c>
      <c r="B60" s="21" t="n">
        <v>55</v>
      </c>
      <c r="C6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21"/>
      <c r="E60" s="22"/>
      <c r="F60" s="21"/>
      <c r="G60" s="22"/>
      <c r="H60" s="22"/>
      <c r="I60" s="22"/>
      <c r="J60" s="7"/>
      <c r="K60" s="7"/>
      <c r="L60" s="22"/>
      <c r="M60" s="58" t="str">
        <f aca="false">IF(Tasks[[#This Row],[Task Name]]="","",IF(Tasks[[#This Row],[_IsSummary]],MIN(INDEX(Tasks[_ShownFcstStart],Tasks[[#This Row],[_Row]]+1):INDEX(Tasks[_ShownFcstStart],Tasks[[#This Row],[_Row]]+Tasks[[#This Row],[_Descendants]])),Tasks[[#This Row],[_ShownFcstStart]]))</f>
        <v/>
      </c>
      <c r="N60" s="58" t="str">
        <f aca="false">IF(Tasks[[#This Row],[Task Name]]="","",IF(Tasks[[#This Row],[_IsSummary]],MAX(INDEX(Tasks[_ShownFcstFinish],Tasks[[#This Row],[_Row]]+1):INDEX(Tasks[_ShownFcstFinish],Tasks[[#This Row],[_Row]]+Tasks[[#This Row],[_Descendants]])),Tasks[[#This Row],[_ShownFcstFinish]]))</f>
        <v/>
      </c>
      <c r="O60" s="20" t="str">
        <f aca="false">IF(Tasks[[#This Row],[Task Name]]="","",IF(Tasks[[#This Row],[Progress]]&gt;=1,"Complete",IF(OR(N(Tasks[[#This Row],[Actual Start]])&gt;0,Tasks[[#This Row],[Progress]]&gt;0),IF(Tasks[[#This Row],[Finish Var]]&gt;0,"Behind","In Progress"),IF(Tasks[[#This Row],[Planned Start]]&lt;StatusDate,"Late Start","Not Started"))))</f>
        <v/>
      </c>
      <c r="P60" s="20" t="str">
        <f aca="false">IF(Tasks[[#This Row],[Task Name]]="","",IF(IF(Tasks[[#This Row],[_IsSummary]],COUNTIF(INDEX(Tasks[_LeafCritical],Tasks[[#This Row],[_Row]]+1):INDEX(Tasks[_LeafCritical],Tasks[[#This Row],[_Row]]+Tasks[[#This Row],[_Descendants]]),TRUE())&gt;0,Tasks[[#This Row],[_LeafCritical]]),"Yes",""))</f>
        <v/>
      </c>
      <c r="Q6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60" s="67" t="str">
        <f aca="false">IF(Tasks[[#This Row],[Task Name]]="","",IF(Tasks[[#This Row],[_Level]]&lt;=OutlineShowLevel,"Yes","No"))</f>
        <v/>
      </c>
      <c r="S60" s="7"/>
      <c r="T60" s="21"/>
      <c r="U60" s="22"/>
      <c r="V60" s="7"/>
      <c r="W60" s="67" t="str">
        <f aca="false">IF(Tasks[[#This Row],[Task Name]]="","",IF(Tasks[[#This Row],[Finish]]&gt;=Tasks[[#This Row],[Planned Finish]],NETWORKDAYS.INTL(Tasks[[#This Row],[Planned Finish]],Tasks[[#This Row],[Finish]],WorkWeek,Holidays)-1,1-NETWORKDAYS.INTL(Tasks[[#This Row],[Finish]],Tasks[[#This Row],[Planned Finish]],WorkWeek,Holidays)))</f>
        <v/>
      </c>
      <c r="X60" s="58" t="str">
        <f aca="false">IF(Tasks[[#This Row],[Task Name]]="","",IF(N(Tasks[[#This Row],[Baseline Start]])&gt;0,Tasks[[#This Row],[Baseline Start]],Tasks[[#This Row],[_CalcStart]]))</f>
        <v/>
      </c>
      <c r="Y60" s="58" t="str">
        <f aca="false">IF(Tasks[[#This Row],[Task Name]]="","",IF(N(Tasks[[#This Row],[Baseline Finish]])&gt;0,Tasks[[#This Row],[Baseline Finish]],Tasks[[#This Row],[_CalcFinish]]))</f>
        <v/>
      </c>
      <c r="Z60" s="67" t="str">
        <f aca="false">IF(Tasks[[#This Row],[Task Name]]="","",IF(Tasks[[#This Row],[Start]]&gt;=Tasks[[#This Row],[Planned Start]],NETWORKDAYS.INTL(Tasks[[#This Row],[Planned Start]],Tasks[[#This Row],[Start]],WorkWeek,Holidays)-1,1-NETWORKDAYS.INTL(Tasks[[#This Row],[Start]],Tasks[[#This Row],[Planned Start]],WorkWeek,Holidays)))</f>
        <v/>
      </c>
      <c r="AA60" s="58" t="str">
        <f aca="false">IF(Tasks[[#This Row],[Task Name]]="","",IF(Tasks[[#This Row],[_IsSummary]],MIN(INDEX(Tasks[_LeafLateStart],Tasks[[#This Row],[_Row]]+1):INDEX(Tasks[_LeafLateStart],Tasks[[#This Row],[_Row]]+Tasks[[#This Row],[_Descendants]])),Tasks[[#This Row],[_LeafLateStart]]))</f>
        <v/>
      </c>
      <c r="AB60" s="58" t="str">
        <f aca="false">IF(Tasks[[#This Row],[Task Name]]="","",IF(Tasks[[#This Row],[_IsSummary]],MAX(INDEX(Tasks[_LeafLateFinish],Tasks[[#This Row],[_Row]]+1):INDEX(Tasks[_LeafLateFinish],Tasks[[#This Row],[_Row]]+Tasks[[#This Row],[_Descendants]])),Tasks[[#This Row],[_LeafLateFinish]]))</f>
        <v/>
      </c>
      <c r="AC60" s="67" t="str">
        <f aca="false">IF(Tasks[[#This Row],[Task Name]]="","",IF(Tasks[[#This Row],[_IsSummary]],MIN(INDEX(Tasks[_LeafTotalSlack],Tasks[[#This Row],[_Row]]+1):INDEX(Tasks[_LeafTotalSlack],Tasks[[#This Row],[_Row]]+Tasks[[#This Row],[_Descendants]])),Tasks[[#This Row],[_LeafTotalSlack]]))</f>
        <v/>
      </c>
      <c r="AD6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6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6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60" s="60"/>
      <c r="AH6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6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60" s="69" t="str">
        <f aca="false">IF(Tasks[[#This Row],[Task Name]]="","",IF(Tasks[[#This Row],[_IsSummary]],SUM(INDEX(Tasks[_LeafTotalWork],Tasks[[#This Row],[_Row]]+1):INDEX(Tasks[_LeafTotalWork],Tasks[[#This Row],[_Row]]+Tasks[[#This Row],[_Descendants]])),Tasks[[#This Row],[_LeafTotalWork]]))</f>
        <v/>
      </c>
      <c r="AK6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60" s="70" t="str">
        <f aca="false">IF(Tasks[[#This Row],[Task Name]]="","",IF(Tasks[[#This Row],[_IsSummary]],SUM(INDEX(Tasks[_LeafTotalCost],Tasks[[#This Row],[_Row]]+1):INDEX(Tasks[_LeafTotalCost],Tasks[[#This Row],[_Row]]+Tasks[[#This Row],[_Descendants]])),Tasks[[#This Row],[_LeafTotalCost]]))</f>
        <v/>
      </c>
      <c r="AM60" s="71"/>
      <c r="AN60" s="20" t="str">
        <f aca="false">IF(OR(Tasks[[#This Row],[Task Name]]="",Tasks[[#This Row],[Baseline Duration]]=""),"",Tasks[[#This Row],[BL Source Duration]]-N(Tasks[[#This Row],[Baseline Duration]]))</f>
        <v/>
      </c>
      <c r="AO60" s="69" t="str">
        <f aca="false">IF(OR(Tasks[[#This Row],[Task Name]]="",Tasks[[#This Row],[Baseline Work]]=""),"",Tasks[[#This Row],[Work]]-N(Tasks[[#This Row],[Baseline Work]]))</f>
        <v/>
      </c>
      <c r="AP60" s="70" t="str">
        <f aca="false">IF(OR(Tasks[[#This Row],[Task Name]]="",Tasks[[#This Row],[Baseline Cost]]=""),"",Tasks[[#This Row],[Cost]]-N(Tasks[[#This Row],[Baseline Cost]]))</f>
        <v/>
      </c>
      <c r="AQ60" s="58" t="str">
        <f aca="false">IF(Tasks[[#This Row],[Task Name]]="","",Tasks[[#This Row],[Start]])</f>
        <v/>
      </c>
      <c r="AR60" s="58" t="str">
        <f aca="false">IF(Tasks[[#This Row],[Task Name]]="","",Tasks[[#This Row],[Finish]])</f>
        <v/>
      </c>
      <c r="AS60" s="67" t="str">
        <f aca="false">IF(Tasks[[#This Row],[Task Name]]="","",IF(Tasks[[#This Row],[_IsSummary]],NETWORKDAYS.INTL(Tasks[[#This Row],[Start]],Tasks[[#This Row],[Finish]],WorkWeek,Holidays),N(Tasks[[#This Row],[Duration]])))</f>
        <v/>
      </c>
      <c r="AT60" s="69" t="str">
        <f aca="false">IF(Tasks[[#This Row],[Task Name]]="","",Tasks[[#This Row],[Work]])</f>
        <v/>
      </c>
      <c r="AU60" s="70" t="str">
        <f aca="false">IF(Tasks[[#This Row],[Task Name]]="","",Tasks[[#This Row],[Cost]])</f>
        <v/>
      </c>
      <c r="AV60" s="7"/>
      <c r="AW60" s="7"/>
      <c r="AX60" s="21"/>
      <c r="AY60" s="72"/>
      <c r="AZ60" s="71"/>
      <c r="BA60" s="70" t="str">
        <f aca="false">IF(Tasks[[#This Row],[Task Name]]="","",IF(Tasks[[#This Row],[_IsSummary]],SUM(INDEX(Tasks[_LeafEV],Tasks[[#This Row],[_Row]]+1):INDEX(Tasks[_LeafEV],Tasks[[#This Row],[_Row]]+Tasks[[#This Row],[_Descendants]])),Tasks[[#This Row],[_LeafEV]]))</f>
        <v/>
      </c>
      <c r="BB60" s="70" t="str">
        <f aca="false">IF(Tasks[[#This Row],[Task Name]]="","",IF(Tasks[[#This Row],[_IsSummary]],SUM(INDEX(Tasks[_LeafBudget],Tasks[[#This Row],[_Row]]+1):INDEX(Tasks[_LeafBudget],Tasks[[#This Row],[_Row]]+Tasks[[#This Row],[_Descendants]])),Tasks[[#This Row],[_LeafBudget]]))</f>
        <v/>
      </c>
      <c r="BC60" s="70" t="str">
        <f aca="false">IF(Tasks[[#This Row],[Task Name]]="","",IF(Tasks[[#This Row],[_IsSummary]],SUM(INDEX(Tasks[_LeafPV],Tasks[[#This Row],[_Row]]+1):INDEX(Tasks[_LeafPV],Tasks[[#This Row],[_Row]]+Tasks[[#This Row],[_Descendants]])),Tasks[[#This Row],[_LeafPV]]))</f>
        <v/>
      </c>
      <c r="BD60" s="70" t="str">
        <f aca="false">IF(Tasks[[#This Row],[Task Name]]="","",IF(Tasks[[#This Row],[_IsSummary]],SUM(INDEX(Tasks[_LeafAC],Tasks[[#This Row],[_Row]]+1):INDEX(Tasks[_LeafAC],Tasks[[#This Row],[_Row]]+Tasks[[#This Row],[_Descendants]])),Tasks[[#This Row],[_LeafAC]]))</f>
        <v/>
      </c>
      <c r="BE60" s="45" t="str">
        <f aca="false">IF(Tasks[[#This Row],[Task Name]]="","",MAX(1,N(Tasks[[#This Row],[Level]])))</f>
        <v/>
      </c>
      <c r="BF60" s="45" t="n">
        <f aca="false">ROW()-ROW(Tasks[[#Headers],[ID]])</f>
        <v>55</v>
      </c>
      <c r="BG60" s="45" t="n">
        <f aca="false">IF(OR(Tasks[[#This Row],[Task Name]]="",Tasks[[#This Row],[_Level]]&lt;=1),0,IFERROR(LOOKUP(2,1/(Tasks[[#Headers],[_Level]]:Tasks[[#This Row],[_Level]]=Tasks[[#This Row],[_Level]]-1),ROW(Tasks[[#Headers],[_Level]]:Tasks[[#This Row],[_Level]])),0))</f>
        <v>0</v>
      </c>
      <c r="BH60" s="45" t="n">
        <f aca="false">IFERROR(N(INDEX(Tasks[_Level],Tasks[[#This Row],[_Row]]+1)),0)</f>
        <v>0</v>
      </c>
      <c r="BI60" s="73" t="b">
        <f aca="false">AND(Tasks[[#This Row],[Task Name]]&lt;&gt;"",Tasks[[#This Row],[_NextLevel]]&gt;Tasks[[#This Row],[_Level]])</f>
        <v>0</v>
      </c>
      <c r="BJ60" s="45" t="n">
        <f aca="false">IF(Tasks[[#This Row],[_IsSummary]],COUNTIF(Tasks[WBS],Tasks[[#This Row],[WBS]]&amp;".*"),0)</f>
        <v>0</v>
      </c>
      <c r="BK60" s="45" t="n">
        <f aca="false">IF(AND(Tasks[[#This Row],[Task Name]]&lt;&gt;"",NOT(Tasks[[#This Row],[_IsSummary]])),1,0)</f>
        <v>0</v>
      </c>
      <c r="BL60" s="45" t="n">
        <f aca="false">IF(N(Tasks[[#This Row],[_Pred1UID]])=0,0,IFERROR(MATCH(Tasks[[#This Row],[_Pred1UID]],Tasks[UID],0),-1))</f>
        <v>0</v>
      </c>
      <c r="BM60" s="45" t="n">
        <f aca="false">IF(N(Tasks[[#This Row],[_Pred2UID]])=0,0,IFERROR(MATCH(Tasks[[#This Row],[_Pred2UID]],Tasks[UID],0),-1))</f>
        <v>0</v>
      </c>
      <c r="BN60" s="45" t="n">
        <f aca="false">IF(N(Tasks[[#This Row],[_Pred3UID]])=0,0,IFERROR(MATCH(Tasks[[#This Row],[_Pred3UID]],Tasks[UID],0),-1))</f>
        <v>0</v>
      </c>
      <c r="BO60" s="45" t="n">
        <f aca="false">IF(N(Tasks[[#This Row],[_Pred4UID]])=0,0,IFERROR(MATCH(Tasks[[#This Row],[_Pred4UID]],Tasks[UID],0),-1))</f>
        <v>0</v>
      </c>
      <c r="BP6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6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60" s="74" t="n">
        <f aca="false">IF(OR(Tasks[[#This Row],[_ConstraintCode]]=2,Tasks[[#This Row],[_ConstraintCode]]=3,Tasks[[#This Row],[_ConstraintCode]]=4,Tasks[[#This Row],[_ConstraintCode]]=6),Tasks[[#This Row],[_ConstraintStart]],0)</f>
        <v>0</v>
      </c>
      <c r="BS60" s="74" t="n">
        <f aca="false">IF(OR(Tasks[[#This Row],[_ConstraintCode]]=2,Tasks[[#This Row],[_ConstraintCode]]=3,Tasks[[#This Row],[_ConstraintCode]]=5,Tasks[[#This Row],[_ConstraintCode]]=7),Tasks[[#This Row],[_ConstraintStart]],2958465)</f>
        <v>2958465</v>
      </c>
      <c r="BT6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60" s="74" t="str">
        <f aca="false">IF(NOT(Tasks[[#This Row],[_IsLeaf]]=1),"",IF(N(Tasks[[#This Row],[Duration]])&lt;=0,Tasks[[#This Row],[_LeafCalcStart]],WORKDAY.INTL(Tasks[[#This Row],[_LeafCalcStart]],Tasks[[#This Row],[Duration]]-1,WorkWeek,Holidays)))</f>
        <v/>
      </c>
      <c r="BV6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6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60" s="45" t="str">
        <f aca="false">IF(Tasks[[#This Row],[Predecessors]]="","",TRIM(MID(SUBSTITUTE(SUBSTITUTE(SUBSTITUTE(UPPER(Tasks[[#This Row],[Predecessors]]),";",",")," ",""),",",REPT(" ",99)),1,99)))</f>
        <v/>
      </c>
      <c r="BY60" s="45" t="str">
        <f aca="false">IF(Tasks[[#This Row],[_Pred1Text]]="","",IFERROR(VALUE(LEFT(Tasks[[#This Row],[_Pred1Text]],MIN(FIND("F",Tasks[[#This Row],[_Pred1Text]]&amp;"F"),FIND("S",Tasks[[#This Row],[_Pred1Text]]&amp;"S"),FIND("+",Tasks[[#This Row],[_Pred1Text]]&amp;"+"),FIND("-",Tasks[[#This Row],[_Pred1Text]]&amp;"-"))-1)),""))</f>
        <v/>
      </c>
      <c r="BZ6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6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60" s="45" t="str">
        <f aca="false">IF(Tasks[[#This Row],[_Pred1Text]]="","",TRIM(MID(SUBSTITUTE(SUBSTITUTE(SUBSTITUTE(UPPER(Tasks[[#This Row],[Predecessors]]),";",",")," ",""),",",REPT(" ",99)),100,99)))</f>
        <v/>
      </c>
      <c r="CC60" s="45" t="str">
        <f aca="false">IF(Tasks[[#This Row],[_Pred2Text]]="","",IFERROR(VALUE(LEFT(Tasks[[#This Row],[_Pred2Text]],MIN(FIND("F",Tasks[[#This Row],[_Pred2Text]]&amp;"F"),FIND("S",Tasks[[#This Row],[_Pred2Text]]&amp;"S"),FIND("+",Tasks[[#This Row],[_Pred2Text]]&amp;"+"),FIND("-",Tasks[[#This Row],[_Pred2Text]]&amp;"-"))-1)),""))</f>
        <v/>
      </c>
      <c r="CD6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6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60" s="45" t="str">
        <f aca="false">IF(Tasks[[#This Row],[_Pred2Text]]="","",TRIM(MID(SUBSTITUTE(SUBSTITUTE(SUBSTITUTE(UPPER(Tasks[[#This Row],[Predecessors]]),";",",")," ",""),",",REPT(" ",99)),199,99)))</f>
        <v/>
      </c>
      <c r="CG60" s="45" t="str">
        <f aca="false">IF(Tasks[[#This Row],[_Pred3Text]]="","",IFERROR(VALUE(LEFT(Tasks[[#This Row],[_Pred3Text]],MIN(FIND("F",Tasks[[#This Row],[_Pred3Text]]&amp;"F"),FIND("S",Tasks[[#This Row],[_Pred3Text]]&amp;"S"),FIND("+",Tasks[[#This Row],[_Pred3Text]]&amp;"+"),FIND("-",Tasks[[#This Row],[_Pred3Text]]&amp;"-"))-1)),""))</f>
        <v/>
      </c>
      <c r="CH6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6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60" s="45" t="str">
        <f aca="false">IF(Tasks[[#This Row],[_Pred3Text]]="","",TRIM(MID(SUBSTITUTE(SUBSTITUTE(SUBSTITUTE(UPPER(Tasks[[#This Row],[Predecessors]]),";",",")," ",""),",",REPT(" ",99)),298,99)))</f>
        <v/>
      </c>
      <c r="CK60" s="45" t="str">
        <f aca="false">IF(Tasks[[#This Row],[_Pred4Text]]="","",IFERROR(VALUE(LEFT(Tasks[[#This Row],[_Pred4Text]],MIN(FIND("F",Tasks[[#This Row],[_Pred4Text]]&amp;"F"),FIND("S",Tasks[[#This Row],[_Pred4Text]]&amp;"S"),FIND("+",Tasks[[#This Row],[_Pred4Text]]&amp;"+"),FIND("-",Tasks[[#This Row],[_Pred4Text]]&amp;"-"))-1)),""))</f>
        <v/>
      </c>
      <c r="CL6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6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60" s="45" t="str">
        <f aca="false">IF(OR(Tasks[[#This Row],[Task Name]]="",Tasks[[#This Row],[Resources]]=""),"",TRIM(MID(SUBSTITUTE(Tasks[[#This Row],[Resources]],",",REPT(" ",99)),1,99)))</f>
        <v/>
      </c>
      <c r="CO60" s="45" t="str">
        <f aca="false">IF(Tasks[[#This Row],[_Res1Text]]="","",TRIM(MID(SUBSTITUTE(Tasks[[#This Row],[Resources]],",",REPT(" ",99)),100,99)))</f>
        <v/>
      </c>
      <c r="CP60" s="45" t="str">
        <f aca="false">IF(Tasks[[#This Row],[_Res2Text]]="","",TRIM(MID(SUBSTITUTE(Tasks[[#This Row],[Resources]],",",REPT(" ",99)),199,99)))</f>
        <v/>
      </c>
      <c r="CQ60" s="45" t="str">
        <f aca="false">IF(Tasks[[#This Row],[_Res3Text]]="","",TRIM(MID(SUBSTITUTE(Tasks[[#This Row],[Resources]],",",REPT(" ",99)),298,99)))</f>
        <v/>
      </c>
      <c r="CR6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6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0" s="45" t="n">
        <f aca="false">IF(NOT(Tasks[[#This Row],[_IsLeaf]]=1),0,(Tasks[[#This Row],[_Resource1]]&lt;&gt;"")+(Tasks[[#This Row],[_Res2]]&lt;&gt;"")+(Tasks[[#This Row],[_Res3]]&lt;&gt;"")+(Tasks[[#This Row],[_Res4]]&lt;&gt;""))</f>
        <v>0</v>
      </c>
      <c r="CU6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6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0" s="45" t="n">
        <f aca="false">IF(OR(NOT(Tasks[[#This Row],[_IsLeaf]]=1),Tasks[[#This Row],[_Res2]]=""),0,IF(ISNA(MATCH(Tasks[[#This Row],[_Res2]],res_Name,0)),0,N(Tasks[[#This Row],[Duration]])*HoursPerDay*IF(Tasks[[#This Row],[_Res2Units]]="",DefaultUnits,Tasks[[#This Row],[_Res2Units]])))</f>
        <v>0</v>
      </c>
      <c r="CX60" s="45" t="n">
        <f aca="false">IF(Tasks[[#This Row],[_Res2Work]]=0,0,Tasks[[#This Row],[_Res2Work]]*IFERROR(INDEX(res_Rate,MATCH(Tasks[[#This Row],[_Res2]],res_Name,0)),0))</f>
        <v>0</v>
      </c>
      <c r="CY60" s="45" t="n">
        <f aca="false">IF(AND(AND(Tasks[[#This Row],[_IsLeaf]]=1,Tasks[[#This Row],[_LeafTotalWork]]&gt;0),Tasks[[#This Row],[_Res2Work]]&gt;0),Tasks[[#This Row],[_Res2Work]]/(Tasks[[#This Row],[_FinishWorkday]]-Tasks[[#This Row],[_StartWorkday]]+1),0)</f>
        <v>0</v>
      </c>
      <c r="CZ60" s="45" t="n">
        <f aca="false">Tasks[[#This Row],[_Res2WorkPerWD]]*MAX(0,Tasks[[#This Row],[_StartWorkday]]-1)</f>
        <v>0</v>
      </c>
      <c r="DA60" s="45" t="n">
        <f aca="false">Tasks[[#This Row],[_Res2Work]]*Tasks[[#This Row],[_LeafProgress]]</f>
        <v>0</v>
      </c>
      <c r="DB60" s="45" t="n">
        <f aca="false">IF(Tasks[[#This Row],[_LeafTotalCost]]=0,0,Tasks[[#This Row],[_LeafAC]]*Tasks[[#This Row],[_Res2Cost]]/Tasks[[#This Row],[_LeafTotalCost]])</f>
        <v>0</v>
      </c>
      <c r="DC6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6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60" s="45" t="n">
        <f aca="false">IF(OR(NOT(Tasks[[#This Row],[_IsLeaf]]=1),Tasks[[#This Row],[_Res3]]=""),0,IF(ISNA(MATCH(Tasks[[#This Row],[_Res3]],res_Name,0)),0,N(Tasks[[#This Row],[Duration]])*HoursPerDay*IF(Tasks[[#This Row],[_Res3Units]]="",DefaultUnits,Tasks[[#This Row],[_Res3Units]])))</f>
        <v>0</v>
      </c>
      <c r="DF60" s="45" t="n">
        <f aca="false">IF(Tasks[[#This Row],[_Res3Work]]=0,0,Tasks[[#This Row],[_Res3Work]]*IFERROR(INDEX(res_Rate,MATCH(Tasks[[#This Row],[_Res3]],res_Name,0)),0))</f>
        <v>0</v>
      </c>
      <c r="DG60" s="45" t="n">
        <f aca="false">IF(AND(AND(Tasks[[#This Row],[_IsLeaf]]=1,Tasks[[#This Row],[_LeafTotalWork]]&gt;0),Tasks[[#This Row],[_Res3Work]]&gt;0),Tasks[[#This Row],[_Res3Work]]/(Tasks[[#This Row],[_FinishWorkday]]-Tasks[[#This Row],[_StartWorkday]]+1),0)</f>
        <v>0</v>
      </c>
      <c r="DH60" s="45" t="n">
        <f aca="false">Tasks[[#This Row],[_Res3WorkPerWD]]*MAX(0,Tasks[[#This Row],[_StartWorkday]]-1)</f>
        <v>0</v>
      </c>
      <c r="DI60" s="45" t="n">
        <f aca="false">Tasks[[#This Row],[_Res3Work]]*Tasks[[#This Row],[_LeafProgress]]</f>
        <v>0</v>
      </c>
      <c r="DJ60" s="45" t="n">
        <f aca="false">IF(Tasks[[#This Row],[_LeafTotalCost]]=0,0,Tasks[[#This Row],[_LeafAC]]*Tasks[[#This Row],[_Res3Cost]]/Tasks[[#This Row],[_LeafTotalCost]])</f>
        <v>0</v>
      </c>
      <c r="DK6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6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60" s="45" t="n">
        <f aca="false">IF(OR(NOT(Tasks[[#This Row],[_IsLeaf]]=1),Tasks[[#This Row],[_Res4]]=""),0,IF(ISNA(MATCH(Tasks[[#This Row],[_Res4]],res_Name,0)),0,N(Tasks[[#This Row],[Duration]])*HoursPerDay*IF(Tasks[[#This Row],[_Res4Units]]="",DefaultUnits,Tasks[[#This Row],[_Res4Units]])))</f>
        <v>0</v>
      </c>
      <c r="DN60" s="45" t="n">
        <f aca="false">IF(Tasks[[#This Row],[_Res4Work]]=0,0,Tasks[[#This Row],[_Res4Work]]*IFERROR(INDEX(res_Rate,MATCH(Tasks[[#This Row],[_Res4]],res_Name,0)),0))</f>
        <v>0</v>
      </c>
      <c r="DO60" s="45" t="n">
        <f aca="false">IF(AND(AND(Tasks[[#This Row],[_IsLeaf]]=1,Tasks[[#This Row],[_LeafTotalWork]]&gt;0),Tasks[[#This Row],[_Res4Work]]&gt;0),Tasks[[#This Row],[_Res4Work]]/(Tasks[[#This Row],[_FinishWorkday]]-Tasks[[#This Row],[_StartWorkday]]+1),0)</f>
        <v>0</v>
      </c>
      <c r="DP60" s="45" t="n">
        <f aca="false">Tasks[[#This Row],[_Res4WorkPerWD]]*MAX(0,Tasks[[#This Row],[_StartWorkday]]-1)</f>
        <v>0</v>
      </c>
      <c r="DQ60" s="45" t="n">
        <f aca="false">Tasks[[#This Row],[_Res4Work]]*Tasks[[#This Row],[_LeafProgress]]</f>
        <v>0</v>
      </c>
      <c r="DR60" s="45" t="n">
        <f aca="false">IF(Tasks[[#This Row],[_LeafTotalCost]]=0,0,Tasks[[#This Row],[_LeafAC]]*Tasks[[#This Row],[_Res4Cost]]/Tasks[[#This Row],[_LeafTotalCost]])</f>
        <v>0</v>
      </c>
      <c r="DS60" s="45" t="n">
        <f aca="false">IF(ISNUMBER(Tasks[[#This Row],[% Complete]]),Tasks[[#This Row],[% Complete]],IF(Tasks[[#This Row],[Stage]]="",0,IFERROR(INDEX(stg_Pct,MATCH(Tasks[[#This Row],[Stage]],stg_Name,0)),0)))</f>
        <v>0</v>
      </c>
      <c r="DT60" s="45" t="n">
        <f aca="false">IF(NOT(Tasks[[#This Row],[_IsLeaf]]=1),0,IF(N(Tasks[[#This Row],[Actual Finish]])&gt;0,1,MIN(1,Tasks[[#This Row],[_Pct]])))</f>
        <v>0</v>
      </c>
      <c r="DU60" s="45" t="n">
        <f aca="false">IF(OR(NOT(Tasks[[#This Row],[_IsLeaf]]=1),Tasks[[#This Row],[_Resource1]]=""),0,IF(ISNA(MATCH(Tasks[[#This Row],[_Resource1]],res_Name,0)),0,N(Tasks[[#This Row],[Duration]])*HoursPerDay*IF(Tasks[[#This Row],[_Units1]]="",DefaultUnits,Tasks[[#This Row],[_Units1]])))</f>
        <v>0</v>
      </c>
      <c r="DV60" s="45" t="n">
        <f aca="false">IF(Tasks[[#This Row],[_LeafWork]]=0,0,Tasks[[#This Row],[_LeafWork]]*IFERROR(INDEX(res_Rate,MATCH(Tasks[[#This Row],[_Resource1]],res_Name,0)),0))</f>
        <v>0</v>
      </c>
      <c r="DW60" s="45" t="n">
        <f aca="false">Tasks[[#This Row],[_LeafWork]]+Tasks[[#This Row],[_Res2Work]]+Tasks[[#This Row],[_Res3Work]]+Tasks[[#This Row],[_Res4Work]]</f>
        <v>0</v>
      </c>
      <c r="DX60" s="45" t="n">
        <f aca="false">Tasks[[#This Row],[_LeafCost]]+Tasks[[#This Row],[_Res2Cost]]+Tasks[[#This Row],[_Res3Cost]]+Tasks[[#This Row],[_Res4Cost]]</f>
        <v>0</v>
      </c>
      <c r="DY60" s="45" t="n">
        <f aca="false">IF(Tasks[[#This Row],[_LeafTotalCost]]=0,Tasks[[#This Row],[_LeafAC]],Tasks[[#This Row],[_LeafAC]]*Tasks[[#This Row],[_LeafCost]]/Tasks[[#This Row],[_LeafTotalCost]])</f>
        <v>0</v>
      </c>
      <c r="DZ6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6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6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6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6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6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6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6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60" s="45" t="n">
        <f aca="false">IF(NOT(Tasks[[#This Row],[_IsLeaf]]=1),0,MAX(_xlfn.MAXIFS(Tasks[_Row],Tasks[_Pred1UID],Tasks[[#This Row],[UID]]),_xlfn.MAXIFS(Tasks[_Row],Tasks[_Pred2UID],Tasks[[#This Row],[UID]]),_xlfn.MAXIFS(Tasks[_Row],Tasks[_Pred3UID],Tasks[[#This Row],[UID]]),_xlfn.MAXIFS(Tasks[_Row],Tasks[_Pred4UID],Tasks[[#This Row],[UID]])))</f>
        <v>0</v>
      </c>
      <c r="EI6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6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60" s="74" t="str">
        <f aca="false">IF(NOT(Tasks[[#This Row],[_IsLeaf]]=1),"",IF(N(Tasks[[#This Row],[Duration]])&lt;=0,Tasks[[#This Row],[_LeafLateFinish]],WORKDAY.INTL(Tasks[[#This Row],[_LeafLateFinish]],-(Tasks[[#This Row],[Duration]]-1),WorkWeek,Holidays)))</f>
        <v/>
      </c>
      <c r="EL6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60" s="73" t="b">
        <f aca="false">AND(Tasks[[#This Row],[_IsLeaf]]=1,Tasks[[#This Row],[_LeafProgress]]&lt;1,N(Tasks[[#This Row],[_LeafTotalSlack]])&lt;=CriticalSlackDays)</f>
        <v>0</v>
      </c>
      <c r="EN60" s="45" t="n">
        <f aca="false">IF(AND(Tasks[[#This Row],[_IsLeaf]]=1,Tasks[[#This Row],[_ConstraintCode]]=1,Tasks[[#This Row],[Mode]]&lt;&gt;"Manual",N(Tasks[[#This Row],[Actual Start]])=0),MAX(0,N(Tasks[[#This Row],[Free Slack]])),0)</f>
        <v>0</v>
      </c>
      <c r="EO60" s="74" t="str">
        <f aca="false">IF(NOT(Tasks[[#This Row],[_IsLeaf]]=1),"",IF(Tasks[[#This Row],[_AlapShift]]=0,Tasks[[#This Row],[_LeafCalcStart]],WORKDAY.INTL(Tasks[[#This Row],[_LeafCalcStart]],Tasks[[#This Row],[_AlapShift]],WorkWeek,Holidays)))</f>
        <v/>
      </c>
      <c r="EP60" s="74" t="str">
        <f aca="false">IF(NOT(Tasks[[#This Row],[_IsLeaf]]=1),"",IF(Tasks[[#This Row],[_AlapShift]]=0,Tasks[[#This Row],[_LeafCalcFinish]],WORKDAY.INTL(Tasks[[#This Row],[_LeafCalcFinish]],Tasks[[#This Row],[_AlapShift]],WorkWeek,Holidays)))</f>
        <v/>
      </c>
      <c r="EQ60" s="74" t="str">
        <f aca="false">IF(NOT(Tasks[[#This Row],[_IsLeaf]]=1),"",IF(Tasks[[#This Row],[_AlapShift]]=0,Tasks[[#This Row],[_LeafFcstStart]],WORKDAY.INTL(Tasks[[#This Row],[_LeafFcstStart]],Tasks[[#This Row],[_AlapShift]],WorkWeek,Holidays)))</f>
        <v/>
      </c>
      <c r="ER60" s="74" t="str">
        <f aca="false">IF(NOT(Tasks[[#This Row],[_IsLeaf]]=1),"",IF(Tasks[[#This Row],[_AlapShift]]=0,Tasks[[#This Row],[_LeafFcstFinish]],WORKDAY.INTL(Tasks[[#This Row],[_LeafFcstFinish]],Tasks[[#This Row],[_AlapShift]],WorkWeek,Holidays)))</f>
        <v/>
      </c>
      <c r="ES60" s="74" t="str">
        <f aca="false">IF(Tasks[[#This Row],[Task Name]]="","",IF(Tasks[[#This Row],[_IsSummary]],MIN(INDEX(Tasks[_ShownCalcStart],Tasks[[#This Row],[_Row]]+1):INDEX(Tasks[_ShownCalcStart],Tasks[[#This Row],[_Row]]+Tasks[[#This Row],[_Descendants]])),Tasks[[#This Row],[_ShownCalcStart]]))</f>
        <v/>
      </c>
      <c r="ET60" s="74" t="str">
        <f aca="false">IF(Tasks[[#This Row],[Task Name]]="","",IF(Tasks[[#This Row],[_IsSummary]],MAX(INDEX(Tasks[_ShownCalcFinish],Tasks[[#This Row],[_Row]]+1):INDEX(Tasks[_ShownCalcFinish],Tasks[[#This Row],[_Row]]+Tasks[[#This Row],[_Descendants]])),Tasks[[#This Row],[_ShownCalcFinish]]))</f>
        <v/>
      </c>
      <c r="EU6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6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6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6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6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6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6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6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6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6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6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6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60" s="45" t="n">
        <f aca="false">IF(AND(Tasks[[#This Row],[_IsLeaf]]=1,Tasks[[#This Row],[_LeafTotalWork]]&gt;0),NETWORKDAYS.INTL(ProjectStart,Tasks[[#This Row],[_ShownFcstStart]],WorkWeek,Holidays),0)</f>
        <v>0</v>
      </c>
      <c r="FH60" s="45" t="n">
        <f aca="false">IF(AND(Tasks[[#This Row],[_IsLeaf]]=1,Tasks[[#This Row],[_LeafTotalWork]]&gt;0),MAX(Tasks[[#This Row],[_StartWorkday]],NETWORKDAYS.INTL(ProjectStart,Tasks[[#This Row],[_ShownFcstFinish]],WorkWeek,Holidays)),0)</f>
        <v>0</v>
      </c>
      <c r="FI60" s="45" t="n">
        <f aca="false">IF(AND(Tasks[[#This Row],[_IsLeaf]]=1,Tasks[[#This Row],[_LeafTotalWork]]&gt;0),Tasks[[#This Row],[_LeafWork]]/(Tasks[[#This Row],[_FinishWorkday]]-Tasks[[#This Row],[_StartWorkday]]+1),0)</f>
        <v>0</v>
      </c>
      <c r="FJ60" s="45" t="n">
        <f aca="false">Tasks[[#This Row],[_WorkPerWorkday]]*(Tasks[[#This Row],[_StartWorkday]]-1)</f>
        <v>-0</v>
      </c>
      <c r="FK60" s="45" t="n">
        <f aca="false">IF(Tasks[[#This Row],[_IsLeaf]]=1,MAX(N(Tasks[[#This Row],[Duration]]),0.1),0)</f>
        <v>0</v>
      </c>
      <c r="FL60" s="45" t="n">
        <f aca="false">Tasks[[#This Row],[_WeightDur]]*Tasks[[#This Row],[_LeafProgress]]</f>
        <v>0</v>
      </c>
      <c r="FM6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60" s="45" t="str">
        <f aca="false">IF(AND(Tasks[[#This Row],[_IsLeaf]]=1,N(Tasks[[#This Row],[Duration]])=0,Tasks[[#This Row],[_LeafProgress]]&lt;1),Tasks[[#This Row],[_ShownFcstFinish]]+Tasks[[#This Row],[_Row]]/100000,"")</f>
        <v/>
      </c>
      <c r="FO6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60" s="45" t="n">
        <f aca="false">IF(NOT(Tasks[[#This Row],[_IsLeaf]]=1),0,IF(Tasks[[#This Row],[Baseline Cost]]="",Tasks[[#This Row],[_LeafTotalCost]],N(Tasks[[#This Row],[Baseline Cost]])))</f>
        <v>0</v>
      </c>
      <c r="FQ60" s="45" t="n">
        <f aca="false">Tasks[[#This Row],[_LeafBudget]]*Tasks[[#This Row],[_PlannedPct]]</f>
        <v>0</v>
      </c>
      <c r="FR60" s="45" t="n">
        <f aca="false">Tasks[[#This Row],[_LeafBudget]]*Tasks[[#This Row],[_LeafProgress]]</f>
        <v>0</v>
      </c>
      <c r="FS60" s="45" t="n">
        <f aca="false">IF(NOT(Tasks[[#This Row],[_IsLeaf]]=1),0,IF(Tasks[[#This Row],[Actual Cost]]="",Tasks[[#This Row],[_LeafTotalCost]]*Tasks[[#This Row],[_LeafProgress]],N(Tasks[[#This Row],[Actual Cost]])))</f>
        <v>0</v>
      </c>
      <c r="FT60" s="45" t="str">
        <f aca="false">IF(Tasks[[#This Row],[Task Name]]="","",LEFT(Tasks[[#This Row],[WBS]],FIND(".",Tasks[[#This Row],[WBS]]&amp;".")-1))</f>
        <v/>
      </c>
      <c r="FU60" s="45" t="str">
        <f aca="false">IF(AND(Tasks[[#This Row],[Task Name]]&lt;&gt;"",Tasks[[#This Row],[_Level]]=1),Tasks[[#This Row],[_Row]],"")</f>
        <v/>
      </c>
      <c r="FV60" s="45" t="str">
        <f aca="false">IF(AND(Tasks[[#This Row],[_IsLeaf]]=1,N(Tasks[[#This Row],[Duration]])=0),Tasks[[#This Row],[Planned Finish]]+Tasks[[#This Row],[_Row]]/100000,"")</f>
        <v/>
      </c>
      <c r="FW60" s="45" t="str">
        <f aca="false">IF(AND(Tasks[[#This Row],[_IsLeaf]]=1,Tasks[[#This Row],[_LeafProgress]]&lt;1,OR(N(Tasks[[#This Row],[Finish Var]])&gt;0,Tasks[[#This Row],[Status]]="Late Start")),MAX(0,Tasks[[#This Row],[Finish Var]])+1-Tasks[[#This Row],[_Row]]/1000000,"")</f>
        <v/>
      </c>
      <c r="FX60" s="45" t="str">
        <f aca="false">IF(AND(Tasks[[#This Row],[_IsLeaf]]=1,N(Tasks[[#This Row],[Actual Start]])=0,Tasks[[#This Row],[_ShownFcstStart]]&gt;=StatusDate,Tasks[[#This Row],[_ShownFcstStart]]&lt;=LookaheadEnd),Tasks[[#This Row],[_ShownFcstStart]]+Tasks[[#This Row],[_Row]]/100000,"")</f>
        <v/>
      </c>
      <c r="FY60" s="45" t="str">
        <f aca="false">IF(AND(Tasks[[#This Row],[_IsLeaf]]=1,Tasks[[#This Row],[_LeafProgress]]&lt;1,Tasks[[#This Row],[_ShownFcstFinish]]&gt;=StatusDate,Tasks[[#This Row],[_ShownFcstFinish]]&lt;=LookaheadEnd),Tasks[[#This Row],[_ShownFcstFinish]]+Tasks[[#This Row],[_Row]]/100000,"")</f>
        <v/>
      </c>
      <c r="FZ60" s="45" t="str">
        <f aca="false">IF(Tasks[[#This Row],[_LeafCritical]],Tasks[[#This Row],[_ShownFcstStart]]+Tasks[[#This Row],[_Row]]/100000,"")</f>
        <v/>
      </c>
      <c r="GA60" s="45" t="n">
        <f aca="false">Tasks[[#This Row],[_LeafWork]]*Tasks[[#This Row],[_LeafProgress]]</f>
        <v>0</v>
      </c>
      <c r="GB60" s="74" t="str">
        <f aca="false">IF(AND(Tasks[[#This Row],[_IsLeaf]]=1,Tasks[[#This Row],[_LeafProgress]]&gt;=1),IF(N(Tasks[[#This Row],[Actual Finish]])&gt;0,Tasks[[#This Row],[Actual Finish]],Tasks[[#This Row],[_ShownFcstFinish]]),"")</f>
        <v/>
      </c>
    </row>
    <row r="61" customFormat="false" ht="15" hidden="false" customHeight="false" outlineLevel="0" collapsed="false">
      <c r="A61" s="67" t="str">
        <f aca="false">IF(Tasks[[#This Row],[Task Name]]="","",COUNTA(Tasks[[#Headers],[Task Name]]:Tasks[[#This Row],[Task Name]])-1)</f>
        <v/>
      </c>
      <c r="B61" s="21" t="n">
        <v>56</v>
      </c>
      <c r="C6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21"/>
      <c r="E61" s="22"/>
      <c r="F61" s="21"/>
      <c r="G61" s="22"/>
      <c r="H61" s="22"/>
      <c r="I61" s="22"/>
      <c r="J61" s="7"/>
      <c r="K61" s="7"/>
      <c r="L61" s="22"/>
      <c r="M61" s="58" t="str">
        <f aca="false">IF(Tasks[[#This Row],[Task Name]]="","",IF(Tasks[[#This Row],[_IsSummary]],MIN(INDEX(Tasks[_ShownFcstStart],Tasks[[#This Row],[_Row]]+1):INDEX(Tasks[_ShownFcstStart],Tasks[[#This Row],[_Row]]+Tasks[[#This Row],[_Descendants]])),Tasks[[#This Row],[_ShownFcstStart]]))</f>
        <v/>
      </c>
      <c r="N61" s="58" t="str">
        <f aca="false">IF(Tasks[[#This Row],[Task Name]]="","",IF(Tasks[[#This Row],[_IsSummary]],MAX(INDEX(Tasks[_ShownFcstFinish],Tasks[[#This Row],[_Row]]+1):INDEX(Tasks[_ShownFcstFinish],Tasks[[#This Row],[_Row]]+Tasks[[#This Row],[_Descendants]])),Tasks[[#This Row],[_ShownFcstFinish]]))</f>
        <v/>
      </c>
      <c r="O61" s="20" t="str">
        <f aca="false">IF(Tasks[[#This Row],[Task Name]]="","",IF(Tasks[[#This Row],[Progress]]&gt;=1,"Complete",IF(OR(N(Tasks[[#This Row],[Actual Start]])&gt;0,Tasks[[#This Row],[Progress]]&gt;0),IF(Tasks[[#This Row],[Finish Var]]&gt;0,"Behind","In Progress"),IF(Tasks[[#This Row],[Planned Start]]&lt;StatusDate,"Late Start","Not Started"))))</f>
        <v/>
      </c>
      <c r="P61" s="20" t="str">
        <f aca="false">IF(Tasks[[#This Row],[Task Name]]="","",IF(IF(Tasks[[#This Row],[_IsSummary]],COUNTIF(INDEX(Tasks[_LeafCritical],Tasks[[#This Row],[_Row]]+1):INDEX(Tasks[_LeafCritical],Tasks[[#This Row],[_Row]]+Tasks[[#This Row],[_Descendants]]),TRUE())&gt;0,Tasks[[#This Row],[_LeafCritical]]),"Yes",""))</f>
        <v/>
      </c>
      <c r="Q6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61" s="67" t="str">
        <f aca="false">IF(Tasks[[#This Row],[Task Name]]="","",IF(Tasks[[#This Row],[_Level]]&lt;=OutlineShowLevel,"Yes","No"))</f>
        <v/>
      </c>
      <c r="S61" s="7"/>
      <c r="T61" s="21"/>
      <c r="U61" s="22"/>
      <c r="V61" s="7"/>
      <c r="W61" s="67" t="str">
        <f aca="false">IF(Tasks[[#This Row],[Task Name]]="","",IF(Tasks[[#This Row],[Finish]]&gt;=Tasks[[#This Row],[Planned Finish]],NETWORKDAYS.INTL(Tasks[[#This Row],[Planned Finish]],Tasks[[#This Row],[Finish]],WorkWeek,Holidays)-1,1-NETWORKDAYS.INTL(Tasks[[#This Row],[Finish]],Tasks[[#This Row],[Planned Finish]],WorkWeek,Holidays)))</f>
        <v/>
      </c>
      <c r="X61" s="58" t="str">
        <f aca="false">IF(Tasks[[#This Row],[Task Name]]="","",IF(N(Tasks[[#This Row],[Baseline Start]])&gt;0,Tasks[[#This Row],[Baseline Start]],Tasks[[#This Row],[_CalcStart]]))</f>
        <v/>
      </c>
      <c r="Y61" s="58" t="str">
        <f aca="false">IF(Tasks[[#This Row],[Task Name]]="","",IF(N(Tasks[[#This Row],[Baseline Finish]])&gt;0,Tasks[[#This Row],[Baseline Finish]],Tasks[[#This Row],[_CalcFinish]]))</f>
        <v/>
      </c>
      <c r="Z61" s="67" t="str">
        <f aca="false">IF(Tasks[[#This Row],[Task Name]]="","",IF(Tasks[[#This Row],[Start]]&gt;=Tasks[[#This Row],[Planned Start]],NETWORKDAYS.INTL(Tasks[[#This Row],[Planned Start]],Tasks[[#This Row],[Start]],WorkWeek,Holidays)-1,1-NETWORKDAYS.INTL(Tasks[[#This Row],[Start]],Tasks[[#This Row],[Planned Start]],WorkWeek,Holidays)))</f>
        <v/>
      </c>
      <c r="AA61" s="58" t="str">
        <f aca="false">IF(Tasks[[#This Row],[Task Name]]="","",IF(Tasks[[#This Row],[_IsSummary]],MIN(INDEX(Tasks[_LeafLateStart],Tasks[[#This Row],[_Row]]+1):INDEX(Tasks[_LeafLateStart],Tasks[[#This Row],[_Row]]+Tasks[[#This Row],[_Descendants]])),Tasks[[#This Row],[_LeafLateStart]]))</f>
        <v/>
      </c>
      <c r="AB61" s="58" t="str">
        <f aca="false">IF(Tasks[[#This Row],[Task Name]]="","",IF(Tasks[[#This Row],[_IsSummary]],MAX(INDEX(Tasks[_LeafLateFinish],Tasks[[#This Row],[_Row]]+1):INDEX(Tasks[_LeafLateFinish],Tasks[[#This Row],[_Row]]+Tasks[[#This Row],[_Descendants]])),Tasks[[#This Row],[_LeafLateFinish]]))</f>
        <v/>
      </c>
      <c r="AC61" s="67" t="str">
        <f aca="false">IF(Tasks[[#This Row],[Task Name]]="","",IF(Tasks[[#This Row],[_IsSummary]],MIN(INDEX(Tasks[_LeafTotalSlack],Tasks[[#This Row],[_Row]]+1):INDEX(Tasks[_LeafTotalSlack],Tasks[[#This Row],[_Row]]+Tasks[[#This Row],[_Descendants]])),Tasks[[#This Row],[_LeafTotalSlack]]))</f>
        <v/>
      </c>
      <c r="AD6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6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6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61" s="60"/>
      <c r="AH6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6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61" s="69" t="str">
        <f aca="false">IF(Tasks[[#This Row],[Task Name]]="","",IF(Tasks[[#This Row],[_IsSummary]],SUM(INDEX(Tasks[_LeafTotalWork],Tasks[[#This Row],[_Row]]+1):INDEX(Tasks[_LeafTotalWork],Tasks[[#This Row],[_Row]]+Tasks[[#This Row],[_Descendants]])),Tasks[[#This Row],[_LeafTotalWork]]))</f>
        <v/>
      </c>
      <c r="AK6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61" s="70" t="str">
        <f aca="false">IF(Tasks[[#This Row],[Task Name]]="","",IF(Tasks[[#This Row],[_IsSummary]],SUM(INDEX(Tasks[_LeafTotalCost],Tasks[[#This Row],[_Row]]+1):INDEX(Tasks[_LeafTotalCost],Tasks[[#This Row],[_Row]]+Tasks[[#This Row],[_Descendants]])),Tasks[[#This Row],[_LeafTotalCost]]))</f>
        <v/>
      </c>
      <c r="AM61" s="71"/>
      <c r="AN61" s="20" t="str">
        <f aca="false">IF(OR(Tasks[[#This Row],[Task Name]]="",Tasks[[#This Row],[Baseline Duration]]=""),"",Tasks[[#This Row],[BL Source Duration]]-N(Tasks[[#This Row],[Baseline Duration]]))</f>
        <v/>
      </c>
      <c r="AO61" s="69" t="str">
        <f aca="false">IF(OR(Tasks[[#This Row],[Task Name]]="",Tasks[[#This Row],[Baseline Work]]=""),"",Tasks[[#This Row],[Work]]-N(Tasks[[#This Row],[Baseline Work]]))</f>
        <v/>
      </c>
      <c r="AP61" s="70" t="str">
        <f aca="false">IF(OR(Tasks[[#This Row],[Task Name]]="",Tasks[[#This Row],[Baseline Cost]]=""),"",Tasks[[#This Row],[Cost]]-N(Tasks[[#This Row],[Baseline Cost]]))</f>
        <v/>
      </c>
      <c r="AQ61" s="58" t="str">
        <f aca="false">IF(Tasks[[#This Row],[Task Name]]="","",Tasks[[#This Row],[Start]])</f>
        <v/>
      </c>
      <c r="AR61" s="58" t="str">
        <f aca="false">IF(Tasks[[#This Row],[Task Name]]="","",Tasks[[#This Row],[Finish]])</f>
        <v/>
      </c>
      <c r="AS61" s="67" t="str">
        <f aca="false">IF(Tasks[[#This Row],[Task Name]]="","",IF(Tasks[[#This Row],[_IsSummary]],NETWORKDAYS.INTL(Tasks[[#This Row],[Start]],Tasks[[#This Row],[Finish]],WorkWeek,Holidays),N(Tasks[[#This Row],[Duration]])))</f>
        <v/>
      </c>
      <c r="AT61" s="69" t="str">
        <f aca="false">IF(Tasks[[#This Row],[Task Name]]="","",Tasks[[#This Row],[Work]])</f>
        <v/>
      </c>
      <c r="AU61" s="70" t="str">
        <f aca="false">IF(Tasks[[#This Row],[Task Name]]="","",Tasks[[#This Row],[Cost]])</f>
        <v/>
      </c>
      <c r="AV61" s="7"/>
      <c r="AW61" s="7"/>
      <c r="AX61" s="21"/>
      <c r="AY61" s="72"/>
      <c r="AZ61" s="71"/>
      <c r="BA61" s="70" t="str">
        <f aca="false">IF(Tasks[[#This Row],[Task Name]]="","",IF(Tasks[[#This Row],[_IsSummary]],SUM(INDEX(Tasks[_LeafEV],Tasks[[#This Row],[_Row]]+1):INDEX(Tasks[_LeafEV],Tasks[[#This Row],[_Row]]+Tasks[[#This Row],[_Descendants]])),Tasks[[#This Row],[_LeafEV]]))</f>
        <v/>
      </c>
      <c r="BB61" s="70" t="str">
        <f aca="false">IF(Tasks[[#This Row],[Task Name]]="","",IF(Tasks[[#This Row],[_IsSummary]],SUM(INDEX(Tasks[_LeafBudget],Tasks[[#This Row],[_Row]]+1):INDEX(Tasks[_LeafBudget],Tasks[[#This Row],[_Row]]+Tasks[[#This Row],[_Descendants]])),Tasks[[#This Row],[_LeafBudget]]))</f>
        <v/>
      </c>
      <c r="BC61" s="70" t="str">
        <f aca="false">IF(Tasks[[#This Row],[Task Name]]="","",IF(Tasks[[#This Row],[_IsSummary]],SUM(INDEX(Tasks[_LeafPV],Tasks[[#This Row],[_Row]]+1):INDEX(Tasks[_LeafPV],Tasks[[#This Row],[_Row]]+Tasks[[#This Row],[_Descendants]])),Tasks[[#This Row],[_LeafPV]]))</f>
        <v/>
      </c>
      <c r="BD61" s="70" t="str">
        <f aca="false">IF(Tasks[[#This Row],[Task Name]]="","",IF(Tasks[[#This Row],[_IsSummary]],SUM(INDEX(Tasks[_LeafAC],Tasks[[#This Row],[_Row]]+1):INDEX(Tasks[_LeafAC],Tasks[[#This Row],[_Row]]+Tasks[[#This Row],[_Descendants]])),Tasks[[#This Row],[_LeafAC]]))</f>
        <v/>
      </c>
      <c r="BE61" s="45" t="str">
        <f aca="false">IF(Tasks[[#This Row],[Task Name]]="","",MAX(1,N(Tasks[[#This Row],[Level]])))</f>
        <v/>
      </c>
      <c r="BF61" s="45" t="n">
        <f aca="false">ROW()-ROW(Tasks[[#Headers],[ID]])</f>
        <v>56</v>
      </c>
      <c r="BG61" s="45" t="n">
        <f aca="false">IF(OR(Tasks[[#This Row],[Task Name]]="",Tasks[[#This Row],[_Level]]&lt;=1),0,IFERROR(LOOKUP(2,1/(Tasks[[#Headers],[_Level]]:Tasks[[#This Row],[_Level]]=Tasks[[#This Row],[_Level]]-1),ROW(Tasks[[#Headers],[_Level]]:Tasks[[#This Row],[_Level]])),0))</f>
        <v>0</v>
      </c>
      <c r="BH61" s="45" t="n">
        <f aca="false">IFERROR(N(INDEX(Tasks[_Level],Tasks[[#This Row],[_Row]]+1)),0)</f>
        <v>0</v>
      </c>
      <c r="BI61" s="73" t="b">
        <f aca="false">AND(Tasks[[#This Row],[Task Name]]&lt;&gt;"",Tasks[[#This Row],[_NextLevel]]&gt;Tasks[[#This Row],[_Level]])</f>
        <v>0</v>
      </c>
      <c r="BJ61" s="45" t="n">
        <f aca="false">IF(Tasks[[#This Row],[_IsSummary]],COUNTIF(Tasks[WBS],Tasks[[#This Row],[WBS]]&amp;".*"),0)</f>
        <v>0</v>
      </c>
      <c r="BK61" s="45" t="n">
        <f aca="false">IF(AND(Tasks[[#This Row],[Task Name]]&lt;&gt;"",NOT(Tasks[[#This Row],[_IsSummary]])),1,0)</f>
        <v>0</v>
      </c>
      <c r="BL61" s="45" t="n">
        <f aca="false">IF(N(Tasks[[#This Row],[_Pred1UID]])=0,0,IFERROR(MATCH(Tasks[[#This Row],[_Pred1UID]],Tasks[UID],0),-1))</f>
        <v>0</v>
      </c>
      <c r="BM61" s="45" t="n">
        <f aca="false">IF(N(Tasks[[#This Row],[_Pred2UID]])=0,0,IFERROR(MATCH(Tasks[[#This Row],[_Pred2UID]],Tasks[UID],0),-1))</f>
        <v>0</v>
      </c>
      <c r="BN61" s="45" t="n">
        <f aca="false">IF(N(Tasks[[#This Row],[_Pred3UID]])=0,0,IFERROR(MATCH(Tasks[[#This Row],[_Pred3UID]],Tasks[UID],0),-1))</f>
        <v>0</v>
      </c>
      <c r="BO61" s="45" t="n">
        <f aca="false">IF(N(Tasks[[#This Row],[_Pred4UID]])=0,0,IFERROR(MATCH(Tasks[[#This Row],[_Pred4UID]],Tasks[UID],0),-1))</f>
        <v>0</v>
      </c>
      <c r="BP6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6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61" s="74" t="n">
        <f aca="false">IF(OR(Tasks[[#This Row],[_ConstraintCode]]=2,Tasks[[#This Row],[_ConstraintCode]]=3,Tasks[[#This Row],[_ConstraintCode]]=4,Tasks[[#This Row],[_ConstraintCode]]=6),Tasks[[#This Row],[_ConstraintStart]],0)</f>
        <v>0</v>
      </c>
      <c r="BS61" s="74" t="n">
        <f aca="false">IF(OR(Tasks[[#This Row],[_ConstraintCode]]=2,Tasks[[#This Row],[_ConstraintCode]]=3,Tasks[[#This Row],[_ConstraintCode]]=5,Tasks[[#This Row],[_ConstraintCode]]=7),Tasks[[#This Row],[_ConstraintStart]],2958465)</f>
        <v>2958465</v>
      </c>
      <c r="BT6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61" s="74" t="str">
        <f aca="false">IF(NOT(Tasks[[#This Row],[_IsLeaf]]=1),"",IF(N(Tasks[[#This Row],[Duration]])&lt;=0,Tasks[[#This Row],[_LeafCalcStart]],WORKDAY.INTL(Tasks[[#This Row],[_LeafCalcStart]],Tasks[[#This Row],[Duration]]-1,WorkWeek,Holidays)))</f>
        <v/>
      </c>
      <c r="BV6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6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61" s="45" t="str">
        <f aca="false">IF(Tasks[[#This Row],[Predecessors]]="","",TRIM(MID(SUBSTITUTE(SUBSTITUTE(SUBSTITUTE(UPPER(Tasks[[#This Row],[Predecessors]]),";",",")," ",""),",",REPT(" ",99)),1,99)))</f>
        <v/>
      </c>
      <c r="BY61" s="45" t="str">
        <f aca="false">IF(Tasks[[#This Row],[_Pred1Text]]="","",IFERROR(VALUE(LEFT(Tasks[[#This Row],[_Pred1Text]],MIN(FIND("F",Tasks[[#This Row],[_Pred1Text]]&amp;"F"),FIND("S",Tasks[[#This Row],[_Pred1Text]]&amp;"S"),FIND("+",Tasks[[#This Row],[_Pred1Text]]&amp;"+"),FIND("-",Tasks[[#This Row],[_Pred1Text]]&amp;"-"))-1)),""))</f>
        <v/>
      </c>
      <c r="BZ6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6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61" s="45" t="str">
        <f aca="false">IF(Tasks[[#This Row],[_Pred1Text]]="","",TRIM(MID(SUBSTITUTE(SUBSTITUTE(SUBSTITUTE(UPPER(Tasks[[#This Row],[Predecessors]]),";",",")," ",""),",",REPT(" ",99)),100,99)))</f>
        <v/>
      </c>
      <c r="CC61" s="45" t="str">
        <f aca="false">IF(Tasks[[#This Row],[_Pred2Text]]="","",IFERROR(VALUE(LEFT(Tasks[[#This Row],[_Pred2Text]],MIN(FIND("F",Tasks[[#This Row],[_Pred2Text]]&amp;"F"),FIND("S",Tasks[[#This Row],[_Pred2Text]]&amp;"S"),FIND("+",Tasks[[#This Row],[_Pred2Text]]&amp;"+"),FIND("-",Tasks[[#This Row],[_Pred2Text]]&amp;"-"))-1)),""))</f>
        <v/>
      </c>
      <c r="CD6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6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61" s="45" t="str">
        <f aca="false">IF(Tasks[[#This Row],[_Pred2Text]]="","",TRIM(MID(SUBSTITUTE(SUBSTITUTE(SUBSTITUTE(UPPER(Tasks[[#This Row],[Predecessors]]),";",",")," ",""),",",REPT(" ",99)),199,99)))</f>
        <v/>
      </c>
      <c r="CG61" s="45" t="str">
        <f aca="false">IF(Tasks[[#This Row],[_Pred3Text]]="","",IFERROR(VALUE(LEFT(Tasks[[#This Row],[_Pred3Text]],MIN(FIND("F",Tasks[[#This Row],[_Pred3Text]]&amp;"F"),FIND("S",Tasks[[#This Row],[_Pred3Text]]&amp;"S"),FIND("+",Tasks[[#This Row],[_Pred3Text]]&amp;"+"),FIND("-",Tasks[[#This Row],[_Pred3Text]]&amp;"-"))-1)),""))</f>
        <v/>
      </c>
      <c r="CH6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6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61" s="45" t="str">
        <f aca="false">IF(Tasks[[#This Row],[_Pred3Text]]="","",TRIM(MID(SUBSTITUTE(SUBSTITUTE(SUBSTITUTE(UPPER(Tasks[[#This Row],[Predecessors]]),";",",")," ",""),",",REPT(" ",99)),298,99)))</f>
        <v/>
      </c>
      <c r="CK61" s="45" t="str">
        <f aca="false">IF(Tasks[[#This Row],[_Pred4Text]]="","",IFERROR(VALUE(LEFT(Tasks[[#This Row],[_Pred4Text]],MIN(FIND("F",Tasks[[#This Row],[_Pred4Text]]&amp;"F"),FIND("S",Tasks[[#This Row],[_Pred4Text]]&amp;"S"),FIND("+",Tasks[[#This Row],[_Pred4Text]]&amp;"+"),FIND("-",Tasks[[#This Row],[_Pred4Text]]&amp;"-"))-1)),""))</f>
        <v/>
      </c>
      <c r="CL6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6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61" s="45" t="str">
        <f aca="false">IF(OR(Tasks[[#This Row],[Task Name]]="",Tasks[[#This Row],[Resources]]=""),"",TRIM(MID(SUBSTITUTE(Tasks[[#This Row],[Resources]],",",REPT(" ",99)),1,99)))</f>
        <v/>
      </c>
      <c r="CO61" s="45" t="str">
        <f aca="false">IF(Tasks[[#This Row],[_Res1Text]]="","",TRIM(MID(SUBSTITUTE(Tasks[[#This Row],[Resources]],",",REPT(" ",99)),100,99)))</f>
        <v/>
      </c>
      <c r="CP61" s="45" t="str">
        <f aca="false">IF(Tasks[[#This Row],[_Res2Text]]="","",TRIM(MID(SUBSTITUTE(Tasks[[#This Row],[Resources]],",",REPT(" ",99)),199,99)))</f>
        <v/>
      </c>
      <c r="CQ61" s="45" t="str">
        <f aca="false">IF(Tasks[[#This Row],[_Res3Text]]="","",TRIM(MID(SUBSTITUTE(Tasks[[#This Row],[Resources]],",",REPT(" ",99)),298,99)))</f>
        <v/>
      </c>
      <c r="CR6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6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1" s="45" t="n">
        <f aca="false">IF(NOT(Tasks[[#This Row],[_IsLeaf]]=1),0,(Tasks[[#This Row],[_Resource1]]&lt;&gt;"")+(Tasks[[#This Row],[_Res2]]&lt;&gt;"")+(Tasks[[#This Row],[_Res3]]&lt;&gt;"")+(Tasks[[#This Row],[_Res4]]&lt;&gt;""))</f>
        <v>0</v>
      </c>
      <c r="CU6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6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1" s="45" t="n">
        <f aca="false">IF(OR(NOT(Tasks[[#This Row],[_IsLeaf]]=1),Tasks[[#This Row],[_Res2]]=""),0,IF(ISNA(MATCH(Tasks[[#This Row],[_Res2]],res_Name,0)),0,N(Tasks[[#This Row],[Duration]])*HoursPerDay*IF(Tasks[[#This Row],[_Res2Units]]="",DefaultUnits,Tasks[[#This Row],[_Res2Units]])))</f>
        <v>0</v>
      </c>
      <c r="CX61" s="45" t="n">
        <f aca="false">IF(Tasks[[#This Row],[_Res2Work]]=0,0,Tasks[[#This Row],[_Res2Work]]*IFERROR(INDEX(res_Rate,MATCH(Tasks[[#This Row],[_Res2]],res_Name,0)),0))</f>
        <v>0</v>
      </c>
      <c r="CY61" s="45" t="n">
        <f aca="false">IF(AND(AND(Tasks[[#This Row],[_IsLeaf]]=1,Tasks[[#This Row],[_LeafTotalWork]]&gt;0),Tasks[[#This Row],[_Res2Work]]&gt;0),Tasks[[#This Row],[_Res2Work]]/(Tasks[[#This Row],[_FinishWorkday]]-Tasks[[#This Row],[_StartWorkday]]+1),0)</f>
        <v>0</v>
      </c>
      <c r="CZ61" s="45" t="n">
        <f aca="false">Tasks[[#This Row],[_Res2WorkPerWD]]*MAX(0,Tasks[[#This Row],[_StartWorkday]]-1)</f>
        <v>0</v>
      </c>
      <c r="DA61" s="45" t="n">
        <f aca="false">Tasks[[#This Row],[_Res2Work]]*Tasks[[#This Row],[_LeafProgress]]</f>
        <v>0</v>
      </c>
      <c r="DB61" s="45" t="n">
        <f aca="false">IF(Tasks[[#This Row],[_LeafTotalCost]]=0,0,Tasks[[#This Row],[_LeafAC]]*Tasks[[#This Row],[_Res2Cost]]/Tasks[[#This Row],[_LeafTotalCost]])</f>
        <v>0</v>
      </c>
      <c r="DC6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6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61" s="45" t="n">
        <f aca="false">IF(OR(NOT(Tasks[[#This Row],[_IsLeaf]]=1),Tasks[[#This Row],[_Res3]]=""),0,IF(ISNA(MATCH(Tasks[[#This Row],[_Res3]],res_Name,0)),0,N(Tasks[[#This Row],[Duration]])*HoursPerDay*IF(Tasks[[#This Row],[_Res3Units]]="",DefaultUnits,Tasks[[#This Row],[_Res3Units]])))</f>
        <v>0</v>
      </c>
      <c r="DF61" s="45" t="n">
        <f aca="false">IF(Tasks[[#This Row],[_Res3Work]]=0,0,Tasks[[#This Row],[_Res3Work]]*IFERROR(INDEX(res_Rate,MATCH(Tasks[[#This Row],[_Res3]],res_Name,0)),0))</f>
        <v>0</v>
      </c>
      <c r="DG61" s="45" t="n">
        <f aca="false">IF(AND(AND(Tasks[[#This Row],[_IsLeaf]]=1,Tasks[[#This Row],[_LeafTotalWork]]&gt;0),Tasks[[#This Row],[_Res3Work]]&gt;0),Tasks[[#This Row],[_Res3Work]]/(Tasks[[#This Row],[_FinishWorkday]]-Tasks[[#This Row],[_StartWorkday]]+1),0)</f>
        <v>0</v>
      </c>
      <c r="DH61" s="45" t="n">
        <f aca="false">Tasks[[#This Row],[_Res3WorkPerWD]]*MAX(0,Tasks[[#This Row],[_StartWorkday]]-1)</f>
        <v>0</v>
      </c>
      <c r="DI61" s="45" t="n">
        <f aca="false">Tasks[[#This Row],[_Res3Work]]*Tasks[[#This Row],[_LeafProgress]]</f>
        <v>0</v>
      </c>
      <c r="DJ61" s="45" t="n">
        <f aca="false">IF(Tasks[[#This Row],[_LeafTotalCost]]=0,0,Tasks[[#This Row],[_LeafAC]]*Tasks[[#This Row],[_Res3Cost]]/Tasks[[#This Row],[_LeafTotalCost]])</f>
        <v>0</v>
      </c>
      <c r="DK6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6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61" s="45" t="n">
        <f aca="false">IF(OR(NOT(Tasks[[#This Row],[_IsLeaf]]=1),Tasks[[#This Row],[_Res4]]=""),0,IF(ISNA(MATCH(Tasks[[#This Row],[_Res4]],res_Name,0)),0,N(Tasks[[#This Row],[Duration]])*HoursPerDay*IF(Tasks[[#This Row],[_Res4Units]]="",DefaultUnits,Tasks[[#This Row],[_Res4Units]])))</f>
        <v>0</v>
      </c>
      <c r="DN61" s="45" t="n">
        <f aca="false">IF(Tasks[[#This Row],[_Res4Work]]=0,0,Tasks[[#This Row],[_Res4Work]]*IFERROR(INDEX(res_Rate,MATCH(Tasks[[#This Row],[_Res4]],res_Name,0)),0))</f>
        <v>0</v>
      </c>
      <c r="DO61" s="45" t="n">
        <f aca="false">IF(AND(AND(Tasks[[#This Row],[_IsLeaf]]=1,Tasks[[#This Row],[_LeafTotalWork]]&gt;0),Tasks[[#This Row],[_Res4Work]]&gt;0),Tasks[[#This Row],[_Res4Work]]/(Tasks[[#This Row],[_FinishWorkday]]-Tasks[[#This Row],[_StartWorkday]]+1),0)</f>
        <v>0</v>
      </c>
      <c r="DP61" s="45" t="n">
        <f aca="false">Tasks[[#This Row],[_Res4WorkPerWD]]*MAX(0,Tasks[[#This Row],[_StartWorkday]]-1)</f>
        <v>0</v>
      </c>
      <c r="DQ61" s="45" t="n">
        <f aca="false">Tasks[[#This Row],[_Res4Work]]*Tasks[[#This Row],[_LeafProgress]]</f>
        <v>0</v>
      </c>
      <c r="DR61" s="45" t="n">
        <f aca="false">IF(Tasks[[#This Row],[_LeafTotalCost]]=0,0,Tasks[[#This Row],[_LeafAC]]*Tasks[[#This Row],[_Res4Cost]]/Tasks[[#This Row],[_LeafTotalCost]])</f>
        <v>0</v>
      </c>
      <c r="DS61" s="45" t="n">
        <f aca="false">IF(ISNUMBER(Tasks[[#This Row],[% Complete]]),Tasks[[#This Row],[% Complete]],IF(Tasks[[#This Row],[Stage]]="",0,IFERROR(INDEX(stg_Pct,MATCH(Tasks[[#This Row],[Stage]],stg_Name,0)),0)))</f>
        <v>0</v>
      </c>
      <c r="DT61" s="45" t="n">
        <f aca="false">IF(NOT(Tasks[[#This Row],[_IsLeaf]]=1),0,IF(N(Tasks[[#This Row],[Actual Finish]])&gt;0,1,MIN(1,Tasks[[#This Row],[_Pct]])))</f>
        <v>0</v>
      </c>
      <c r="DU61" s="45" t="n">
        <f aca="false">IF(OR(NOT(Tasks[[#This Row],[_IsLeaf]]=1),Tasks[[#This Row],[_Resource1]]=""),0,IF(ISNA(MATCH(Tasks[[#This Row],[_Resource1]],res_Name,0)),0,N(Tasks[[#This Row],[Duration]])*HoursPerDay*IF(Tasks[[#This Row],[_Units1]]="",DefaultUnits,Tasks[[#This Row],[_Units1]])))</f>
        <v>0</v>
      </c>
      <c r="DV61" s="45" t="n">
        <f aca="false">IF(Tasks[[#This Row],[_LeafWork]]=0,0,Tasks[[#This Row],[_LeafWork]]*IFERROR(INDEX(res_Rate,MATCH(Tasks[[#This Row],[_Resource1]],res_Name,0)),0))</f>
        <v>0</v>
      </c>
      <c r="DW61" s="45" t="n">
        <f aca="false">Tasks[[#This Row],[_LeafWork]]+Tasks[[#This Row],[_Res2Work]]+Tasks[[#This Row],[_Res3Work]]+Tasks[[#This Row],[_Res4Work]]</f>
        <v>0</v>
      </c>
      <c r="DX61" s="45" t="n">
        <f aca="false">Tasks[[#This Row],[_LeafCost]]+Tasks[[#This Row],[_Res2Cost]]+Tasks[[#This Row],[_Res3Cost]]+Tasks[[#This Row],[_Res4Cost]]</f>
        <v>0</v>
      </c>
      <c r="DY61" s="45" t="n">
        <f aca="false">IF(Tasks[[#This Row],[_LeafTotalCost]]=0,Tasks[[#This Row],[_LeafAC]],Tasks[[#This Row],[_LeafAC]]*Tasks[[#This Row],[_LeafCost]]/Tasks[[#This Row],[_LeafTotalCost]])</f>
        <v>0</v>
      </c>
      <c r="DZ6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6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6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6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6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6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6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6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61" s="45" t="n">
        <f aca="false">IF(NOT(Tasks[[#This Row],[_IsLeaf]]=1),0,MAX(_xlfn.MAXIFS(Tasks[_Row],Tasks[_Pred1UID],Tasks[[#This Row],[UID]]),_xlfn.MAXIFS(Tasks[_Row],Tasks[_Pred2UID],Tasks[[#This Row],[UID]]),_xlfn.MAXIFS(Tasks[_Row],Tasks[_Pred3UID],Tasks[[#This Row],[UID]]),_xlfn.MAXIFS(Tasks[_Row],Tasks[_Pred4UID],Tasks[[#This Row],[UID]])))</f>
        <v>0</v>
      </c>
      <c r="EI6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6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61" s="74" t="str">
        <f aca="false">IF(NOT(Tasks[[#This Row],[_IsLeaf]]=1),"",IF(N(Tasks[[#This Row],[Duration]])&lt;=0,Tasks[[#This Row],[_LeafLateFinish]],WORKDAY.INTL(Tasks[[#This Row],[_LeafLateFinish]],-(Tasks[[#This Row],[Duration]]-1),WorkWeek,Holidays)))</f>
        <v/>
      </c>
      <c r="EL6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61" s="73" t="b">
        <f aca="false">AND(Tasks[[#This Row],[_IsLeaf]]=1,Tasks[[#This Row],[_LeafProgress]]&lt;1,N(Tasks[[#This Row],[_LeafTotalSlack]])&lt;=CriticalSlackDays)</f>
        <v>0</v>
      </c>
      <c r="EN61" s="45" t="n">
        <f aca="false">IF(AND(Tasks[[#This Row],[_IsLeaf]]=1,Tasks[[#This Row],[_ConstraintCode]]=1,Tasks[[#This Row],[Mode]]&lt;&gt;"Manual",N(Tasks[[#This Row],[Actual Start]])=0),MAX(0,N(Tasks[[#This Row],[Free Slack]])),0)</f>
        <v>0</v>
      </c>
      <c r="EO61" s="74" t="str">
        <f aca="false">IF(NOT(Tasks[[#This Row],[_IsLeaf]]=1),"",IF(Tasks[[#This Row],[_AlapShift]]=0,Tasks[[#This Row],[_LeafCalcStart]],WORKDAY.INTL(Tasks[[#This Row],[_LeafCalcStart]],Tasks[[#This Row],[_AlapShift]],WorkWeek,Holidays)))</f>
        <v/>
      </c>
      <c r="EP61" s="74" t="str">
        <f aca="false">IF(NOT(Tasks[[#This Row],[_IsLeaf]]=1),"",IF(Tasks[[#This Row],[_AlapShift]]=0,Tasks[[#This Row],[_LeafCalcFinish]],WORKDAY.INTL(Tasks[[#This Row],[_LeafCalcFinish]],Tasks[[#This Row],[_AlapShift]],WorkWeek,Holidays)))</f>
        <v/>
      </c>
      <c r="EQ61" s="74" t="str">
        <f aca="false">IF(NOT(Tasks[[#This Row],[_IsLeaf]]=1),"",IF(Tasks[[#This Row],[_AlapShift]]=0,Tasks[[#This Row],[_LeafFcstStart]],WORKDAY.INTL(Tasks[[#This Row],[_LeafFcstStart]],Tasks[[#This Row],[_AlapShift]],WorkWeek,Holidays)))</f>
        <v/>
      </c>
      <c r="ER61" s="74" t="str">
        <f aca="false">IF(NOT(Tasks[[#This Row],[_IsLeaf]]=1),"",IF(Tasks[[#This Row],[_AlapShift]]=0,Tasks[[#This Row],[_LeafFcstFinish]],WORKDAY.INTL(Tasks[[#This Row],[_LeafFcstFinish]],Tasks[[#This Row],[_AlapShift]],WorkWeek,Holidays)))</f>
        <v/>
      </c>
      <c r="ES61" s="74" t="str">
        <f aca="false">IF(Tasks[[#This Row],[Task Name]]="","",IF(Tasks[[#This Row],[_IsSummary]],MIN(INDEX(Tasks[_ShownCalcStart],Tasks[[#This Row],[_Row]]+1):INDEX(Tasks[_ShownCalcStart],Tasks[[#This Row],[_Row]]+Tasks[[#This Row],[_Descendants]])),Tasks[[#This Row],[_ShownCalcStart]]))</f>
        <v/>
      </c>
      <c r="ET61" s="74" t="str">
        <f aca="false">IF(Tasks[[#This Row],[Task Name]]="","",IF(Tasks[[#This Row],[_IsSummary]],MAX(INDEX(Tasks[_ShownCalcFinish],Tasks[[#This Row],[_Row]]+1):INDEX(Tasks[_ShownCalcFinish],Tasks[[#This Row],[_Row]]+Tasks[[#This Row],[_Descendants]])),Tasks[[#This Row],[_ShownCalcFinish]]))</f>
        <v/>
      </c>
      <c r="EU6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6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6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6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6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6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6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6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6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6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6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6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61" s="45" t="n">
        <f aca="false">IF(AND(Tasks[[#This Row],[_IsLeaf]]=1,Tasks[[#This Row],[_LeafTotalWork]]&gt;0),NETWORKDAYS.INTL(ProjectStart,Tasks[[#This Row],[_ShownFcstStart]],WorkWeek,Holidays),0)</f>
        <v>0</v>
      </c>
      <c r="FH61" s="45" t="n">
        <f aca="false">IF(AND(Tasks[[#This Row],[_IsLeaf]]=1,Tasks[[#This Row],[_LeafTotalWork]]&gt;0),MAX(Tasks[[#This Row],[_StartWorkday]],NETWORKDAYS.INTL(ProjectStart,Tasks[[#This Row],[_ShownFcstFinish]],WorkWeek,Holidays)),0)</f>
        <v>0</v>
      </c>
      <c r="FI61" s="45" t="n">
        <f aca="false">IF(AND(Tasks[[#This Row],[_IsLeaf]]=1,Tasks[[#This Row],[_LeafTotalWork]]&gt;0),Tasks[[#This Row],[_LeafWork]]/(Tasks[[#This Row],[_FinishWorkday]]-Tasks[[#This Row],[_StartWorkday]]+1),0)</f>
        <v>0</v>
      </c>
      <c r="FJ61" s="45" t="n">
        <f aca="false">Tasks[[#This Row],[_WorkPerWorkday]]*(Tasks[[#This Row],[_StartWorkday]]-1)</f>
        <v>-0</v>
      </c>
      <c r="FK61" s="45" t="n">
        <f aca="false">IF(Tasks[[#This Row],[_IsLeaf]]=1,MAX(N(Tasks[[#This Row],[Duration]]),0.1),0)</f>
        <v>0</v>
      </c>
      <c r="FL61" s="45" t="n">
        <f aca="false">Tasks[[#This Row],[_WeightDur]]*Tasks[[#This Row],[_LeafProgress]]</f>
        <v>0</v>
      </c>
      <c r="FM6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61" s="45" t="str">
        <f aca="false">IF(AND(Tasks[[#This Row],[_IsLeaf]]=1,N(Tasks[[#This Row],[Duration]])=0,Tasks[[#This Row],[_LeafProgress]]&lt;1),Tasks[[#This Row],[_ShownFcstFinish]]+Tasks[[#This Row],[_Row]]/100000,"")</f>
        <v/>
      </c>
      <c r="FO6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61" s="45" t="n">
        <f aca="false">IF(NOT(Tasks[[#This Row],[_IsLeaf]]=1),0,IF(Tasks[[#This Row],[Baseline Cost]]="",Tasks[[#This Row],[_LeafTotalCost]],N(Tasks[[#This Row],[Baseline Cost]])))</f>
        <v>0</v>
      </c>
      <c r="FQ61" s="45" t="n">
        <f aca="false">Tasks[[#This Row],[_LeafBudget]]*Tasks[[#This Row],[_PlannedPct]]</f>
        <v>0</v>
      </c>
      <c r="FR61" s="45" t="n">
        <f aca="false">Tasks[[#This Row],[_LeafBudget]]*Tasks[[#This Row],[_LeafProgress]]</f>
        <v>0</v>
      </c>
      <c r="FS61" s="45" t="n">
        <f aca="false">IF(NOT(Tasks[[#This Row],[_IsLeaf]]=1),0,IF(Tasks[[#This Row],[Actual Cost]]="",Tasks[[#This Row],[_LeafTotalCost]]*Tasks[[#This Row],[_LeafProgress]],N(Tasks[[#This Row],[Actual Cost]])))</f>
        <v>0</v>
      </c>
      <c r="FT61" s="45" t="str">
        <f aca="false">IF(Tasks[[#This Row],[Task Name]]="","",LEFT(Tasks[[#This Row],[WBS]],FIND(".",Tasks[[#This Row],[WBS]]&amp;".")-1))</f>
        <v/>
      </c>
      <c r="FU61" s="45" t="str">
        <f aca="false">IF(AND(Tasks[[#This Row],[Task Name]]&lt;&gt;"",Tasks[[#This Row],[_Level]]=1),Tasks[[#This Row],[_Row]],"")</f>
        <v/>
      </c>
      <c r="FV61" s="45" t="str">
        <f aca="false">IF(AND(Tasks[[#This Row],[_IsLeaf]]=1,N(Tasks[[#This Row],[Duration]])=0),Tasks[[#This Row],[Planned Finish]]+Tasks[[#This Row],[_Row]]/100000,"")</f>
        <v/>
      </c>
      <c r="FW61" s="45" t="str">
        <f aca="false">IF(AND(Tasks[[#This Row],[_IsLeaf]]=1,Tasks[[#This Row],[_LeafProgress]]&lt;1,OR(N(Tasks[[#This Row],[Finish Var]])&gt;0,Tasks[[#This Row],[Status]]="Late Start")),MAX(0,Tasks[[#This Row],[Finish Var]])+1-Tasks[[#This Row],[_Row]]/1000000,"")</f>
        <v/>
      </c>
      <c r="FX61" s="45" t="str">
        <f aca="false">IF(AND(Tasks[[#This Row],[_IsLeaf]]=1,N(Tasks[[#This Row],[Actual Start]])=0,Tasks[[#This Row],[_ShownFcstStart]]&gt;=StatusDate,Tasks[[#This Row],[_ShownFcstStart]]&lt;=LookaheadEnd),Tasks[[#This Row],[_ShownFcstStart]]+Tasks[[#This Row],[_Row]]/100000,"")</f>
        <v/>
      </c>
      <c r="FY61" s="45" t="str">
        <f aca="false">IF(AND(Tasks[[#This Row],[_IsLeaf]]=1,Tasks[[#This Row],[_LeafProgress]]&lt;1,Tasks[[#This Row],[_ShownFcstFinish]]&gt;=StatusDate,Tasks[[#This Row],[_ShownFcstFinish]]&lt;=LookaheadEnd),Tasks[[#This Row],[_ShownFcstFinish]]+Tasks[[#This Row],[_Row]]/100000,"")</f>
        <v/>
      </c>
      <c r="FZ61" s="45" t="str">
        <f aca="false">IF(Tasks[[#This Row],[_LeafCritical]],Tasks[[#This Row],[_ShownFcstStart]]+Tasks[[#This Row],[_Row]]/100000,"")</f>
        <v/>
      </c>
      <c r="GA61" s="45" t="n">
        <f aca="false">Tasks[[#This Row],[_LeafWork]]*Tasks[[#This Row],[_LeafProgress]]</f>
        <v>0</v>
      </c>
      <c r="GB61" s="74" t="str">
        <f aca="false">IF(AND(Tasks[[#This Row],[_IsLeaf]]=1,Tasks[[#This Row],[_LeafProgress]]&gt;=1),IF(N(Tasks[[#This Row],[Actual Finish]])&gt;0,Tasks[[#This Row],[Actual Finish]],Tasks[[#This Row],[_ShownFcstFinish]]),"")</f>
        <v/>
      </c>
    </row>
    <row r="62" customFormat="false" ht="15" hidden="false" customHeight="false" outlineLevel="0" collapsed="false">
      <c r="A62" s="67" t="str">
        <f aca="false">IF(Tasks[[#This Row],[Task Name]]="","",COUNTA(Tasks[[#Headers],[Task Name]]:Tasks[[#This Row],[Task Name]])-1)</f>
        <v/>
      </c>
      <c r="B62" s="21" t="n">
        <v>57</v>
      </c>
      <c r="C6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21"/>
      <c r="E62" s="22"/>
      <c r="F62" s="21"/>
      <c r="G62" s="22"/>
      <c r="H62" s="22"/>
      <c r="I62" s="22"/>
      <c r="J62" s="7"/>
      <c r="K62" s="7"/>
      <c r="L62" s="22"/>
      <c r="M62" s="58" t="str">
        <f aca="false">IF(Tasks[[#This Row],[Task Name]]="","",IF(Tasks[[#This Row],[_IsSummary]],MIN(INDEX(Tasks[_ShownFcstStart],Tasks[[#This Row],[_Row]]+1):INDEX(Tasks[_ShownFcstStart],Tasks[[#This Row],[_Row]]+Tasks[[#This Row],[_Descendants]])),Tasks[[#This Row],[_ShownFcstStart]]))</f>
        <v/>
      </c>
      <c r="N62" s="58" t="str">
        <f aca="false">IF(Tasks[[#This Row],[Task Name]]="","",IF(Tasks[[#This Row],[_IsSummary]],MAX(INDEX(Tasks[_ShownFcstFinish],Tasks[[#This Row],[_Row]]+1):INDEX(Tasks[_ShownFcstFinish],Tasks[[#This Row],[_Row]]+Tasks[[#This Row],[_Descendants]])),Tasks[[#This Row],[_ShownFcstFinish]]))</f>
        <v/>
      </c>
      <c r="O62" s="20" t="str">
        <f aca="false">IF(Tasks[[#This Row],[Task Name]]="","",IF(Tasks[[#This Row],[Progress]]&gt;=1,"Complete",IF(OR(N(Tasks[[#This Row],[Actual Start]])&gt;0,Tasks[[#This Row],[Progress]]&gt;0),IF(Tasks[[#This Row],[Finish Var]]&gt;0,"Behind","In Progress"),IF(Tasks[[#This Row],[Planned Start]]&lt;StatusDate,"Late Start","Not Started"))))</f>
        <v/>
      </c>
      <c r="P62" s="20" t="str">
        <f aca="false">IF(Tasks[[#This Row],[Task Name]]="","",IF(IF(Tasks[[#This Row],[_IsSummary]],COUNTIF(INDEX(Tasks[_LeafCritical],Tasks[[#This Row],[_Row]]+1):INDEX(Tasks[_LeafCritical],Tasks[[#This Row],[_Row]]+Tasks[[#This Row],[_Descendants]]),TRUE())&gt;0,Tasks[[#This Row],[_LeafCritical]]),"Yes",""))</f>
        <v/>
      </c>
      <c r="Q6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62" s="67" t="str">
        <f aca="false">IF(Tasks[[#This Row],[Task Name]]="","",IF(Tasks[[#This Row],[_Level]]&lt;=OutlineShowLevel,"Yes","No"))</f>
        <v/>
      </c>
      <c r="S62" s="7"/>
      <c r="T62" s="21"/>
      <c r="U62" s="22"/>
      <c r="V62" s="7"/>
      <c r="W62" s="67" t="str">
        <f aca="false">IF(Tasks[[#This Row],[Task Name]]="","",IF(Tasks[[#This Row],[Finish]]&gt;=Tasks[[#This Row],[Planned Finish]],NETWORKDAYS.INTL(Tasks[[#This Row],[Planned Finish]],Tasks[[#This Row],[Finish]],WorkWeek,Holidays)-1,1-NETWORKDAYS.INTL(Tasks[[#This Row],[Finish]],Tasks[[#This Row],[Planned Finish]],WorkWeek,Holidays)))</f>
        <v/>
      </c>
      <c r="X62" s="58" t="str">
        <f aca="false">IF(Tasks[[#This Row],[Task Name]]="","",IF(N(Tasks[[#This Row],[Baseline Start]])&gt;0,Tasks[[#This Row],[Baseline Start]],Tasks[[#This Row],[_CalcStart]]))</f>
        <v/>
      </c>
      <c r="Y62" s="58" t="str">
        <f aca="false">IF(Tasks[[#This Row],[Task Name]]="","",IF(N(Tasks[[#This Row],[Baseline Finish]])&gt;0,Tasks[[#This Row],[Baseline Finish]],Tasks[[#This Row],[_CalcFinish]]))</f>
        <v/>
      </c>
      <c r="Z62" s="67" t="str">
        <f aca="false">IF(Tasks[[#This Row],[Task Name]]="","",IF(Tasks[[#This Row],[Start]]&gt;=Tasks[[#This Row],[Planned Start]],NETWORKDAYS.INTL(Tasks[[#This Row],[Planned Start]],Tasks[[#This Row],[Start]],WorkWeek,Holidays)-1,1-NETWORKDAYS.INTL(Tasks[[#This Row],[Start]],Tasks[[#This Row],[Planned Start]],WorkWeek,Holidays)))</f>
        <v/>
      </c>
      <c r="AA62" s="58" t="str">
        <f aca="false">IF(Tasks[[#This Row],[Task Name]]="","",IF(Tasks[[#This Row],[_IsSummary]],MIN(INDEX(Tasks[_LeafLateStart],Tasks[[#This Row],[_Row]]+1):INDEX(Tasks[_LeafLateStart],Tasks[[#This Row],[_Row]]+Tasks[[#This Row],[_Descendants]])),Tasks[[#This Row],[_LeafLateStart]]))</f>
        <v/>
      </c>
      <c r="AB62" s="58" t="str">
        <f aca="false">IF(Tasks[[#This Row],[Task Name]]="","",IF(Tasks[[#This Row],[_IsSummary]],MAX(INDEX(Tasks[_LeafLateFinish],Tasks[[#This Row],[_Row]]+1):INDEX(Tasks[_LeafLateFinish],Tasks[[#This Row],[_Row]]+Tasks[[#This Row],[_Descendants]])),Tasks[[#This Row],[_LeafLateFinish]]))</f>
        <v/>
      </c>
      <c r="AC62" s="67" t="str">
        <f aca="false">IF(Tasks[[#This Row],[Task Name]]="","",IF(Tasks[[#This Row],[_IsSummary]],MIN(INDEX(Tasks[_LeafTotalSlack],Tasks[[#This Row],[_Row]]+1):INDEX(Tasks[_LeafTotalSlack],Tasks[[#This Row],[_Row]]+Tasks[[#This Row],[_Descendants]])),Tasks[[#This Row],[_LeafTotalSlack]]))</f>
        <v/>
      </c>
      <c r="AD6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6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6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62" s="60"/>
      <c r="AH6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6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62" s="69" t="str">
        <f aca="false">IF(Tasks[[#This Row],[Task Name]]="","",IF(Tasks[[#This Row],[_IsSummary]],SUM(INDEX(Tasks[_LeafTotalWork],Tasks[[#This Row],[_Row]]+1):INDEX(Tasks[_LeafTotalWork],Tasks[[#This Row],[_Row]]+Tasks[[#This Row],[_Descendants]])),Tasks[[#This Row],[_LeafTotalWork]]))</f>
        <v/>
      </c>
      <c r="AK6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62" s="70" t="str">
        <f aca="false">IF(Tasks[[#This Row],[Task Name]]="","",IF(Tasks[[#This Row],[_IsSummary]],SUM(INDEX(Tasks[_LeafTotalCost],Tasks[[#This Row],[_Row]]+1):INDEX(Tasks[_LeafTotalCost],Tasks[[#This Row],[_Row]]+Tasks[[#This Row],[_Descendants]])),Tasks[[#This Row],[_LeafTotalCost]]))</f>
        <v/>
      </c>
      <c r="AM62" s="71"/>
      <c r="AN62" s="20" t="str">
        <f aca="false">IF(OR(Tasks[[#This Row],[Task Name]]="",Tasks[[#This Row],[Baseline Duration]]=""),"",Tasks[[#This Row],[BL Source Duration]]-N(Tasks[[#This Row],[Baseline Duration]]))</f>
        <v/>
      </c>
      <c r="AO62" s="69" t="str">
        <f aca="false">IF(OR(Tasks[[#This Row],[Task Name]]="",Tasks[[#This Row],[Baseline Work]]=""),"",Tasks[[#This Row],[Work]]-N(Tasks[[#This Row],[Baseline Work]]))</f>
        <v/>
      </c>
      <c r="AP62" s="70" t="str">
        <f aca="false">IF(OR(Tasks[[#This Row],[Task Name]]="",Tasks[[#This Row],[Baseline Cost]]=""),"",Tasks[[#This Row],[Cost]]-N(Tasks[[#This Row],[Baseline Cost]]))</f>
        <v/>
      </c>
      <c r="AQ62" s="58" t="str">
        <f aca="false">IF(Tasks[[#This Row],[Task Name]]="","",Tasks[[#This Row],[Start]])</f>
        <v/>
      </c>
      <c r="AR62" s="58" t="str">
        <f aca="false">IF(Tasks[[#This Row],[Task Name]]="","",Tasks[[#This Row],[Finish]])</f>
        <v/>
      </c>
      <c r="AS62" s="67" t="str">
        <f aca="false">IF(Tasks[[#This Row],[Task Name]]="","",IF(Tasks[[#This Row],[_IsSummary]],NETWORKDAYS.INTL(Tasks[[#This Row],[Start]],Tasks[[#This Row],[Finish]],WorkWeek,Holidays),N(Tasks[[#This Row],[Duration]])))</f>
        <v/>
      </c>
      <c r="AT62" s="69" t="str">
        <f aca="false">IF(Tasks[[#This Row],[Task Name]]="","",Tasks[[#This Row],[Work]])</f>
        <v/>
      </c>
      <c r="AU62" s="70" t="str">
        <f aca="false">IF(Tasks[[#This Row],[Task Name]]="","",Tasks[[#This Row],[Cost]])</f>
        <v/>
      </c>
      <c r="AV62" s="7"/>
      <c r="AW62" s="7"/>
      <c r="AX62" s="21"/>
      <c r="AY62" s="72"/>
      <c r="AZ62" s="71"/>
      <c r="BA62" s="70" t="str">
        <f aca="false">IF(Tasks[[#This Row],[Task Name]]="","",IF(Tasks[[#This Row],[_IsSummary]],SUM(INDEX(Tasks[_LeafEV],Tasks[[#This Row],[_Row]]+1):INDEX(Tasks[_LeafEV],Tasks[[#This Row],[_Row]]+Tasks[[#This Row],[_Descendants]])),Tasks[[#This Row],[_LeafEV]]))</f>
        <v/>
      </c>
      <c r="BB62" s="70" t="str">
        <f aca="false">IF(Tasks[[#This Row],[Task Name]]="","",IF(Tasks[[#This Row],[_IsSummary]],SUM(INDEX(Tasks[_LeafBudget],Tasks[[#This Row],[_Row]]+1):INDEX(Tasks[_LeafBudget],Tasks[[#This Row],[_Row]]+Tasks[[#This Row],[_Descendants]])),Tasks[[#This Row],[_LeafBudget]]))</f>
        <v/>
      </c>
      <c r="BC62" s="70" t="str">
        <f aca="false">IF(Tasks[[#This Row],[Task Name]]="","",IF(Tasks[[#This Row],[_IsSummary]],SUM(INDEX(Tasks[_LeafPV],Tasks[[#This Row],[_Row]]+1):INDEX(Tasks[_LeafPV],Tasks[[#This Row],[_Row]]+Tasks[[#This Row],[_Descendants]])),Tasks[[#This Row],[_LeafPV]]))</f>
        <v/>
      </c>
      <c r="BD62" s="70" t="str">
        <f aca="false">IF(Tasks[[#This Row],[Task Name]]="","",IF(Tasks[[#This Row],[_IsSummary]],SUM(INDEX(Tasks[_LeafAC],Tasks[[#This Row],[_Row]]+1):INDEX(Tasks[_LeafAC],Tasks[[#This Row],[_Row]]+Tasks[[#This Row],[_Descendants]])),Tasks[[#This Row],[_LeafAC]]))</f>
        <v/>
      </c>
      <c r="BE62" s="45" t="str">
        <f aca="false">IF(Tasks[[#This Row],[Task Name]]="","",MAX(1,N(Tasks[[#This Row],[Level]])))</f>
        <v/>
      </c>
      <c r="BF62" s="45" t="n">
        <f aca="false">ROW()-ROW(Tasks[[#Headers],[ID]])</f>
        <v>57</v>
      </c>
      <c r="BG62" s="45" t="n">
        <f aca="false">IF(OR(Tasks[[#This Row],[Task Name]]="",Tasks[[#This Row],[_Level]]&lt;=1),0,IFERROR(LOOKUP(2,1/(Tasks[[#Headers],[_Level]]:Tasks[[#This Row],[_Level]]=Tasks[[#This Row],[_Level]]-1),ROW(Tasks[[#Headers],[_Level]]:Tasks[[#This Row],[_Level]])),0))</f>
        <v>0</v>
      </c>
      <c r="BH62" s="45" t="n">
        <f aca="false">IFERROR(N(INDEX(Tasks[_Level],Tasks[[#This Row],[_Row]]+1)),0)</f>
        <v>0</v>
      </c>
      <c r="BI62" s="73" t="b">
        <f aca="false">AND(Tasks[[#This Row],[Task Name]]&lt;&gt;"",Tasks[[#This Row],[_NextLevel]]&gt;Tasks[[#This Row],[_Level]])</f>
        <v>0</v>
      </c>
      <c r="BJ62" s="45" t="n">
        <f aca="false">IF(Tasks[[#This Row],[_IsSummary]],COUNTIF(Tasks[WBS],Tasks[[#This Row],[WBS]]&amp;".*"),0)</f>
        <v>0</v>
      </c>
      <c r="BK62" s="45" t="n">
        <f aca="false">IF(AND(Tasks[[#This Row],[Task Name]]&lt;&gt;"",NOT(Tasks[[#This Row],[_IsSummary]])),1,0)</f>
        <v>0</v>
      </c>
      <c r="BL62" s="45" t="n">
        <f aca="false">IF(N(Tasks[[#This Row],[_Pred1UID]])=0,0,IFERROR(MATCH(Tasks[[#This Row],[_Pred1UID]],Tasks[UID],0),-1))</f>
        <v>0</v>
      </c>
      <c r="BM62" s="45" t="n">
        <f aca="false">IF(N(Tasks[[#This Row],[_Pred2UID]])=0,0,IFERROR(MATCH(Tasks[[#This Row],[_Pred2UID]],Tasks[UID],0),-1))</f>
        <v>0</v>
      </c>
      <c r="BN62" s="45" t="n">
        <f aca="false">IF(N(Tasks[[#This Row],[_Pred3UID]])=0,0,IFERROR(MATCH(Tasks[[#This Row],[_Pred3UID]],Tasks[UID],0),-1))</f>
        <v>0</v>
      </c>
      <c r="BO62" s="45" t="n">
        <f aca="false">IF(N(Tasks[[#This Row],[_Pred4UID]])=0,0,IFERROR(MATCH(Tasks[[#This Row],[_Pred4UID]],Tasks[UID],0),-1))</f>
        <v>0</v>
      </c>
      <c r="BP6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6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62" s="74" t="n">
        <f aca="false">IF(OR(Tasks[[#This Row],[_ConstraintCode]]=2,Tasks[[#This Row],[_ConstraintCode]]=3,Tasks[[#This Row],[_ConstraintCode]]=4,Tasks[[#This Row],[_ConstraintCode]]=6),Tasks[[#This Row],[_ConstraintStart]],0)</f>
        <v>0</v>
      </c>
      <c r="BS62" s="74" t="n">
        <f aca="false">IF(OR(Tasks[[#This Row],[_ConstraintCode]]=2,Tasks[[#This Row],[_ConstraintCode]]=3,Tasks[[#This Row],[_ConstraintCode]]=5,Tasks[[#This Row],[_ConstraintCode]]=7),Tasks[[#This Row],[_ConstraintStart]],2958465)</f>
        <v>2958465</v>
      </c>
      <c r="BT6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62" s="74" t="str">
        <f aca="false">IF(NOT(Tasks[[#This Row],[_IsLeaf]]=1),"",IF(N(Tasks[[#This Row],[Duration]])&lt;=0,Tasks[[#This Row],[_LeafCalcStart]],WORKDAY.INTL(Tasks[[#This Row],[_LeafCalcStart]],Tasks[[#This Row],[Duration]]-1,WorkWeek,Holidays)))</f>
        <v/>
      </c>
      <c r="BV6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6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62" s="45" t="str">
        <f aca="false">IF(Tasks[[#This Row],[Predecessors]]="","",TRIM(MID(SUBSTITUTE(SUBSTITUTE(SUBSTITUTE(UPPER(Tasks[[#This Row],[Predecessors]]),";",",")," ",""),",",REPT(" ",99)),1,99)))</f>
        <v/>
      </c>
      <c r="BY62" s="45" t="str">
        <f aca="false">IF(Tasks[[#This Row],[_Pred1Text]]="","",IFERROR(VALUE(LEFT(Tasks[[#This Row],[_Pred1Text]],MIN(FIND("F",Tasks[[#This Row],[_Pred1Text]]&amp;"F"),FIND("S",Tasks[[#This Row],[_Pred1Text]]&amp;"S"),FIND("+",Tasks[[#This Row],[_Pred1Text]]&amp;"+"),FIND("-",Tasks[[#This Row],[_Pred1Text]]&amp;"-"))-1)),""))</f>
        <v/>
      </c>
      <c r="BZ6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6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62" s="45" t="str">
        <f aca="false">IF(Tasks[[#This Row],[_Pred1Text]]="","",TRIM(MID(SUBSTITUTE(SUBSTITUTE(SUBSTITUTE(UPPER(Tasks[[#This Row],[Predecessors]]),";",",")," ",""),",",REPT(" ",99)),100,99)))</f>
        <v/>
      </c>
      <c r="CC62" s="45" t="str">
        <f aca="false">IF(Tasks[[#This Row],[_Pred2Text]]="","",IFERROR(VALUE(LEFT(Tasks[[#This Row],[_Pred2Text]],MIN(FIND("F",Tasks[[#This Row],[_Pred2Text]]&amp;"F"),FIND("S",Tasks[[#This Row],[_Pred2Text]]&amp;"S"),FIND("+",Tasks[[#This Row],[_Pred2Text]]&amp;"+"),FIND("-",Tasks[[#This Row],[_Pred2Text]]&amp;"-"))-1)),""))</f>
        <v/>
      </c>
      <c r="CD6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6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62" s="45" t="str">
        <f aca="false">IF(Tasks[[#This Row],[_Pred2Text]]="","",TRIM(MID(SUBSTITUTE(SUBSTITUTE(SUBSTITUTE(UPPER(Tasks[[#This Row],[Predecessors]]),";",",")," ",""),",",REPT(" ",99)),199,99)))</f>
        <v/>
      </c>
      <c r="CG62" s="45" t="str">
        <f aca="false">IF(Tasks[[#This Row],[_Pred3Text]]="","",IFERROR(VALUE(LEFT(Tasks[[#This Row],[_Pred3Text]],MIN(FIND("F",Tasks[[#This Row],[_Pred3Text]]&amp;"F"),FIND("S",Tasks[[#This Row],[_Pred3Text]]&amp;"S"),FIND("+",Tasks[[#This Row],[_Pred3Text]]&amp;"+"),FIND("-",Tasks[[#This Row],[_Pred3Text]]&amp;"-"))-1)),""))</f>
        <v/>
      </c>
      <c r="CH6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6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62" s="45" t="str">
        <f aca="false">IF(Tasks[[#This Row],[_Pred3Text]]="","",TRIM(MID(SUBSTITUTE(SUBSTITUTE(SUBSTITUTE(UPPER(Tasks[[#This Row],[Predecessors]]),";",",")," ",""),",",REPT(" ",99)),298,99)))</f>
        <v/>
      </c>
      <c r="CK62" s="45" t="str">
        <f aca="false">IF(Tasks[[#This Row],[_Pred4Text]]="","",IFERROR(VALUE(LEFT(Tasks[[#This Row],[_Pred4Text]],MIN(FIND("F",Tasks[[#This Row],[_Pred4Text]]&amp;"F"),FIND("S",Tasks[[#This Row],[_Pred4Text]]&amp;"S"),FIND("+",Tasks[[#This Row],[_Pred4Text]]&amp;"+"),FIND("-",Tasks[[#This Row],[_Pred4Text]]&amp;"-"))-1)),""))</f>
        <v/>
      </c>
      <c r="CL6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6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62" s="45" t="str">
        <f aca="false">IF(OR(Tasks[[#This Row],[Task Name]]="",Tasks[[#This Row],[Resources]]=""),"",TRIM(MID(SUBSTITUTE(Tasks[[#This Row],[Resources]],",",REPT(" ",99)),1,99)))</f>
        <v/>
      </c>
      <c r="CO62" s="45" t="str">
        <f aca="false">IF(Tasks[[#This Row],[_Res1Text]]="","",TRIM(MID(SUBSTITUTE(Tasks[[#This Row],[Resources]],",",REPT(" ",99)),100,99)))</f>
        <v/>
      </c>
      <c r="CP62" s="45" t="str">
        <f aca="false">IF(Tasks[[#This Row],[_Res2Text]]="","",TRIM(MID(SUBSTITUTE(Tasks[[#This Row],[Resources]],",",REPT(" ",99)),199,99)))</f>
        <v/>
      </c>
      <c r="CQ62" s="45" t="str">
        <f aca="false">IF(Tasks[[#This Row],[_Res3Text]]="","",TRIM(MID(SUBSTITUTE(Tasks[[#This Row],[Resources]],",",REPT(" ",99)),298,99)))</f>
        <v/>
      </c>
      <c r="CR6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6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2" s="45" t="n">
        <f aca="false">IF(NOT(Tasks[[#This Row],[_IsLeaf]]=1),0,(Tasks[[#This Row],[_Resource1]]&lt;&gt;"")+(Tasks[[#This Row],[_Res2]]&lt;&gt;"")+(Tasks[[#This Row],[_Res3]]&lt;&gt;"")+(Tasks[[#This Row],[_Res4]]&lt;&gt;""))</f>
        <v>0</v>
      </c>
      <c r="CU6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6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2" s="45" t="n">
        <f aca="false">IF(OR(NOT(Tasks[[#This Row],[_IsLeaf]]=1),Tasks[[#This Row],[_Res2]]=""),0,IF(ISNA(MATCH(Tasks[[#This Row],[_Res2]],res_Name,0)),0,N(Tasks[[#This Row],[Duration]])*HoursPerDay*IF(Tasks[[#This Row],[_Res2Units]]="",DefaultUnits,Tasks[[#This Row],[_Res2Units]])))</f>
        <v>0</v>
      </c>
      <c r="CX62" s="45" t="n">
        <f aca="false">IF(Tasks[[#This Row],[_Res2Work]]=0,0,Tasks[[#This Row],[_Res2Work]]*IFERROR(INDEX(res_Rate,MATCH(Tasks[[#This Row],[_Res2]],res_Name,0)),0))</f>
        <v>0</v>
      </c>
      <c r="CY62" s="45" t="n">
        <f aca="false">IF(AND(AND(Tasks[[#This Row],[_IsLeaf]]=1,Tasks[[#This Row],[_LeafTotalWork]]&gt;0),Tasks[[#This Row],[_Res2Work]]&gt;0),Tasks[[#This Row],[_Res2Work]]/(Tasks[[#This Row],[_FinishWorkday]]-Tasks[[#This Row],[_StartWorkday]]+1),0)</f>
        <v>0</v>
      </c>
      <c r="CZ62" s="45" t="n">
        <f aca="false">Tasks[[#This Row],[_Res2WorkPerWD]]*MAX(0,Tasks[[#This Row],[_StartWorkday]]-1)</f>
        <v>0</v>
      </c>
      <c r="DA62" s="45" t="n">
        <f aca="false">Tasks[[#This Row],[_Res2Work]]*Tasks[[#This Row],[_LeafProgress]]</f>
        <v>0</v>
      </c>
      <c r="DB62" s="45" t="n">
        <f aca="false">IF(Tasks[[#This Row],[_LeafTotalCost]]=0,0,Tasks[[#This Row],[_LeafAC]]*Tasks[[#This Row],[_Res2Cost]]/Tasks[[#This Row],[_LeafTotalCost]])</f>
        <v>0</v>
      </c>
      <c r="DC6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6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62" s="45" t="n">
        <f aca="false">IF(OR(NOT(Tasks[[#This Row],[_IsLeaf]]=1),Tasks[[#This Row],[_Res3]]=""),0,IF(ISNA(MATCH(Tasks[[#This Row],[_Res3]],res_Name,0)),0,N(Tasks[[#This Row],[Duration]])*HoursPerDay*IF(Tasks[[#This Row],[_Res3Units]]="",DefaultUnits,Tasks[[#This Row],[_Res3Units]])))</f>
        <v>0</v>
      </c>
      <c r="DF62" s="45" t="n">
        <f aca="false">IF(Tasks[[#This Row],[_Res3Work]]=0,0,Tasks[[#This Row],[_Res3Work]]*IFERROR(INDEX(res_Rate,MATCH(Tasks[[#This Row],[_Res3]],res_Name,0)),0))</f>
        <v>0</v>
      </c>
      <c r="DG62" s="45" t="n">
        <f aca="false">IF(AND(AND(Tasks[[#This Row],[_IsLeaf]]=1,Tasks[[#This Row],[_LeafTotalWork]]&gt;0),Tasks[[#This Row],[_Res3Work]]&gt;0),Tasks[[#This Row],[_Res3Work]]/(Tasks[[#This Row],[_FinishWorkday]]-Tasks[[#This Row],[_StartWorkday]]+1),0)</f>
        <v>0</v>
      </c>
      <c r="DH62" s="45" t="n">
        <f aca="false">Tasks[[#This Row],[_Res3WorkPerWD]]*MAX(0,Tasks[[#This Row],[_StartWorkday]]-1)</f>
        <v>0</v>
      </c>
      <c r="DI62" s="45" t="n">
        <f aca="false">Tasks[[#This Row],[_Res3Work]]*Tasks[[#This Row],[_LeafProgress]]</f>
        <v>0</v>
      </c>
      <c r="DJ62" s="45" t="n">
        <f aca="false">IF(Tasks[[#This Row],[_LeafTotalCost]]=0,0,Tasks[[#This Row],[_LeafAC]]*Tasks[[#This Row],[_Res3Cost]]/Tasks[[#This Row],[_LeafTotalCost]])</f>
        <v>0</v>
      </c>
      <c r="DK6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6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62" s="45" t="n">
        <f aca="false">IF(OR(NOT(Tasks[[#This Row],[_IsLeaf]]=1),Tasks[[#This Row],[_Res4]]=""),0,IF(ISNA(MATCH(Tasks[[#This Row],[_Res4]],res_Name,0)),0,N(Tasks[[#This Row],[Duration]])*HoursPerDay*IF(Tasks[[#This Row],[_Res4Units]]="",DefaultUnits,Tasks[[#This Row],[_Res4Units]])))</f>
        <v>0</v>
      </c>
      <c r="DN62" s="45" t="n">
        <f aca="false">IF(Tasks[[#This Row],[_Res4Work]]=0,0,Tasks[[#This Row],[_Res4Work]]*IFERROR(INDEX(res_Rate,MATCH(Tasks[[#This Row],[_Res4]],res_Name,0)),0))</f>
        <v>0</v>
      </c>
      <c r="DO62" s="45" t="n">
        <f aca="false">IF(AND(AND(Tasks[[#This Row],[_IsLeaf]]=1,Tasks[[#This Row],[_LeafTotalWork]]&gt;0),Tasks[[#This Row],[_Res4Work]]&gt;0),Tasks[[#This Row],[_Res4Work]]/(Tasks[[#This Row],[_FinishWorkday]]-Tasks[[#This Row],[_StartWorkday]]+1),0)</f>
        <v>0</v>
      </c>
      <c r="DP62" s="45" t="n">
        <f aca="false">Tasks[[#This Row],[_Res4WorkPerWD]]*MAX(0,Tasks[[#This Row],[_StartWorkday]]-1)</f>
        <v>0</v>
      </c>
      <c r="DQ62" s="45" t="n">
        <f aca="false">Tasks[[#This Row],[_Res4Work]]*Tasks[[#This Row],[_LeafProgress]]</f>
        <v>0</v>
      </c>
      <c r="DR62" s="45" t="n">
        <f aca="false">IF(Tasks[[#This Row],[_LeafTotalCost]]=0,0,Tasks[[#This Row],[_LeafAC]]*Tasks[[#This Row],[_Res4Cost]]/Tasks[[#This Row],[_LeafTotalCost]])</f>
        <v>0</v>
      </c>
      <c r="DS62" s="45" t="n">
        <f aca="false">IF(ISNUMBER(Tasks[[#This Row],[% Complete]]),Tasks[[#This Row],[% Complete]],IF(Tasks[[#This Row],[Stage]]="",0,IFERROR(INDEX(stg_Pct,MATCH(Tasks[[#This Row],[Stage]],stg_Name,0)),0)))</f>
        <v>0</v>
      </c>
      <c r="DT62" s="45" t="n">
        <f aca="false">IF(NOT(Tasks[[#This Row],[_IsLeaf]]=1),0,IF(N(Tasks[[#This Row],[Actual Finish]])&gt;0,1,MIN(1,Tasks[[#This Row],[_Pct]])))</f>
        <v>0</v>
      </c>
      <c r="DU62" s="45" t="n">
        <f aca="false">IF(OR(NOT(Tasks[[#This Row],[_IsLeaf]]=1),Tasks[[#This Row],[_Resource1]]=""),0,IF(ISNA(MATCH(Tasks[[#This Row],[_Resource1]],res_Name,0)),0,N(Tasks[[#This Row],[Duration]])*HoursPerDay*IF(Tasks[[#This Row],[_Units1]]="",DefaultUnits,Tasks[[#This Row],[_Units1]])))</f>
        <v>0</v>
      </c>
      <c r="DV62" s="45" t="n">
        <f aca="false">IF(Tasks[[#This Row],[_LeafWork]]=0,0,Tasks[[#This Row],[_LeafWork]]*IFERROR(INDEX(res_Rate,MATCH(Tasks[[#This Row],[_Resource1]],res_Name,0)),0))</f>
        <v>0</v>
      </c>
      <c r="DW62" s="45" t="n">
        <f aca="false">Tasks[[#This Row],[_LeafWork]]+Tasks[[#This Row],[_Res2Work]]+Tasks[[#This Row],[_Res3Work]]+Tasks[[#This Row],[_Res4Work]]</f>
        <v>0</v>
      </c>
      <c r="DX62" s="45" t="n">
        <f aca="false">Tasks[[#This Row],[_LeafCost]]+Tasks[[#This Row],[_Res2Cost]]+Tasks[[#This Row],[_Res3Cost]]+Tasks[[#This Row],[_Res4Cost]]</f>
        <v>0</v>
      </c>
      <c r="DY62" s="45" t="n">
        <f aca="false">IF(Tasks[[#This Row],[_LeafTotalCost]]=0,Tasks[[#This Row],[_LeafAC]],Tasks[[#This Row],[_LeafAC]]*Tasks[[#This Row],[_LeafCost]]/Tasks[[#This Row],[_LeafTotalCost]])</f>
        <v>0</v>
      </c>
      <c r="DZ6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6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6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6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6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6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6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6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62" s="45" t="n">
        <f aca="false">IF(NOT(Tasks[[#This Row],[_IsLeaf]]=1),0,MAX(_xlfn.MAXIFS(Tasks[_Row],Tasks[_Pred1UID],Tasks[[#This Row],[UID]]),_xlfn.MAXIFS(Tasks[_Row],Tasks[_Pred2UID],Tasks[[#This Row],[UID]]),_xlfn.MAXIFS(Tasks[_Row],Tasks[_Pred3UID],Tasks[[#This Row],[UID]]),_xlfn.MAXIFS(Tasks[_Row],Tasks[_Pred4UID],Tasks[[#This Row],[UID]])))</f>
        <v>0</v>
      </c>
      <c r="EI6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6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62" s="74" t="str">
        <f aca="false">IF(NOT(Tasks[[#This Row],[_IsLeaf]]=1),"",IF(N(Tasks[[#This Row],[Duration]])&lt;=0,Tasks[[#This Row],[_LeafLateFinish]],WORKDAY.INTL(Tasks[[#This Row],[_LeafLateFinish]],-(Tasks[[#This Row],[Duration]]-1),WorkWeek,Holidays)))</f>
        <v/>
      </c>
      <c r="EL6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62" s="73" t="b">
        <f aca="false">AND(Tasks[[#This Row],[_IsLeaf]]=1,Tasks[[#This Row],[_LeafProgress]]&lt;1,N(Tasks[[#This Row],[_LeafTotalSlack]])&lt;=CriticalSlackDays)</f>
        <v>0</v>
      </c>
      <c r="EN62" s="45" t="n">
        <f aca="false">IF(AND(Tasks[[#This Row],[_IsLeaf]]=1,Tasks[[#This Row],[_ConstraintCode]]=1,Tasks[[#This Row],[Mode]]&lt;&gt;"Manual",N(Tasks[[#This Row],[Actual Start]])=0),MAX(0,N(Tasks[[#This Row],[Free Slack]])),0)</f>
        <v>0</v>
      </c>
      <c r="EO62" s="74" t="str">
        <f aca="false">IF(NOT(Tasks[[#This Row],[_IsLeaf]]=1),"",IF(Tasks[[#This Row],[_AlapShift]]=0,Tasks[[#This Row],[_LeafCalcStart]],WORKDAY.INTL(Tasks[[#This Row],[_LeafCalcStart]],Tasks[[#This Row],[_AlapShift]],WorkWeek,Holidays)))</f>
        <v/>
      </c>
      <c r="EP62" s="74" t="str">
        <f aca="false">IF(NOT(Tasks[[#This Row],[_IsLeaf]]=1),"",IF(Tasks[[#This Row],[_AlapShift]]=0,Tasks[[#This Row],[_LeafCalcFinish]],WORKDAY.INTL(Tasks[[#This Row],[_LeafCalcFinish]],Tasks[[#This Row],[_AlapShift]],WorkWeek,Holidays)))</f>
        <v/>
      </c>
      <c r="EQ62" s="74" t="str">
        <f aca="false">IF(NOT(Tasks[[#This Row],[_IsLeaf]]=1),"",IF(Tasks[[#This Row],[_AlapShift]]=0,Tasks[[#This Row],[_LeafFcstStart]],WORKDAY.INTL(Tasks[[#This Row],[_LeafFcstStart]],Tasks[[#This Row],[_AlapShift]],WorkWeek,Holidays)))</f>
        <v/>
      </c>
      <c r="ER62" s="74" t="str">
        <f aca="false">IF(NOT(Tasks[[#This Row],[_IsLeaf]]=1),"",IF(Tasks[[#This Row],[_AlapShift]]=0,Tasks[[#This Row],[_LeafFcstFinish]],WORKDAY.INTL(Tasks[[#This Row],[_LeafFcstFinish]],Tasks[[#This Row],[_AlapShift]],WorkWeek,Holidays)))</f>
        <v/>
      </c>
      <c r="ES62" s="74" t="str">
        <f aca="false">IF(Tasks[[#This Row],[Task Name]]="","",IF(Tasks[[#This Row],[_IsSummary]],MIN(INDEX(Tasks[_ShownCalcStart],Tasks[[#This Row],[_Row]]+1):INDEX(Tasks[_ShownCalcStart],Tasks[[#This Row],[_Row]]+Tasks[[#This Row],[_Descendants]])),Tasks[[#This Row],[_ShownCalcStart]]))</f>
        <v/>
      </c>
      <c r="ET62" s="74" t="str">
        <f aca="false">IF(Tasks[[#This Row],[Task Name]]="","",IF(Tasks[[#This Row],[_IsSummary]],MAX(INDEX(Tasks[_ShownCalcFinish],Tasks[[#This Row],[_Row]]+1):INDEX(Tasks[_ShownCalcFinish],Tasks[[#This Row],[_Row]]+Tasks[[#This Row],[_Descendants]])),Tasks[[#This Row],[_ShownCalcFinish]]))</f>
        <v/>
      </c>
      <c r="EU6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6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6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6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6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6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6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6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6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6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6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6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62" s="45" t="n">
        <f aca="false">IF(AND(Tasks[[#This Row],[_IsLeaf]]=1,Tasks[[#This Row],[_LeafTotalWork]]&gt;0),NETWORKDAYS.INTL(ProjectStart,Tasks[[#This Row],[_ShownFcstStart]],WorkWeek,Holidays),0)</f>
        <v>0</v>
      </c>
      <c r="FH62" s="45" t="n">
        <f aca="false">IF(AND(Tasks[[#This Row],[_IsLeaf]]=1,Tasks[[#This Row],[_LeafTotalWork]]&gt;0),MAX(Tasks[[#This Row],[_StartWorkday]],NETWORKDAYS.INTL(ProjectStart,Tasks[[#This Row],[_ShownFcstFinish]],WorkWeek,Holidays)),0)</f>
        <v>0</v>
      </c>
      <c r="FI62" s="45" t="n">
        <f aca="false">IF(AND(Tasks[[#This Row],[_IsLeaf]]=1,Tasks[[#This Row],[_LeafTotalWork]]&gt;0),Tasks[[#This Row],[_LeafWork]]/(Tasks[[#This Row],[_FinishWorkday]]-Tasks[[#This Row],[_StartWorkday]]+1),0)</f>
        <v>0</v>
      </c>
      <c r="FJ62" s="45" t="n">
        <f aca="false">Tasks[[#This Row],[_WorkPerWorkday]]*(Tasks[[#This Row],[_StartWorkday]]-1)</f>
        <v>-0</v>
      </c>
      <c r="FK62" s="45" t="n">
        <f aca="false">IF(Tasks[[#This Row],[_IsLeaf]]=1,MAX(N(Tasks[[#This Row],[Duration]]),0.1),0)</f>
        <v>0</v>
      </c>
      <c r="FL62" s="45" t="n">
        <f aca="false">Tasks[[#This Row],[_WeightDur]]*Tasks[[#This Row],[_LeafProgress]]</f>
        <v>0</v>
      </c>
      <c r="FM6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62" s="45" t="str">
        <f aca="false">IF(AND(Tasks[[#This Row],[_IsLeaf]]=1,N(Tasks[[#This Row],[Duration]])=0,Tasks[[#This Row],[_LeafProgress]]&lt;1),Tasks[[#This Row],[_ShownFcstFinish]]+Tasks[[#This Row],[_Row]]/100000,"")</f>
        <v/>
      </c>
      <c r="FO6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62" s="45" t="n">
        <f aca="false">IF(NOT(Tasks[[#This Row],[_IsLeaf]]=1),0,IF(Tasks[[#This Row],[Baseline Cost]]="",Tasks[[#This Row],[_LeafTotalCost]],N(Tasks[[#This Row],[Baseline Cost]])))</f>
        <v>0</v>
      </c>
      <c r="FQ62" s="45" t="n">
        <f aca="false">Tasks[[#This Row],[_LeafBudget]]*Tasks[[#This Row],[_PlannedPct]]</f>
        <v>0</v>
      </c>
      <c r="FR62" s="45" t="n">
        <f aca="false">Tasks[[#This Row],[_LeafBudget]]*Tasks[[#This Row],[_LeafProgress]]</f>
        <v>0</v>
      </c>
      <c r="FS62" s="45" t="n">
        <f aca="false">IF(NOT(Tasks[[#This Row],[_IsLeaf]]=1),0,IF(Tasks[[#This Row],[Actual Cost]]="",Tasks[[#This Row],[_LeafTotalCost]]*Tasks[[#This Row],[_LeafProgress]],N(Tasks[[#This Row],[Actual Cost]])))</f>
        <v>0</v>
      </c>
      <c r="FT62" s="45" t="str">
        <f aca="false">IF(Tasks[[#This Row],[Task Name]]="","",LEFT(Tasks[[#This Row],[WBS]],FIND(".",Tasks[[#This Row],[WBS]]&amp;".")-1))</f>
        <v/>
      </c>
      <c r="FU62" s="45" t="str">
        <f aca="false">IF(AND(Tasks[[#This Row],[Task Name]]&lt;&gt;"",Tasks[[#This Row],[_Level]]=1),Tasks[[#This Row],[_Row]],"")</f>
        <v/>
      </c>
      <c r="FV62" s="45" t="str">
        <f aca="false">IF(AND(Tasks[[#This Row],[_IsLeaf]]=1,N(Tasks[[#This Row],[Duration]])=0),Tasks[[#This Row],[Planned Finish]]+Tasks[[#This Row],[_Row]]/100000,"")</f>
        <v/>
      </c>
      <c r="FW62" s="45" t="str">
        <f aca="false">IF(AND(Tasks[[#This Row],[_IsLeaf]]=1,Tasks[[#This Row],[_LeafProgress]]&lt;1,OR(N(Tasks[[#This Row],[Finish Var]])&gt;0,Tasks[[#This Row],[Status]]="Late Start")),MAX(0,Tasks[[#This Row],[Finish Var]])+1-Tasks[[#This Row],[_Row]]/1000000,"")</f>
        <v/>
      </c>
      <c r="FX62" s="45" t="str">
        <f aca="false">IF(AND(Tasks[[#This Row],[_IsLeaf]]=1,N(Tasks[[#This Row],[Actual Start]])=0,Tasks[[#This Row],[_ShownFcstStart]]&gt;=StatusDate,Tasks[[#This Row],[_ShownFcstStart]]&lt;=LookaheadEnd),Tasks[[#This Row],[_ShownFcstStart]]+Tasks[[#This Row],[_Row]]/100000,"")</f>
        <v/>
      </c>
      <c r="FY62" s="45" t="str">
        <f aca="false">IF(AND(Tasks[[#This Row],[_IsLeaf]]=1,Tasks[[#This Row],[_LeafProgress]]&lt;1,Tasks[[#This Row],[_ShownFcstFinish]]&gt;=StatusDate,Tasks[[#This Row],[_ShownFcstFinish]]&lt;=LookaheadEnd),Tasks[[#This Row],[_ShownFcstFinish]]+Tasks[[#This Row],[_Row]]/100000,"")</f>
        <v/>
      </c>
      <c r="FZ62" s="45" t="str">
        <f aca="false">IF(Tasks[[#This Row],[_LeafCritical]],Tasks[[#This Row],[_ShownFcstStart]]+Tasks[[#This Row],[_Row]]/100000,"")</f>
        <v/>
      </c>
      <c r="GA62" s="45" t="n">
        <f aca="false">Tasks[[#This Row],[_LeafWork]]*Tasks[[#This Row],[_LeafProgress]]</f>
        <v>0</v>
      </c>
      <c r="GB62" s="74" t="str">
        <f aca="false">IF(AND(Tasks[[#This Row],[_IsLeaf]]=1,Tasks[[#This Row],[_LeafProgress]]&gt;=1),IF(N(Tasks[[#This Row],[Actual Finish]])&gt;0,Tasks[[#This Row],[Actual Finish]],Tasks[[#This Row],[_ShownFcstFinish]]),"")</f>
        <v/>
      </c>
    </row>
    <row r="63" customFormat="false" ht="15" hidden="false" customHeight="false" outlineLevel="0" collapsed="false">
      <c r="A63" s="67" t="str">
        <f aca="false">IF(Tasks[[#This Row],[Task Name]]="","",COUNTA(Tasks[[#Headers],[Task Name]]:Tasks[[#This Row],[Task Name]])-1)</f>
        <v/>
      </c>
      <c r="B63" s="21" t="n">
        <v>58</v>
      </c>
      <c r="C6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21"/>
      <c r="E63" s="22"/>
      <c r="F63" s="21"/>
      <c r="G63" s="22"/>
      <c r="H63" s="22"/>
      <c r="I63" s="22"/>
      <c r="J63" s="7"/>
      <c r="K63" s="7"/>
      <c r="L63" s="22"/>
      <c r="M63" s="58" t="str">
        <f aca="false">IF(Tasks[[#This Row],[Task Name]]="","",IF(Tasks[[#This Row],[_IsSummary]],MIN(INDEX(Tasks[_ShownFcstStart],Tasks[[#This Row],[_Row]]+1):INDEX(Tasks[_ShownFcstStart],Tasks[[#This Row],[_Row]]+Tasks[[#This Row],[_Descendants]])),Tasks[[#This Row],[_ShownFcstStart]]))</f>
        <v/>
      </c>
      <c r="N63" s="58" t="str">
        <f aca="false">IF(Tasks[[#This Row],[Task Name]]="","",IF(Tasks[[#This Row],[_IsSummary]],MAX(INDEX(Tasks[_ShownFcstFinish],Tasks[[#This Row],[_Row]]+1):INDEX(Tasks[_ShownFcstFinish],Tasks[[#This Row],[_Row]]+Tasks[[#This Row],[_Descendants]])),Tasks[[#This Row],[_ShownFcstFinish]]))</f>
        <v/>
      </c>
      <c r="O63" s="20" t="str">
        <f aca="false">IF(Tasks[[#This Row],[Task Name]]="","",IF(Tasks[[#This Row],[Progress]]&gt;=1,"Complete",IF(OR(N(Tasks[[#This Row],[Actual Start]])&gt;0,Tasks[[#This Row],[Progress]]&gt;0),IF(Tasks[[#This Row],[Finish Var]]&gt;0,"Behind","In Progress"),IF(Tasks[[#This Row],[Planned Start]]&lt;StatusDate,"Late Start","Not Started"))))</f>
        <v/>
      </c>
      <c r="P63" s="20" t="str">
        <f aca="false">IF(Tasks[[#This Row],[Task Name]]="","",IF(IF(Tasks[[#This Row],[_IsSummary]],COUNTIF(INDEX(Tasks[_LeafCritical],Tasks[[#This Row],[_Row]]+1):INDEX(Tasks[_LeafCritical],Tasks[[#This Row],[_Row]]+Tasks[[#This Row],[_Descendants]]),TRUE())&gt;0,Tasks[[#This Row],[_LeafCritical]]),"Yes",""))</f>
        <v/>
      </c>
      <c r="Q6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63" s="67" t="str">
        <f aca="false">IF(Tasks[[#This Row],[Task Name]]="","",IF(Tasks[[#This Row],[_Level]]&lt;=OutlineShowLevel,"Yes","No"))</f>
        <v/>
      </c>
      <c r="S63" s="7"/>
      <c r="T63" s="21"/>
      <c r="U63" s="22"/>
      <c r="V63" s="7"/>
      <c r="W63" s="67" t="str">
        <f aca="false">IF(Tasks[[#This Row],[Task Name]]="","",IF(Tasks[[#This Row],[Finish]]&gt;=Tasks[[#This Row],[Planned Finish]],NETWORKDAYS.INTL(Tasks[[#This Row],[Planned Finish]],Tasks[[#This Row],[Finish]],WorkWeek,Holidays)-1,1-NETWORKDAYS.INTL(Tasks[[#This Row],[Finish]],Tasks[[#This Row],[Planned Finish]],WorkWeek,Holidays)))</f>
        <v/>
      </c>
      <c r="X63" s="58" t="str">
        <f aca="false">IF(Tasks[[#This Row],[Task Name]]="","",IF(N(Tasks[[#This Row],[Baseline Start]])&gt;0,Tasks[[#This Row],[Baseline Start]],Tasks[[#This Row],[_CalcStart]]))</f>
        <v/>
      </c>
      <c r="Y63" s="58" t="str">
        <f aca="false">IF(Tasks[[#This Row],[Task Name]]="","",IF(N(Tasks[[#This Row],[Baseline Finish]])&gt;0,Tasks[[#This Row],[Baseline Finish]],Tasks[[#This Row],[_CalcFinish]]))</f>
        <v/>
      </c>
      <c r="Z63" s="67" t="str">
        <f aca="false">IF(Tasks[[#This Row],[Task Name]]="","",IF(Tasks[[#This Row],[Start]]&gt;=Tasks[[#This Row],[Planned Start]],NETWORKDAYS.INTL(Tasks[[#This Row],[Planned Start]],Tasks[[#This Row],[Start]],WorkWeek,Holidays)-1,1-NETWORKDAYS.INTL(Tasks[[#This Row],[Start]],Tasks[[#This Row],[Planned Start]],WorkWeek,Holidays)))</f>
        <v/>
      </c>
      <c r="AA63" s="58" t="str">
        <f aca="false">IF(Tasks[[#This Row],[Task Name]]="","",IF(Tasks[[#This Row],[_IsSummary]],MIN(INDEX(Tasks[_LeafLateStart],Tasks[[#This Row],[_Row]]+1):INDEX(Tasks[_LeafLateStart],Tasks[[#This Row],[_Row]]+Tasks[[#This Row],[_Descendants]])),Tasks[[#This Row],[_LeafLateStart]]))</f>
        <v/>
      </c>
      <c r="AB63" s="58" t="str">
        <f aca="false">IF(Tasks[[#This Row],[Task Name]]="","",IF(Tasks[[#This Row],[_IsSummary]],MAX(INDEX(Tasks[_LeafLateFinish],Tasks[[#This Row],[_Row]]+1):INDEX(Tasks[_LeafLateFinish],Tasks[[#This Row],[_Row]]+Tasks[[#This Row],[_Descendants]])),Tasks[[#This Row],[_LeafLateFinish]]))</f>
        <v/>
      </c>
      <c r="AC63" s="67" t="str">
        <f aca="false">IF(Tasks[[#This Row],[Task Name]]="","",IF(Tasks[[#This Row],[_IsSummary]],MIN(INDEX(Tasks[_LeafTotalSlack],Tasks[[#This Row],[_Row]]+1):INDEX(Tasks[_LeafTotalSlack],Tasks[[#This Row],[_Row]]+Tasks[[#This Row],[_Descendants]])),Tasks[[#This Row],[_LeafTotalSlack]]))</f>
        <v/>
      </c>
      <c r="AD6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6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6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63" s="60"/>
      <c r="AH6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6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63" s="69" t="str">
        <f aca="false">IF(Tasks[[#This Row],[Task Name]]="","",IF(Tasks[[#This Row],[_IsSummary]],SUM(INDEX(Tasks[_LeafTotalWork],Tasks[[#This Row],[_Row]]+1):INDEX(Tasks[_LeafTotalWork],Tasks[[#This Row],[_Row]]+Tasks[[#This Row],[_Descendants]])),Tasks[[#This Row],[_LeafTotalWork]]))</f>
        <v/>
      </c>
      <c r="AK6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63" s="70" t="str">
        <f aca="false">IF(Tasks[[#This Row],[Task Name]]="","",IF(Tasks[[#This Row],[_IsSummary]],SUM(INDEX(Tasks[_LeafTotalCost],Tasks[[#This Row],[_Row]]+1):INDEX(Tasks[_LeafTotalCost],Tasks[[#This Row],[_Row]]+Tasks[[#This Row],[_Descendants]])),Tasks[[#This Row],[_LeafTotalCost]]))</f>
        <v/>
      </c>
      <c r="AM63" s="71"/>
      <c r="AN63" s="20" t="str">
        <f aca="false">IF(OR(Tasks[[#This Row],[Task Name]]="",Tasks[[#This Row],[Baseline Duration]]=""),"",Tasks[[#This Row],[BL Source Duration]]-N(Tasks[[#This Row],[Baseline Duration]]))</f>
        <v/>
      </c>
      <c r="AO63" s="69" t="str">
        <f aca="false">IF(OR(Tasks[[#This Row],[Task Name]]="",Tasks[[#This Row],[Baseline Work]]=""),"",Tasks[[#This Row],[Work]]-N(Tasks[[#This Row],[Baseline Work]]))</f>
        <v/>
      </c>
      <c r="AP63" s="70" t="str">
        <f aca="false">IF(OR(Tasks[[#This Row],[Task Name]]="",Tasks[[#This Row],[Baseline Cost]]=""),"",Tasks[[#This Row],[Cost]]-N(Tasks[[#This Row],[Baseline Cost]]))</f>
        <v/>
      </c>
      <c r="AQ63" s="58" t="str">
        <f aca="false">IF(Tasks[[#This Row],[Task Name]]="","",Tasks[[#This Row],[Start]])</f>
        <v/>
      </c>
      <c r="AR63" s="58" t="str">
        <f aca="false">IF(Tasks[[#This Row],[Task Name]]="","",Tasks[[#This Row],[Finish]])</f>
        <v/>
      </c>
      <c r="AS63" s="67" t="str">
        <f aca="false">IF(Tasks[[#This Row],[Task Name]]="","",IF(Tasks[[#This Row],[_IsSummary]],NETWORKDAYS.INTL(Tasks[[#This Row],[Start]],Tasks[[#This Row],[Finish]],WorkWeek,Holidays),N(Tasks[[#This Row],[Duration]])))</f>
        <v/>
      </c>
      <c r="AT63" s="69" t="str">
        <f aca="false">IF(Tasks[[#This Row],[Task Name]]="","",Tasks[[#This Row],[Work]])</f>
        <v/>
      </c>
      <c r="AU63" s="70" t="str">
        <f aca="false">IF(Tasks[[#This Row],[Task Name]]="","",Tasks[[#This Row],[Cost]])</f>
        <v/>
      </c>
      <c r="AV63" s="7"/>
      <c r="AW63" s="7"/>
      <c r="AX63" s="21"/>
      <c r="AY63" s="72"/>
      <c r="AZ63" s="71"/>
      <c r="BA63" s="70" t="str">
        <f aca="false">IF(Tasks[[#This Row],[Task Name]]="","",IF(Tasks[[#This Row],[_IsSummary]],SUM(INDEX(Tasks[_LeafEV],Tasks[[#This Row],[_Row]]+1):INDEX(Tasks[_LeafEV],Tasks[[#This Row],[_Row]]+Tasks[[#This Row],[_Descendants]])),Tasks[[#This Row],[_LeafEV]]))</f>
        <v/>
      </c>
      <c r="BB63" s="70" t="str">
        <f aca="false">IF(Tasks[[#This Row],[Task Name]]="","",IF(Tasks[[#This Row],[_IsSummary]],SUM(INDEX(Tasks[_LeafBudget],Tasks[[#This Row],[_Row]]+1):INDEX(Tasks[_LeafBudget],Tasks[[#This Row],[_Row]]+Tasks[[#This Row],[_Descendants]])),Tasks[[#This Row],[_LeafBudget]]))</f>
        <v/>
      </c>
      <c r="BC63" s="70" t="str">
        <f aca="false">IF(Tasks[[#This Row],[Task Name]]="","",IF(Tasks[[#This Row],[_IsSummary]],SUM(INDEX(Tasks[_LeafPV],Tasks[[#This Row],[_Row]]+1):INDEX(Tasks[_LeafPV],Tasks[[#This Row],[_Row]]+Tasks[[#This Row],[_Descendants]])),Tasks[[#This Row],[_LeafPV]]))</f>
        <v/>
      </c>
      <c r="BD63" s="70" t="str">
        <f aca="false">IF(Tasks[[#This Row],[Task Name]]="","",IF(Tasks[[#This Row],[_IsSummary]],SUM(INDEX(Tasks[_LeafAC],Tasks[[#This Row],[_Row]]+1):INDEX(Tasks[_LeafAC],Tasks[[#This Row],[_Row]]+Tasks[[#This Row],[_Descendants]])),Tasks[[#This Row],[_LeafAC]]))</f>
        <v/>
      </c>
      <c r="BE63" s="45" t="str">
        <f aca="false">IF(Tasks[[#This Row],[Task Name]]="","",MAX(1,N(Tasks[[#This Row],[Level]])))</f>
        <v/>
      </c>
      <c r="BF63" s="45" t="n">
        <f aca="false">ROW()-ROW(Tasks[[#Headers],[ID]])</f>
        <v>58</v>
      </c>
      <c r="BG63" s="45" t="n">
        <f aca="false">IF(OR(Tasks[[#This Row],[Task Name]]="",Tasks[[#This Row],[_Level]]&lt;=1),0,IFERROR(LOOKUP(2,1/(Tasks[[#Headers],[_Level]]:Tasks[[#This Row],[_Level]]=Tasks[[#This Row],[_Level]]-1),ROW(Tasks[[#Headers],[_Level]]:Tasks[[#This Row],[_Level]])),0))</f>
        <v>0</v>
      </c>
      <c r="BH63" s="45" t="n">
        <f aca="false">IFERROR(N(INDEX(Tasks[_Level],Tasks[[#This Row],[_Row]]+1)),0)</f>
        <v>0</v>
      </c>
      <c r="BI63" s="73" t="b">
        <f aca="false">AND(Tasks[[#This Row],[Task Name]]&lt;&gt;"",Tasks[[#This Row],[_NextLevel]]&gt;Tasks[[#This Row],[_Level]])</f>
        <v>0</v>
      </c>
      <c r="BJ63" s="45" t="n">
        <f aca="false">IF(Tasks[[#This Row],[_IsSummary]],COUNTIF(Tasks[WBS],Tasks[[#This Row],[WBS]]&amp;".*"),0)</f>
        <v>0</v>
      </c>
      <c r="BK63" s="45" t="n">
        <f aca="false">IF(AND(Tasks[[#This Row],[Task Name]]&lt;&gt;"",NOT(Tasks[[#This Row],[_IsSummary]])),1,0)</f>
        <v>0</v>
      </c>
      <c r="BL63" s="45" t="n">
        <f aca="false">IF(N(Tasks[[#This Row],[_Pred1UID]])=0,0,IFERROR(MATCH(Tasks[[#This Row],[_Pred1UID]],Tasks[UID],0),-1))</f>
        <v>0</v>
      </c>
      <c r="BM63" s="45" t="n">
        <f aca="false">IF(N(Tasks[[#This Row],[_Pred2UID]])=0,0,IFERROR(MATCH(Tasks[[#This Row],[_Pred2UID]],Tasks[UID],0),-1))</f>
        <v>0</v>
      </c>
      <c r="BN63" s="45" t="n">
        <f aca="false">IF(N(Tasks[[#This Row],[_Pred3UID]])=0,0,IFERROR(MATCH(Tasks[[#This Row],[_Pred3UID]],Tasks[UID],0),-1))</f>
        <v>0</v>
      </c>
      <c r="BO63" s="45" t="n">
        <f aca="false">IF(N(Tasks[[#This Row],[_Pred4UID]])=0,0,IFERROR(MATCH(Tasks[[#This Row],[_Pred4UID]],Tasks[UID],0),-1))</f>
        <v>0</v>
      </c>
      <c r="BP6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6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63" s="74" t="n">
        <f aca="false">IF(OR(Tasks[[#This Row],[_ConstraintCode]]=2,Tasks[[#This Row],[_ConstraintCode]]=3,Tasks[[#This Row],[_ConstraintCode]]=4,Tasks[[#This Row],[_ConstraintCode]]=6),Tasks[[#This Row],[_ConstraintStart]],0)</f>
        <v>0</v>
      </c>
      <c r="BS63" s="74" t="n">
        <f aca="false">IF(OR(Tasks[[#This Row],[_ConstraintCode]]=2,Tasks[[#This Row],[_ConstraintCode]]=3,Tasks[[#This Row],[_ConstraintCode]]=5,Tasks[[#This Row],[_ConstraintCode]]=7),Tasks[[#This Row],[_ConstraintStart]],2958465)</f>
        <v>2958465</v>
      </c>
      <c r="BT6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63" s="74" t="str">
        <f aca="false">IF(NOT(Tasks[[#This Row],[_IsLeaf]]=1),"",IF(N(Tasks[[#This Row],[Duration]])&lt;=0,Tasks[[#This Row],[_LeafCalcStart]],WORKDAY.INTL(Tasks[[#This Row],[_LeafCalcStart]],Tasks[[#This Row],[Duration]]-1,WorkWeek,Holidays)))</f>
        <v/>
      </c>
      <c r="BV6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6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63" s="45" t="str">
        <f aca="false">IF(Tasks[[#This Row],[Predecessors]]="","",TRIM(MID(SUBSTITUTE(SUBSTITUTE(SUBSTITUTE(UPPER(Tasks[[#This Row],[Predecessors]]),";",",")," ",""),",",REPT(" ",99)),1,99)))</f>
        <v/>
      </c>
      <c r="BY63" s="45" t="str">
        <f aca="false">IF(Tasks[[#This Row],[_Pred1Text]]="","",IFERROR(VALUE(LEFT(Tasks[[#This Row],[_Pred1Text]],MIN(FIND("F",Tasks[[#This Row],[_Pred1Text]]&amp;"F"),FIND("S",Tasks[[#This Row],[_Pred1Text]]&amp;"S"),FIND("+",Tasks[[#This Row],[_Pred1Text]]&amp;"+"),FIND("-",Tasks[[#This Row],[_Pred1Text]]&amp;"-"))-1)),""))</f>
        <v/>
      </c>
      <c r="BZ6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6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63" s="45" t="str">
        <f aca="false">IF(Tasks[[#This Row],[_Pred1Text]]="","",TRIM(MID(SUBSTITUTE(SUBSTITUTE(SUBSTITUTE(UPPER(Tasks[[#This Row],[Predecessors]]),";",",")," ",""),",",REPT(" ",99)),100,99)))</f>
        <v/>
      </c>
      <c r="CC63" s="45" t="str">
        <f aca="false">IF(Tasks[[#This Row],[_Pred2Text]]="","",IFERROR(VALUE(LEFT(Tasks[[#This Row],[_Pred2Text]],MIN(FIND("F",Tasks[[#This Row],[_Pred2Text]]&amp;"F"),FIND("S",Tasks[[#This Row],[_Pred2Text]]&amp;"S"),FIND("+",Tasks[[#This Row],[_Pred2Text]]&amp;"+"),FIND("-",Tasks[[#This Row],[_Pred2Text]]&amp;"-"))-1)),""))</f>
        <v/>
      </c>
      <c r="CD6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6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63" s="45" t="str">
        <f aca="false">IF(Tasks[[#This Row],[_Pred2Text]]="","",TRIM(MID(SUBSTITUTE(SUBSTITUTE(SUBSTITUTE(UPPER(Tasks[[#This Row],[Predecessors]]),";",",")," ",""),",",REPT(" ",99)),199,99)))</f>
        <v/>
      </c>
      <c r="CG63" s="45" t="str">
        <f aca="false">IF(Tasks[[#This Row],[_Pred3Text]]="","",IFERROR(VALUE(LEFT(Tasks[[#This Row],[_Pred3Text]],MIN(FIND("F",Tasks[[#This Row],[_Pred3Text]]&amp;"F"),FIND("S",Tasks[[#This Row],[_Pred3Text]]&amp;"S"),FIND("+",Tasks[[#This Row],[_Pred3Text]]&amp;"+"),FIND("-",Tasks[[#This Row],[_Pred3Text]]&amp;"-"))-1)),""))</f>
        <v/>
      </c>
      <c r="CH6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6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63" s="45" t="str">
        <f aca="false">IF(Tasks[[#This Row],[_Pred3Text]]="","",TRIM(MID(SUBSTITUTE(SUBSTITUTE(SUBSTITUTE(UPPER(Tasks[[#This Row],[Predecessors]]),";",",")," ",""),",",REPT(" ",99)),298,99)))</f>
        <v/>
      </c>
      <c r="CK63" s="45" t="str">
        <f aca="false">IF(Tasks[[#This Row],[_Pred4Text]]="","",IFERROR(VALUE(LEFT(Tasks[[#This Row],[_Pred4Text]],MIN(FIND("F",Tasks[[#This Row],[_Pred4Text]]&amp;"F"),FIND("S",Tasks[[#This Row],[_Pred4Text]]&amp;"S"),FIND("+",Tasks[[#This Row],[_Pred4Text]]&amp;"+"),FIND("-",Tasks[[#This Row],[_Pred4Text]]&amp;"-"))-1)),""))</f>
        <v/>
      </c>
      <c r="CL6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6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63" s="45" t="str">
        <f aca="false">IF(OR(Tasks[[#This Row],[Task Name]]="",Tasks[[#This Row],[Resources]]=""),"",TRIM(MID(SUBSTITUTE(Tasks[[#This Row],[Resources]],",",REPT(" ",99)),1,99)))</f>
        <v/>
      </c>
      <c r="CO63" s="45" t="str">
        <f aca="false">IF(Tasks[[#This Row],[_Res1Text]]="","",TRIM(MID(SUBSTITUTE(Tasks[[#This Row],[Resources]],",",REPT(" ",99)),100,99)))</f>
        <v/>
      </c>
      <c r="CP63" s="45" t="str">
        <f aca="false">IF(Tasks[[#This Row],[_Res2Text]]="","",TRIM(MID(SUBSTITUTE(Tasks[[#This Row],[Resources]],",",REPT(" ",99)),199,99)))</f>
        <v/>
      </c>
      <c r="CQ63" s="45" t="str">
        <f aca="false">IF(Tasks[[#This Row],[_Res3Text]]="","",TRIM(MID(SUBSTITUTE(Tasks[[#This Row],[Resources]],",",REPT(" ",99)),298,99)))</f>
        <v/>
      </c>
      <c r="CR6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6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3" s="45" t="n">
        <f aca="false">IF(NOT(Tasks[[#This Row],[_IsLeaf]]=1),0,(Tasks[[#This Row],[_Resource1]]&lt;&gt;"")+(Tasks[[#This Row],[_Res2]]&lt;&gt;"")+(Tasks[[#This Row],[_Res3]]&lt;&gt;"")+(Tasks[[#This Row],[_Res4]]&lt;&gt;""))</f>
        <v>0</v>
      </c>
      <c r="CU6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6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3" s="45" t="n">
        <f aca="false">IF(OR(NOT(Tasks[[#This Row],[_IsLeaf]]=1),Tasks[[#This Row],[_Res2]]=""),0,IF(ISNA(MATCH(Tasks[[#This Row],[_Res2]],res_Name,0)),0,N(Tasks[[#This Row],[Duration]])*HoursPerDay*IF(Tasks[[#This Row],[_Res2Units]]="",DefaultUnits,Tasks[[#This Row],[_Res2Units]])))</f>
        <v>0</v>
      </c>
      <c r="CX63" s="45" t="n">
        <f aca="false">IF(Tasks[[#This Row],[_Res2Work]]=0,0,Tasks[[#This Row],[_Res2Work]]*IFERROR(INDEX(res_Rate,MATCH(Tasks[[#This Row],[_Res2]],res_Name,0)),0))</f>
        <v>0</v>
      </c>
      <c r="CY63" s="45" t="n">
        <f aca="false">IF(AND(AND(Tasks[[#This Row],[_IsLeaf]]=1,Tasks[[#This Row],[_LeafTotalWork]]&gt;0),Tasks[[#This Row],[_Res2Work]]&gt;0),Tasks[[#This Row],[_Res2Work]]/(Tasks[[#This Row],[_FinishWorkday]]-Tasks[[#This Row],[_StartWorkday]]+1),0)</f>
        <v>0</v>
      </c>
      <c r="CZ63" s="45" t="n">
        <f aca="false">Tasks[[#This Row],[_Res2WorkPerWD]]*MAX(0,Tasks[[#This Row],[_StartWorkday]]-1)</f>
        <v>0</v>
      </c>
      <c r="DA63" s="45" t="n">
        <f aca="false">Tasks[[#This Row],[_Res2Work]]*Tasks[[#This Row],[_LeafProgress]]</f>
        <v>0</v>
      </c>
      <c r="DB63" s="45" t="n">
        <f aca="false">IF(Tasks[[#This Row],[_LeafTotalCost]]=0,0,Tasks[[#This Row],[_LeafAC]]*Tasks[[#This Row],[_Res2Cost]]/Tasks[[#This Row],[_LeafTotalCost]])</f>
        <v>0</v>
      </c>
      <c r="DC6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6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63" s="45" t="n">
        <f aca="false">IF(OR(NOT(Tasks[[#This Row],[_IsLeaf]]=1),Tasks[[#This Row],[_Res3]]=""),0,IF(ISNA(MATCH(Tasks[[#This Row],[_Res3]],res_Name,0)),0,N(Tasks[[#This Row],[Duration]])*HoursPerDay*IF(Tasks[[#This Row],[_Res3Units]]="",DefaultUnits,Tasks[[#This Row],[_Res3Units]])))</f>
        <v>0</v>
      </c>
      <c r="DF63" s="45" t="n">
        <f aca="false">IF(Tasks[[#This Row],[_Res3Work]]=0,0,Tasks[[#This Row],[_Res3Work]]*IFERROR(INDEX(res_Rate,MATCH(Tasks[[#This Row],[_Res3]],res_Name,0)),0))</f>
        <v>0</v>
      </c>
      <c r="DG63" s="45" t="n">
        <f aca="false">IF(AND(AND(Tasks[[#This Row],[_IsLeaf]]=1,Tasks[[#This Row],[_LeafTotalWork]]&gt;0),Tasks[[#This Row],[_Res3Work]]&gt;0),Tasks[[#This Row],[_Res3Work]]/(Tasks[[#This Row],[_FinishWorkday]]-Tasks[[#This Row],[_StartWorkday]]+1),0)</f>
        <v>0</v>
      </c>
      <c r="DH63" s="45" t="n">
        <f aca="false">Tasks[[#This Row],[_Res3WorkPerWD]]*MAX(0,Tasks[[#This Row],[_StartWorkday]]-1)</f>
        <v>0</v>
      </c>
      <c r="DI63" s="45" t="n">
        <f aca="false">Tasks[[#This Row],[_Res3Work]]*Tasks[[#This Row],[_LeafProgress]]</f>
        <v>0</v>
      </c>
      <c r="DJ63" s="45" t="n">
        <f aca="false">IF(Tasks[[#This Row],[_LeafTotalCost]]=0,0,Tasks[[#This Row],[_LeafAC]]*Tasks[[#This Row],[_Res3Cost]]/Tasks[[#This Row],[_LeafTotalCost]])</f>
        <v>0</v>
      </c>
      <c r="DK6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6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63" s="45" t="n">
        <f aca="false">IF(OR(NOT(Tasks[[#This Row],[_IsLeaf]]=1),Tasks[[#This Row],[_Res4]]=""),0,IF(ISNA(MATCH(Tasks[[#This Row],[_Res4]],res_Name,0)),0,N(Tasks[[#This Row],[Duration]])*HoursPerDay*IF(Tasks[[#This Row],[_Res4Units]]="",DefaultUnits,Tasks[[#This Row],[_Res4Units]])))</f>
        <v>0</v>
      </c>
      <c r="DN63" s="45" t="n">
        <f aca="false">IF(Tasks[[#This Row],[_Res4Work]]=0,0,Tasks[[#This Row],[_Res4Work]]*IFERROR(INDEX(res_Rate,MATCH(Tasks[[#This Row],[_Res4]],res_Name,0)),0))</f>
        <v>0</v>
      </c>
      <c r="DO63" s="45" t="n">
        <f aca="false">IF(AND(AND(Tasks[[#This Row],[_IsLeaf]]=1,Tasks[[#This Row],[_LeafTotalWork]]&gt;0),Tasks[[#This Row],[_Res4Work]]&gt;0),Tasks[[#This Row],[_Res4Work]]/(Tasks[[#This Row],[_FinishWorkday]]-Tasks[[#This Row],[_StartWorkday]]+1),0)</f>
        <v>0</v>
      </c>
      <c r="DP63" s="45" t="n">
        <f aca="false">Tasks[[#This Row],[_Res4WorkPerWD]]*MAX(0,Tasks[[#This Row],[_StartWorkday]]-1)</f>
        <v>0</v>
      </c>
      <c r="DQ63" s="45" t="n">
        <f aca="false">Tasks[[#This Row],[_Res4Work]]*Tasks[[#This Row],[_LeafProgress]]</f>
        <v>0</v>
      </c>
      <c r="DR63" s="45" t="n">
        <f aca="false">IF(Tasks[[#This Row],[_LeafTotalCost]]=0,0,Tasks[[#This Row],[_LeafAC]]*Tasks[[#This Row],[_Res4Cost]]/Tasks[[#This Row],[_LeafTotalCost]])</f>
        <v>0</v>
      </c>
      <c r="DS63" s="45" t="n">
        <f aca="false">IF(ISNUMBER(Tasks[[#This Row],[% Complete]]),Tasks[[#This Row],[% Complete]],IF(Tasks[[#This Row],[Stage]]="",0,IFERROR(INDEX(stg_Pct,MATCH(Tasks[[#This Row],[Stage]],stg_Name,0)),0)))</f>
        <v>0</v>
      </c>
      <c r="DT63" s="45" t="n">
        <f aca="false">IF(NOT(Tasks[[#This Row],[_IsLeaf]]=1),0,IF(N(Tasks[[#This Row],[Actual Finish]])&gt;0,1,MIN(1,Tasks[[#This Row],[_Pct]])))</f>
        <v>0</v>
      </c>
      <c r="DU63" s="45" t="n">
        <f aca="false">IF(OR(NOT(Tasks[[#This Row],[_IsLeaf]]=1),Tasks[[#This Row],[_Resource1]]=""),0,IF(ISNA(MATCH(Tasks[[#This Row],[_Resource1]],res_Name,0)),0,N(Tasks[[#This Row],[Duration]])*HoursPerDay*IF(Tasks[[#This Row],[_Units1]]="",DefaultUnits,Tasks[[#This Row],[_Units1]])))</f>
        <v>0</v>
      </c>
      <c r="DV63" s="45" t="n">
        <f aca="false">IF(Tasks[[#This Row],[_LeafWork]]=0,0,Tasks[[#This Row],[_LeafWork]]*IFERROR(INDEX(res_Rate,MATCH(Tasks[[#This Row],[_Resource1]],res_Name,0)),0))</f>
        <v>0</v>
      </c>
      <c r="DW63" s="45" t="n">
        <f aca="false">Tasks[[#This Row],[_LeafWork]]+Tasks[[#This Row],[_Res2Work]]+Tasks[[#This Row],[_Res3Work]]+Tasks[[#This Row],[_Res4Work]]</f>
        <v>0</v>
      </c>
      <c r="DX63" s="45" t="n">
        <f aca="false">Tasks[[#This Row],[_LeafCost]]+Tasks[[#This Row],[_Res2Cost]]+Tasks[[#This Row],[_Res3Cost]]+Tasks[[#This Row],[_Res4Cost]]</f>
        <v>0</v>
      </c>
      <c r="DY63" s="45" t="n">
        <f aca="false">IF(Tasks[[#This Row],[_LeafTotalCost]]=0,Tasks[[#This Row],[_LeafAC]],Tasks[[#This Row],[_LeafAC]]*Tasks[[#This Row],[_LeafCost]]/Tasks[[#This Row],[_LeafTotalCost]])</f>
        <v>0</v>
      </c>
      <c r="DZ6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6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6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6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6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6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6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6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63" s="45" t="n">
        <f aca="false">IF(NOT(Tasks[[#This Row],[_IsLeaf]]=1),0,MAX(_xlfn.MAXIFS(Tasks[_Row],Tasks[_Pred1UID],Tasks[[#This Row],[UID]]),_xlfn.MAXIFS(Tasks[_Row],Tasks[_Pred2UID],Tasks[[#This Row],[UID]]),_xlfn.MAXIFS(Tasks[_Row],Tasks[_Pred3UID],Tasks[[#This Row],[UID]]),_xlfn.MAXIFS(Tasks[_Row],Tasks[_Pred4UID],Tasks[[#This Row],[UID]])))</f>
        <v>0</v>
      </c>
      <c r="EI6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6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63" s="74" t="str">
        <f aca="false">IF(NOT(Tasks[[#This Row],[_IsLeaf]]=1),"",IF(N(Tasks[[#This Row],[Duration]])&lt;=0,Tasks[[#This Row],[_LeafLateFinish]],WORKDAY.INTL(Tasks[[#This Row],[_LeafLateFinish]],-(Tasks[[#This Row],[Duration]]-1),WorkWeek,Holidays)))</f>
        <v/>
      </c>
      <c r="EL6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63" s="73" t="b">
        <f aca="false">AND(Tasks[[#This Row],[_IsLeaf]]=1,Tasks[[#This Row],[_LeafProgress]]&lt;1,N(Tasks[[#This Row],[_LeafTotalSlack]])&lt;=CriticalSlackDays)</f>
        <v>0</v>
      </c>
      <c r="EN63" s="45" t="n">
        <f aca="false">IF(AND(Tasks[[#This Row],[_IsLeaf]]=1,Tasks[[#This Row],[_ConstraintCode]]=1,Tasks[[#This Row],[Mode]]&lt;&gt;"Manual",N(Tasks[[#This Row],[Actual Start]])=0),MAX(0,N(Tasks[[#This Row],[Free Slack]])),0)</f>
        <v>0</v>
      </c>
      <c r="EO63" s="74" t="str">
        <f aca="false">IF(NOT(Tasks[[#This Row],[_IsLeaf]]=1),"",IF(Tasks[[#This Row],[_AlapShift]]=0,Tasks[[#This Row],[_LeafCalcStart]],WORKDAY.INTL(Tasks[[#This Row],[_LeafCalcStart]],Tasks[[#This Row],[_AlapShift]],WorkWeek,Holidays)))</f>
        <v/>
      </c>
      <c r="EP63" s="74" t="str">
        <f aca="false">IF(NOT(Tasks[[#This Row],[_IsLeaf]]=1),"",IF(Tasks[[#This Row],[_AlapShift]]=0,Tasks[[#This Row],[_LeafCalcFinish]],WORKDAY.INTL(Tasks[[#This Row],[_LeafCalcFinish]],Tasks[[#This Row],[_AlapShift]],WorkWeek,Holidays)))</f>
        <v/>
      </c>
      <c r="EQ63" s="74" t="str">
        <f aca="false">IF(NOT(Tasks[[#This Row],[_IsLeaf]]=1),"",IF(Tasks[[#This Row],[_AlapShift]]=0,Tasks[[#This Row],[_LeafFcstStart]],WORKDAY.INTL(Tasks[[#This Row],[_LeafFcstStart]],Tasks[[#This Row],[_AlapShift]],WorkWeek,Holidays)))</f>
        <v/>
      </c>
      <c r="ER63" s="74" t="str">
        <f aca="false">IF(NOT(Tasks[[#This Row],[_IsLeaf]]=1),"",IF(Tasks[[#This Row],[_AlapShift]]=0,Tasks[[#This Row],[_LeafFcstFinish]],WORKDAY.INTL(Tasks[[#This Row],[_LeafFcstFinish]],Tasks[[#This Row],[_AlapShift]],WorkWeek,Holidays)))</f>
        <v/>
      </c>
      <c r="ES63" s="74" t="str">
        <f aca="false">IF(Tasks[[#This Row],[Task Name]]="","",IF(Tasks[[#This Row],[_IsSummary]],MIN(INDEX(Tasks[_ShownCalcStart],Tasks[[#This Row],[_Row]]+1):INDEX(Tasks[_ShownCalcStart],Tasks[[#This Row],[_Row]]+Tasks[[#This Row],[_Descendants]])),Tasks[[#This Row],[_ShownCalcStart]]))</f>
        <v/>
      </c>
      <c r="ET63" s="74" t="str">
        <f aca="false">IF(Tasks[[#This Row],[Task Name]]="","",IF(Tasks[[#This Row],[_IsSummary]],MAX(INDEX(Tasks[_ShownCalcFinish],Tasks[[#This Row],[_Row]]+1):INDEX(Tasks[_ShownCalcFinish],Tasks[[#This Row],[_Row]]+Tasks[[#This Row],[_Descendants]])),Tasks[[#This Row],[_ShownCalcFinish]]))</f>
        <v/>
      </c>
      <c r="EU6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6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6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6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6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6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6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6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6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6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6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6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63" s="45" t="n">
        <f aca="false">IF(AND(Tasks[[#This Row],[_IsLeaf]]=1,Tasks[[#This Row],[_LeafTotalWork]]&gt;0),NETWORKDAYS.INTL(ProjectStart,Tasks[[#This Row],[_ShownFcstStart]],WorkWeek,Holidays),0)</f>
        <v>0</v>
      </c>
      <c r="FH63" s="45" t="n">
        <f aca="false">IF(AND(Tasks[[#This Row],[_IsLeaf]]=1,Tasks[[#This Row],[_LeafTotalWork]]&gt;0),MAX(Tasks[[#This Row],[_StartWorkday]],NETWORKDAYS.INTL(ProjectStart,Tasks[[#This Row],[_ShownFcstFinish]],WorkWeek,Holidays)),0)</f>
        <v>0</v>
      </c>
      <c r="FI63" s="45" t="n">
        <f aca="false">IF(AND(Tasks[[#This Row],[_IsLeaf]]=1,Tasks[[#This Row],[_LeafTotalWork]]&gt;0),Tasks[[#This Row],[_LeafWork]]/(Tasks[[#This Row],[_FinishWorkday]]-Tasks[[#This Row],[_StartWorkday]]+1),0)</f>
        <v>0</v>
      </c>
      <c r="FJ63" s="45" t="n">
        <f aca="false">Tasks[[#This Row],[_WorkPerWorkday]]*(Tasks[[#This Row],[_StartWorkday]]-1)</f>
        <v>-0</v>
      </c>
      <c r="FK63" s="45" t="n">
        <f aca="false">IF(Tasks[[#This Row],[_IsLeaf]]=1,MAX(N(Tasks[[#This Row],[Duration]]),0.1),0)</f>
        <v>0</v>
      </c>
      <c r="FL63" s="45" t="n">
        <f aca="false">Tasks[[#This Row],[_WeightDur]]*Tasks[[#This Row],[_LeafProgress]]</f>
        <v>0</v>
      </c>
      <c r="FM6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63" s="45" t="str">
        <f aca="false">IF(AND(Tasks[[#This Row],[_IsLeaf]]=1,N(Tasks[[#This Row],[Duration]])=0,Tasks[[#This Row],[_LeafProgress]]&lt;1),Tasks[[#This Row],[_ShownFcstFinish]]+Tasks[[#This Row],[_Row]]/100000,"")</f>
        <v/>
      </c>
      <c r="FO6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63" s="45" t="n">
        <f aca="false">IF(NOT(Tasks[[#This Row],[_IsLeaf]]=1),0,IF(Tasks[[#This Row],[Baseline Cost]]="",Tasks[[#This Row],[_LeafTotalCost]],N(Tasks[[#This Row],[Baseline Cost]])))</f>
        <v>0</v>
      </c>
      <c r="FQ63" s="45" t="n">
        <f aca="false">Tasks[[#This Row],[_LeafBudget]]*Tasks[[#This Row],[_PlannedPct]]</f>
        <v>0</v>
      </c>
      <c r="FR63" s="45" t="n">
        <f aca="false">Tasks[[#This Row],[_LeafBudget]]*Tasks[[#This Row],[_LeafProgress]]</f>
        <v>0</v>
      </c>
      <c r="FS63" s="45" t="n">
        <f aca="false">IF(NOT(Tasks[[#This Row],[_IsLeaf]]=1),0,IF(Tasks[[#This Row],[Actual Cost]]="",Tasks[[#This Row],[_LeafTotalCost]]*Tasks[[#This Row],[_LeafProgress]],N(Tasks[[#This Row],[Actual Cost]])))</f>
        <v>0</v>
      </c>
      <c r="FT63" s="45" t="str">
        <f aca="false">IF(Tasks[[#This Row],[Task Name]]="","",LEFT(Tasks[[#This Row],[WBS]],FIND(".",Tasks[[#This Row],[WBS]]&amp;".")-1))</f>
        <v/>
      </c>
      <c r="FU63" s="45" t="str">
        <f aca="false">IF(AND(Tasks[[#This Row],[Task Name]]&lt;&gt;"",Tasks[[#This Row],[_Level]]=1),Tasks[[#This Row],[_Row]],"")</f>
        <v/>
      </c>
      <c r="FV63" s="45" t="str">
        <f aca="false">IF(AND(Tasks[[#This Row],[_IsLeaf]]=1,N(Tasks[[#This Row],[Duration]])=0),Tasks[[#This Row],[Planned Finish]]+Tasks[[#This Row],[_Row]]/100000,"")</f>
        <v/>
      </c>
      <c r="FW63" s="45" t="str">
        <f aca="false">IF(AND(Tasks[[#This Row],[_IsLeaf]]=1,Tasks[[#This Row],[_LeafProgress]]&lt;1,OR(N(Tasks[[#This Row],[Finish Var]])&gt;0,Tasks[[#This Row],[Status]]="Late Start")),MAX(0,Tasks[[#This Row],[Finish Var]])+1-Tasks[[#This Row],[_Row]]/1000000,"")</f>
        <v/>
      </c>
      <c r="FX63" s="45" t="str">
        <f aca="false">IF(AND(Tasks[[#This Row],[_IsLeaf]]=1,N(Tasks[[#This Row],[Actual Start]])=0,Tasks[[#This Row],[_ShownFcstStart]]&gt;=StatusDate,Tasks[[#This Row],[_ShownFcstStart]]&lt;=LookaheadEnd),Tasks[[#This Row],[_ShownFcstStart]]+Tasks[[#This Row],[_Row]]/100000,"")</f>
        <v/>
      </c>
      <c r="FY63" s="45" t="str">
        <f aca="false">IF(AND(Tasks[[#This Row],[_IsLeaf]]=1,Tasks[[#This Row],[_LeafProgress]]&lt;1,Tasks[[#This Row],[_ShownFcstFinish]]&gt;=StatusDate,Tasks[[#This Row],[_ShownFcstFinish]]&lt;=LookaheadEnd),Tasks[[#This Row],[_ShownFcstFinish]]+Tasks[[#This Row],[_Row]]/100000,"")</f>
        <v/>
      </c>
      <c r="FZ63" s="45" t="str">
        <f aca="false">IF(Tasks[[#This Row],[_LeafCritical]],Tasks[[#This Row],[_ShownFcstStart]]+Tasks[[#This Row],[_Row]]/100000,"")</f>
        <v/>
      </c>
      <c r="GA63" s="45" t="n">
        <f aca="false">Tasks[[#This Row],[_LeafWork]]*Tasks[[#This Row],[_LeafProgress]]</f>
        <v>0</v>
      </c>
      <c r="GB63" s="74" t="str">
        <f aca="false">IF(AND(Tasks[[#This Row],[_IsLeaf]]=1,Tasks[[#This Row],[_LeafProgress]]&gt;=1),IF(N(Tasks[[#This Row],[Actual Finish]])&gt;0,Tasks[[#This Row],[Actual Finish]],Tasks[[#This Row],[_ShownFcstFinish]]),"")</f>
        <v/>
      </c>
    </row>
    <row r="64" customFormat="false" ht="15" hidden="false" customHeight="false" outlineLevel="0" collapsed="false">
      <c r="A64" s="67" t="str">
        <f aca="false">IF(Tasks[[#This Row],[Task Name]]="","",COUNTA(Tasks[[#Headers],[Task Name]]:Tasks[[#This Row],[Task Name]])-1)</f>
        <v/>
      </c>
      <c r="B64" s="21" t="n">
        <v>59</v>
      </c>
      <c r="C6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21"/>
      <c r="E64" s="22"/>
      <c r="F64" s="21"/>
      <c r="G64" s="22"/>
      <c r="H64" s="22"/>
      <c r="I64" s="22"/>
      <c r="J64" s="7"/>
      <c r="K64" s="7"/>
      <c r="L64" s="22"/>
      <c r="M64" s="58" t="str">
        <f aca="false">IF(Tasks[[#This Row],[Task Name]]="","",IF(Tasks[[#This Row],[_IsSummary]],MIN(INDEX(Tasks[_ShownFcstStart],Tasks[[#This Row],[_Row]]+1):INDEX(Tasks[_ShownFcstStart],Tasks[[#This Row],[_Row]]+Tasks[[#This Row],[_Descendants]])),Tasks[[#This Row],[_ShownFcstStart]]))</f>
        <v/>
      </c>
      <c r="N64" s="58" t="str">
        <f aca="false">IF(Tasks[[#This Row],[Task Name]]="","",IF(Tasks[[#This Row],[_IsSummary]],MAX(INDEX(Tasks[_ShownFcstFinish],Tasks[[#This Row],[_Row]]+1):INDEX(Tasks[_ShownFcstFinish],Tasks[[#This Row],[_Row]]+Tasks[[#This Row],[_Descendants]])),Tasks[[#This Row],[_ShownFcstFinish]]))</f>
        <v/>
      </c>
      <c r="O64" s="20" t="str">
        <f aca="false">IF(Tasks[[#This Row],[Task Name]]="","",IF(Tasks[[#This Row],[Progress]]&gt;=1,"Complete",IF(OR(N(Tasks[[#This Row],[Actual Start]])&gt;0,Tasks[[#This Row],[Progress]]&gt;0),IF(Tasks[[#This Row],[Finish Var]]&gt;0,"Behind","In Progress"),IF(Tasks[[#This Row],[Planned Start]]&lt;StatusDate,"Late Start","Not Started"))))</f>
        <v/>
      </c>
      <c r="P64" s="20" t="str">
        <f aca="false">IF(Tasks[[#This Row],[Task Name]]="","",IF(IF(Tasks[[#This Row],[_IsSummary]],COUNTIF(INDEX(Tasks[_LeafCritical],Tasks[[#This Row],[_Row]]+1):INDEX(Tasks[_LeafCritical],Tasks[[#This Row],[_Row]]+Tasks[[#This Row],[_Descendants]]),TRUE())&gt;0,Tasks[[#This Row],[_LeafCritical]]),"Yes",""))</f>
        <v/>
      </c>
      <c r="Q6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64" s="67" t="str">
        <f aca="false">IF(Tasks[[#This Row],[Task Name]]="","",IF(Tasks[[#This Row],[_Level]]&lt;=OutlineShowLevel,"Yes","No"))</f>
        <v/>
      </c>
      <c r="S64" s="7"/>
      <c r="T64" s="21"/>
      <c r="U64" s="22"/>
      <c r="V64" s="7"/>
      <c r="W64" s="67" t="str">
        <f aca="false">IF(Tasks[[#This Row],[Task Name]]="","",IF(Tasks[[#This Row],[Finish]]&gt;=Tasks[[#This Row],[Planned Finish]],NETWORKDAYS.INTL(Tasks[[#This Row],[Planned Finish]],Tasks[[#This Row],[Finish]],WorkWeek,Holidays)-1,1-NETWORKDAYS.INTL(Tasks[[#This Row],[Finish]],Tasks[[#This Row],[Planned Finish]],WorkWeek,Holidays)))</f>
        <v/>
      </c>
      <c r="X64" s="58" t="str">
        <f aca="false">IF(Tasks[[#This Row],[Task Name]]="","",IF(N(Tasks[[#This Row],[Baseline Start]])&gt;0,Tasks[[#This Row],[Baseline Start]],Tasks[[#This Row],[_CalcStart]]))</f>
        <v/>
      </c>
      <c r="Y64" s="58" t="str">
        <f aca="false">IF(Tasks[[#This Row],[Task Name]]="","",IF(N(Tasks[[#This Row],[Baseline Finish]])&gt;0,Tasks[[#This Row],[Baseline Finish]],Tasks[[#This Row],[_CalcFinish]]))</f>
        <v/>
      </c>
      <c r="Z64" s="67" t="str">
        <f aca="false">IF(Tasks[[#This Row],[Task Name]]="","",IF(Tasks[[#This Row],[Start]]&gt;=Tasks[[#This Row],[Planned Start]],NETWORKDAYS.INTL(Tasks[[#This Row],[Planned Start]],Tasks[[#This Row],[Start]],WorkWeek,Holidays)-1,1-NETWORKDAYS.INTL(Tasks[[#This Row],[Start]],Tasks[[#This Row],[Planned Start]],WorkWeek,Holidays)))</f>
        <v/>
      </c>
      <c r="AA64" s="58" t="str">
        <f aca="false">IF(Tasks[[#This Row],[Task Name]]="","",IF(Tasks[[#This Row],[_IsSummary]],MIN(INDEX(Tasks[_LeafLateStart],Tasks[[#This Row],[_Row]]+1):INDEX(Tasks[_LeafLateStart],Tasks[[#This Row],[_Row]]+Tasks[[#This Row],[_Descendants]])),Tasks[[#This Row],[_LeafLateStart]]))</f>
        <v/>
      </c>
      <c r="AB64" s="58" t="str">
        <f aca="false">IF(Tasks[[#This Row],[Task Name]]="","",IF(Tasks[[#This Row],[_IsSummary]],MAX(INDEX(Tasks[_LeafLateFinish],Tasks[[#This Row],[_Row]]+1):INDEX(Tasks[_LeafLateFinish],Tasks[[#This Row],[_Row]]+Tasks[[#This Row],[_Descendants]])),Tasks[[#This Row],[_LeafLateFinish]]))</f>
        <v/>
      </c>
      <c r="AC64" s="67" t="str">
        <f aca="false">IF(Tasks[[#This Row],[Task Name]]="","",IF(Tasks[[#This Row],[_IsSummary]],MIN(INDEX(Tasks[_LeafTotalSlack],Tasks[[#This Row],[_Row]]+1):INDEX(Tasks[_LeafTotalSlack],Tasks[[#This Row],[_Row]]+Tasks[[#This Row],[_Descendants]])),Tasks[[#This Row],[_LeafTotalSlack]]))</f>
        <v/>
      </c>
      <c r="AD6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6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6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64" s="60"/>
      <c r="AH6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6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64" s="69" t="str">
        <f aca="false">IF(Tasks[[#This Row],[Task Name]]="","",IF(Tasks[[#This Row],[_IsSummary]],SUM(INDEX(Tasks[_LeafTotalWork],Tasks[[#This Row],[_Row]]+1):INDEX(Tasks[_LeafTotalWork],Tasks[[#This Row],[_Row]]+Tasks[[#This Row],[_Descendants]])),Tasks[[#This Row],[_LeafTotalWork]]))</f>
        <v/>
      </c>
      <c r="AK6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64" s="70" t="str">
        <f aca="false">IF(Tasks[[#This Row],[Task Name]]="","",IF(Tasks[[#This Row],[_IsSummary]],SUM(INDEX(Tasks[_LeafTotalCost],Tasks[[#This Row],[_Row]]+1):INDEX(Tasks[_LeafTotalCost],Tasks[[#This Row],[_Row]]+Tasks[[#This Row],[_Descendants]])),Tasks[[#This Row],[_LeafTotalCost]]))</f>
        <v/>
      </c>
      <c r="AM64" s="71"/>
      <c r="AN64" s="20" t="str">
        <f aca="false">IF(OR(Tasks[[#This Row],[Task Name]]="",Tasks[[#This Row],[Baseline Duration]]=""),"",Tasks[[#This Row],[BL Source Duration]]-N(Tasks[[#This Row],[Baseline Duration]]))</f>
        <v/>
      </c>
      <c r="AO64" s="69" t="str">
        <f aca="false">IF(OR(Tasks[[#This Row],[Task Name]]="",Tasks[[#This Row],[Baseline Work]]=""),"",Tasks[[#This Row],[Work]]-N(Tasks[[#This Row],[Baseline Work]]))</f>
        <v/>
      </c>
      <c r="AP64" s="70" t="str">
        <f aca="false">IF(OR(Tasks[[#This Row],[Task Name]]="",Tasks[[#This Row],[Baseline Cost]]=""),"",Tasks[[#This Row],[Cost]]-N(Tasks[[#This Row],[Baseline Cost]]))</f>
        <v/>
      </c>
      <c r="AQ64" s="58" t="str">
        <f aca="false">IF(Tasks[[#This Row],[Task Name]]="","",Tasks[[#This Row],[Start]])</f>
        <v/>
      </c>
      <c r="AR64" s="58" t="str">
        <f aca="false">IF(Tasks[[#This Row],[Task Name]]="","",Tasks[[#This Row],[Finish]])</f>
        <v/>
      </c>
      <c r="AS64" s="67" t="str">
        <f aca="false">IF(Tasks[[#This Row],[Task Name]]="","",IF(Tasks[[#This Row],[_IsSummary]],NETWORKDAYS.INTL(Tasks[[#This Row],[Start]],Tasks[[#This Row],[Finish]],WorkWeek,Holidays),N(Tasks[[#This Row],[Duration]])))</f>
        <v/>
      </c>
      <c r="AT64" s="69" t="str">
        <f aca="false">IF(Tasks[[#This Row],[Task Name]]="","",Tasks[[#This Row],[Work]])</f>
        <v/>
      </c>
      <c r="AU64" s="70" t="str">
        <f aca="false">IF(Tasks[[#This Row],[Task Name]]="","",Tasks[[#This Row],[Cost]])</f>
        <v/>
      </c>
      <c r="AV64" s="7"/>
      <c r="AW64" s="7"/>
      <c r="AX64" s="21"/>
      <c r="AY64" s="72"/>
      <c r="AZ64" s="71"/>
      <c r="BA64" s="70" t="str">
        <f aca="false">IF(Tasks[[#This Row],[Task Name]]="","",IF(Tasks[[#This Row],[_IsSummary]],SUM(INDEX(Tasks[_LeafEV],Tasks[[#This Row],[_Row]]+1):INDEX(Tasks[_LeafEV],Tasks[[#This Row],[_Row]]+Tasks[[#This Row],[_Descendants]])),Tasks[[#This Row],[_LeafEV]]))</f>
        <v/>
      </c>
      <c r="BB64" s="70" t="str">
        <f aca="false">IF(Tasks[[#This Row],[Task Name]]="","",IF(Tasks[[#This Row],[_IsSummary]],SUM(INDEX(Tasks[_LeafBudget],Tasks[[#This Row],[_Row]]+1):INDEX(Tasks[_LeafBudget],Tasks[[#This Row],[_Row]]+Tasks[[#This Row],[_Descendants]])),Tasks[[#This Row],[_LeafBudget]]))</f>
        <v/>
      </c>
      <c r="BC64" s="70" t="str">
        <f aca="false">IF(Tasks[[#This Row],[Task Name]]="","",IF(Tasks[[#This Row],[_IsSummary]],SUM(INDEX(Tasks[_LeafPV],Tasks[[#This Row],[_Row]]+1):INDEX(Tasks[_LeafPV],Tasks[[#This Row],[_Row]]+Tasks[[#This Row],[_Descendants]])),Tasks[[#This Row],[_LeafPV]]))</f>
        <v/>
      </c>
      <c r="BD64" s="70" t="str">
        <f aca="false">IF(Tasks[[#This Row],[Task Name]]="","",IF(Tasks[[#This Row],[_IsSummary]],SUM(INDEX(Tasks[_LeafAC],Tasks[[#This Row],[_Row]]+1):INDEX(Tasks[_LeafAC],Tasks[[#This Row],[_Row]]+Tasks[[#This Row],[_Descendants]])),Tasks[[#This Row],[_LeafAC]]))</f>
        <v/>
      </c>
      <c r="BE64" s="45" t="str">
        <f aca="false">IF(Tasks[[#This Row],[Task Name]]="","",MAX(1,N(Tasks[[#This Row],[Level]])))</f>
        <v/>
      </c>
      <c r="BF64" s="45" t="n">
        <f aca="false">ROW()-ROW(Tasks[[#Headers],[ID]])</f>
        <v>59</v>
      </c>
      <c r="BG64" s="45" t="n">
        <f aca="false">IF(OR(Tasks[[#This Row],[Task Name]]="",Tasks[[#This Row],[_Level]]&lt;=1),0,IFERROR(LOOKUP(2,1/(Tasks[[#Headers],[_Level]]:Tasks[[#This Row],[_Level]]=Tasks[[#This Row],[_Level]]-1),ROW(Tasks[[#Headers],[_Level]]:Tasks[[#This Row],[_Level]])),0))</f>
        <v>0</v>
      </c>
      <c r="BH64" s="45" t="n">
        <f aca="false">IFERROR(N(INDEX(Tasks[_Level],Tasks[[#This Row],[_Row]]+1)),0)</f>
        <v>0</v>
      </c>
      <c r="BI64" s="73" t="b">
        <f aca="false">AND(Tasks[[#This Row],[Task Name]]&lt;&gt;"",Tasks[[#This Row],[_NextLevel]]&gt;Tasks[[#This Row],[_Level]])</f>
        <v>0</v>
      </c>
      <c r="BJ64" s="45" t="n">
        <f aca="false">IF(Tasks[[#This Row],[_IsSummary]],COUNTIF(Tasks[WBS],Tasks[[#This Row],[WBS]]&amp;".*"),0)</f>
        <v>0</v>
      </c>
      <c r="BK64" s="45" t="n">
        <f aca="false">IF(AND(Tasks[[#This Row],[Task Name]]&lt;&gt;"",NOT(Tasks[[#This Row],[_IsSummary]])),1,0)</f>
        <v>0</v>
      </c>
      <c r="BL64" s="45" t="n">
        <f aca="false">IF(N(Tasks[[#This Row],[_Pred1UID]])=0,0,IFERROR(MATCH(Tasks[[#This Row],[_Pred1UID]],Tasks[UID],0),-1))</f>
        <v>0</v>
      </c>
      <c r="BM64" s="45" t="n">
        <f aca="false">IF(N(Tasks[[#This Row],[_Pred2UID]])=0,0,IFERROR(MATCH(Tasks[[#This Row],[_Pred2UID]],Tasks[UID],0),-1))</f>
        <v>0</v>
      </c>
      <c r="BN64" s="45" t="n">
        <f aca="false">IF(N(Tasks[[#This Row],[_Pred3UID]])=0,0,IFERROR(MATCH(Tasks[[#This Row],[_Pred3UID]],Tasks[UID],0),-1))</f>
        <v>0</v>
      </c>
      <c r="BO64" s="45" t="n">
        <f aca="false">IF(N(Tasks[[#This Row],[_Pred4UID]])=0,0,IFERROR(MATCH(Tasks[[#This Row],[_Pred4UID]],Tasks[UID],0),-1))</f>
        <v>0</v>
      </c>
      <c r="BP6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6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64" s="74" t="n">
        <f aca="false">IF(OR(Tasks[[#This Row],[_ConstraintCode]]=2,Tasks[[#This Row],[_ConstraintCode]]=3,Tasks[[#This Row],[_ConstraintCode]]=4,Tasks[[#This Row],[_ConstraintCode]]=6),Tasks[[#This Row],[_ConstraintStart]],0)</f>
        <v>0</v>
      </c>
      <c r="BS64" s="74" t="n">
        <f aca="false">IF(OR(Tasks[[#This Row],[_ConstraintCode]]=2,Tasks[[#This Row],[_ConstraintCode]]=3,Tasks[[#This Row],[_ConstraintCode]]=5,Tasks[[#This Row],[_ConstraintCode]]=7),Tasks[[#This Row],[_ConstraintStart]],2958465)</f>
        <v>2958465</v>
      </c>
      <c r="BT6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64" s="74" t="str">
        <f aca="false">IF(NOT(Tasks[[#This Row],[_IsLeaf]]=1),"",IF(N(Tasks[[#This Row],[Duration]])&lt;=0,Tasks[[#This Row],[_LeafCalcStart]],WORKDAY.INTL(Tasks[[#This Row],[_LeafCalcStart]],Tasks[[#This Row],[Duration]]-1,WorkWeek,Holidays)))</f>
        <v/>
      </c>
      <c r="BV6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6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64" s="45" t="str">
        <f aca="false">IF(Tasks[[#This Row],[Predecessors]]="","",TRIM(MID(SUBSTITUTE(SUBSTITUTE(SUBSTITUTE(UPPER(Tasks[[#This Row],[Predecessors]]),";",",")," ",""),",",REPT(" ",99)),1,99)))</f>
        <v/>
      </c>
      <c r="BY64" s="45" t="str">
        <f aca="false">IF(Tasks[[#This Row],[_Pred1Text]]="","",IFERROR(VALUE(LEFT(Tasks[[#This Row],[_Pred1Text]],MIN(FIND("F",Tasks[[#This Row],[_Pred1Text]]&amp;"F"),FIND("S",Tasks[[#This Row],[_Pred1Text]]&amp;"S"),FIND("+",Tasks[[#This Row],[_Pred1Text]]&amp;"+"),FIND("-",Tasks[[#This Row],[_Pred1Text]]&amp;"-"))-1)),""))</f>
        <v/>
      </c>
      <c r="BZ6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6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64" s="45" t="str">
        <f aca="false">IF(Tasks[[#This Row],[_Pred1Text]]="","",TRIM(MID(SUBSTITUTE(SUBSTITUTE(SUBSTITUTE(UPPER(Tasks[[#This Row],[Predecessors]]),";",",")," ",""),",",REPT(" ",99)),100,99)))</f>
        <v/>
      </c>
      <c r="CC64" s="45" t="str">
        <f aca="false">IF(Tasks[[#This Row],[_Pred2Text]]="","",IFERROR(VALUE(LEFT(Tasks[[#This Row],[_Pred2Text]],MIN(FIND("F",Tasks[[#This Row],[_Pred2Text]]&amp;"F"),FIND("S",Tasks[[#This Row],[_Pred2Text]]&amp;"S"),FIND("+",Tasks[[#This Row],[_Pred2Text]]&amp;"+"),FIND("-",Tasks[[#This Row],[_Pred2Text]]&amp;"-"))-1)),""))</f>
        <v/>
      </c>
      <c r="CD6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6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64" s="45" t="str">
        <f aca="false">IF(Tasks[[#This Row],[_Pred2Text]]="","",TRIM(MID(SUBSTITUTE(SUBSTITUTE(SUBSTITUTE(UPPER(Tasks[[#This Row],[Predecessors]]),";",",")," ",""),",",REPT(" ",99)),199,99)))</f>
        <v/>
      </c>
      <c r="CG64" s="45" t="str">
        <f aca="false">IF(Tasks[[#This Row],[_Pred3Text]]="","",IFERROR(VALUE(LEFT(Tasks[[#This Row],[_Pred3Text]],MIN(FIND("F",Tasks[[#This Row],[_Pred3Text]]&amp;"F"),FIND("S",Tasks[[#This Row],[_Pred3Text]]&amp;"S"),FIND("+",Tasks[[#This Row],[_Pred3Text]]&amp;"+"),FIND("-",Tasks[[#This Row],[_Pred3Text]]&amp;"-"))-1)),""))</f>
        <v/>
      </c>
      <c r="CH6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6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64" s="45" t="str">
        <f aca="false">IF(Tasks[[#This Row],[_Pred3Text]]="","",TRIM(MID(SUBSTITUTE(SUBSTITUTE(SUBSTITUTE(UPPER(Tasks[[#This Row],[Predecessors]]),";",",")," ",""),",",REPT(" ",99)),298,99)))</f>
        <v/>
      </c>
      <c r="CK64" s="45" t="str">
        <f aca="false">IF(Tasks[[#This Row],[_Pred4Text]]="","",IFERROR(VALUE(LEFT(Tasks[[#This Row],[_Pred4Text]],MIN(FIND("F",Tasks[[#This Row],[_Pred4Text]]&amp;"F"),FIND("S",Tasks[[#This Row],[_Pred4Text]]&amp;"S"),FIND("+",Tasks[[#This Row],[_Pred4Text]]&amp;"+"),FIND("-",Tasks[[#This Row],[_Pred4Text]]&amp;"-"))-1)),""))</f>
        <v/>
      </c>
      <c r="CL6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6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64" s="45" t="str">
        <f aca="false">IF(OR(Tasks[[#This Row],[Task Name]]="",Tasks[[#This Row],[Resources]]=""),"",TRIM(MID(SUBSTITUTE(Tasks[[#This Row],[Resources]],",",REPT(" ",99)),1,99)))</f>
        <v/>
      </c>
      <c r="CO64" s="45" t="str">
        <f aca="false">IF(Tasks[[#This Row],[_Res1Text]]="","",TRIM(MID(SUBSTITUTE(Tasks[[#This Row],[Resources]],",",REPT(" ",99)),100,99)))</f>
        <v/>
      </c>
      <c r="CP64" s="45" t="str">
        <f aca="false">IF(Tasks[[#This Row],[_Res2Text]]="","",TRIM(MID(SUBSTITUTE(Tasks[[#This Row],[Resources]],",",REPT(" ",99)),199,99)))</f>
        <v/>
      </c>
      <c r="CQ64" s="45" t="str">
        <f aca="false">IF(Tasks[[#This Row],[_Res3Text]]="","",TRIM(MID(SUBSTITUTE(Tasks[[#This Row],[Resources]],",",REPT(" ",99)),298,99)))</f>
        <v/>
      </c>
      <c r="CR6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6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4" s="45" t="n">
        <f aca="false">IF(NOT(Tasks[[#This Row],[_IsLeaf]]=1),0,(Tasks[[#This Row],[_Resource1]]&lt;&gt;"")+(Tasks[[#This Row],[_Res2]]&lt;&gt;"")+(Tasks[[#This Row],[_Res3]]&lt;&gt;"")+(Tasks[[#This Row],[_Res4]]&lt;&gt;""))</f>
        <v>0</v>
      </c>
      <c r="CU6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6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4" s="45" t="n">
        <f aca="false">IF(OR(NOT(Tasks[[#This Row],[_IsLeaf]]=1),Tasks[[#This Row],[_Res2]]=""),0,IF(ISNA(MATCH(Tasks[[#This Row],[_Res2]],res_Name,0)),0,N(Tasks[[#This Row],[Duration]])*HoursPerDay*IF(Tasks[[#This Row],[_Res2Units]]="",DefaultUnits,Tasks[[#This Row],[_Res2Units]])))</f>
        <v>0</v>
      </c>
      <c r="CX64" s="45" t="n">
        <f aca="false">IF(Tasks[[#This Row],[_Res2Work]]=0,0,Tasks[[#This Row],[_Res2Work]]*IFERROR(INDEX(res_Rate,MATCH(Tasks[[#This Row],[_Res2]],res_Name,0)),0))</f>
        <v>0</v>
      </c>
      <c r="CY64" s="45" t="n">
        <f aca="false">IF(AND(AND(Tasks[[#This Row],[_IsLeaf]]=1,Tasks[[#This Row],[_LeafTotalWork]]&gt;0),Tasks[[#This Row],[_Res2Work]]&gt;0),Tasks[[#This Row],[_Res2Work]]/(Tasks[[#This Row],[_FinishWorkday]]-Tasks[[#This Row],[_StartWorkday]]+1),0)</f>
        <v>0</v>
      </c>
      <c r="CZ64" s="45" t="n">
        <f aca="false">Tasks[[#This Row],[_Res2WorkPerWD]]*MAX(0,Tasks[[#This Row],[_StartWorkday]]-1)</f>
        <v>0</v>
      </c>
      <c r="DA64" s="45" t="n">
        <f aca="false">Tasks[[#This Row],[_Res2Work]]*Tasks[[#This Row],[_LeafProgress]]</f>
        <v>0</v>
      </c>
      <c r="DB64" s="45" t="n">
        <f aca="false">IF(Tasks[[#This Row],[_LeafTotalCost]]=0,0,Tasks[[#This Row],[_LeafAC]]*Tasks[[#This Row],[_Res2Cost]]/Tasks[[#This Row],[_LeafTotalCost]])</f>
        <v>0</v>
      </c>
      <c r="DC6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6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64" s="45" t="n">
        <f aca="false">IF(OR(NOT(Tasks[[#This Row],[_IsLeaf]]=1),Tasks[[#This Row],[_Res3]]=""),0,IF(ISNA(MATCH(Tasks[[#This Row],[_Res3]],res_Name,0)),0,N(Tasks[[#This Row],[Duration]])*HoursPerDay*IF(Tasks[[#This Row],[_Res3Units]]="",DefaultUnits,Tasks[[#This Row],[_Res3Units]])))</f>
        <v>0</v>
      </c>
      <c r="DF64" s="45" t="n">
        <f aca="false">IF(Tasks[[#This Row],[_Res3Work]]=0,0,Tasks[[#This Row],[_Res3Work]]*IFERROR(INDEX(res_Rate,MATCH(Tasks[[#This Row],[_Res3]],res_Name,0)),0))</f>
        <v>0</v>
      </c>
      <c r="DG64" s="45" t="n">
        <f aca="false">IF(AND(AND(Tasks[[#This Row],[_IsLeaf]]=1,Tasks[[#This Row],[_LeafTotalWork]]&gt;0),Tasks[[#This Row],[_Res3Work]]&gt;0),Tasks[[#This Row],[_Res3Work]]/(Tasks[[#This Row],[_FinishWorkday]]-Tasks[[#This Row],[_StartWorkday]]+1),0)</f>
        <v>0</v>
      </c>
      <c r="DH64" s="45" t="n">
        <f aca="false">Tasks[[#This Row],[_Res3WorkPerWD]]*MAX(0,Tasks[[#This Row],[_StartWorkday]]-1)</f>
        <v>0</v>
      </c>
      <c r="DI64" s="45" t="n">
        <f aca="false">Tasks[[#This Row],[_Res3Work]]*Tasks[[#This Row],[_LeafProgress]]</f>
        <v>0</v>
      </c>
      <c r="DJ64" s="45" t="n">
        <f aca="false">IF(Tasks[[#This Row],[_LeafTotalCost]]=0,0,Tasks[[#This Row],[_LeafAC]]*Tasks[[#This Row],[_Res3Cost]]/Tasks[[#This Row],[_LeafTotalCost]])</f>
        <v>0</v>
      </c>
      <c r="DK6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6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64" s="45" t="n">
        <f aca="false">IF(OR(NOT(Tasks[[#This Row],[_IsLeaf]]=1),Tasks[[#This Row],[_Res4]]=""),0,IF(ISNA(MATCH(Tasks[[#This Row],[_Res4]],res_Name,0)),0,N(Tasks[[#This Row],[Duration]])*HoursPerDay*IF(Tasks[[#This Row],[_Res4Units]]="",DefaultUnits,Tasks[[#This Row],[_Res4Units]])))</f>
        <v>0</v>
      </c>
      <c r="DN64" s="45" t="n">
        <f aca="false">IF(Tasks[[#This Row],[_Res4Work]]=0,0,Tasks[[#This Row],[_Res4Work]]*IFERROR(INDEX(res_Rate,MATCH(Tasks[[#This Row],[_Res4]],res_Name,0)),0))</f>
        <v>0</v>
      </c>
      <c r="DO64" s="45" t="n">
        <f aca="false">IF(AND(AND(Tasks[[#This Row],[_IsLeaf]]=1,Tasks[[#This Row],[_LeafTotalWork]]&gt;0),Tasks[[#This Row],[_Res4Work]]&gt;0),Tasks[[#This Row],[_Res4Work]]/(Tasks[[#This Row],[_FinishWorkday]]-Tasks[[#This Row],[_StartWorkday]]+1),0)</f>
        <v>0</v>
      </c>
      <c r="DP64" s="45" t="n">
        <f aca="false">Tasks[[#This Row],[_Res4WorkPerWD]]*MAX(0,Tasks[[#This Row],[_StartWorkday]]-1)</f>
        <v>0</v>
      </c>
      <c r="DQ64" s="45" t="n">
        <f aca="false">Tasks[[#This Row],[_Res4Work]]*Tasks[[#This Row],[_LeafProgress]]</f>
        <v>0</v>
      </c>
      <c r="DR64" s="45" t="n">
        <f aca="false">IF(Tasks[[#This Row],[_LeafTotalCost]]=0,0,Tasks[[#This Row],[_LeafAC]]*Tasks[[#This Row],[_Res4Cost]]/Tasks[[#This Row],[_LeafTotalCost]])</f>
        <v>0</v>
      </c>
      <c r="DS64" s="45" t="n">
        <f aca="false">IF(ISNUMBER(Tasks[[#This Row],[% Complete]]),Tasks[[#This Row],[% Complete]],IF(Tasks[[#This Row],[Stage]]="",0,IFERROR(INDEX(stg_Pct,MATCH(Tasks[[#This Row],[Stage]],stg_Name,0)),0)))</f>
        <v>0</v>
      </c>
      <c r="DT64" s="45" t="n">
        <f aca="false">IF(NOT(Tasks[[#This Row],[_IsLeaf]]=1),0,IF(N(Tasks[[#This Row],[Actual Finish]])&gt;0,1,MIN(1,Tasks[[#This Row],[_Pct]])))</f>
        <v>0</v>
      </c>
      <c r="DU64" s="45" t="n">
        <f aca="false">IF(OR(NOT(Tasks[[#This Row],[_IsLeaf]]=1),Tasks[[#This Row],[_Resource1]]=""),0,IF(ISNA(MATCH(Tasks[[#This Row],[_Resource1]],res_Name,0)),0,N(Tasks[[#This Row],[Duration]])*HoursPerDay*IF(Tasks[[#This Row],[_Units1]]="",DefaultUnits,Tasks[[#This Row],[_Units1]])))</f>
        <v>0</v>
      </c>
      <c r="DV64" s="45" t="n">
        <f aca="false">IF(Tasks[[#This Row],[_LeafWork]]=0,0,Tasks[[#This Row],[_LeafWork]]*IFERROR(INDEX(res_Rate,MATCH(Tasks[[#This Row],[_Resource1]],res_Name,0)),0))</f>
        <v>0</v>
      </c>
      <c r="DW64" s="45" t="n">
        <f aca="false">Tasks[[#This Row],[_LeafWork]]+Tasks[[#This Row],[_Res2Work]]+Tasks[[#This Row],[_Res3Work]]+Tasks[[#This Row],[_Res4Work]]</f>
        <v>0</v>
      </c>
      <c r="DX64" s="45" t="n">
        <f aca="false">Tasks[[#This Row],[_LeafCost]]+Tasks[[#This Row],[_Res2Cost]]+Tasks[[#This Row],[_Res3Cost]]+Tasks[[#This Row],[_Res4Cost]]</f>
        <v>0</v>
      </c>
      <c r="DY64" s="45" t="n">
        <f aca="false">IF(Tasks[[#This Row],[_LeafTotalCost]]=0,Tasks[[#This Row],[_LeafAC]],Tasks[[#This Row],[_LeafAC]]*Tasks[[#This Row],[_LeafCost]]/Tasks[[#This Row],[_LeafTotalCost]])</f>
        <v>0</v>
      </c>
      <c r="DZ6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6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6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6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6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6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6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6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64" s="45" t="n">
        <f aca="false">IF(NOT(Tasks[[#This Row],[_IsLeaf]]=1),0,MAX(_xlfn.MAXIFS(Tasks[_Row],Tasks[_Pred1UID],Tasks[[#This Row],[UID]]),_xlfn.MAXIFS(Tasks[_Row],Tasks[_Pred2UID],Tasks[[#This Row],[UID]]),_xlfn.MAXIFS(Tasks[_Row],Tasks[_Pred3UID],Tasks[[#This Row],[UID]]),_xlfn.MAXIFS(Tasks[_Row],Tasks[_Pred4UID],Tasks[[#This Row],[UID]])))</f>
        <v>0</v>
      </c>
      <c r="EI6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6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64" s="74" t="str">
        <f aca="false">IF(NOT(Tasks[[#This Row],[_IsLeaf]]=1),"",IF(N(Tasks[[#This Row],[Duration]])&lt;=0,Tasks[[#This Row],[_LeafLateFinish]],WORKDAY.INTL(Tasks[[#This Row],[_LeafLateFinish]],-(Tasks[[#This Row],[Duration]]-1),WorkWeek,Holidays)))</f>
        <v/>
      </c>
      <c r="EL6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64" s="73" t="b">
        <f aca="false">AND(Tasks[[#This Row],[_IsLeaf]]=1,Tasks[[#This Row],[_LeafProgress]]&lt;1,N(Tasks[[#This Row],[_LeafTotalSlack]])&lt;=CriticalSlackDays)</f>
        <v>0</v>
      </c>
      <c r="EN64" s="45" t="n">
        <f aca="false">IF(AND(Tasks[[#This Row],[_IsLeaf]]=1,Tasks[[#This Row],[_ConstraintCode]]=1,Tasks[[#This Row],[Mode]]&lt;&gt;"Manual",N(Tasks[[#This Row],[Actual Start]])=0),MAX(0,N(Tasks[[#This Row],[Free Slack]])),0)</f>
        <v>0</v>
      </c>
      <c r="EO64" s="74" t="str">
        <f aca="false">IF(NOT(Tasks[[#This Row],[_IsLeaf]]=1),"",IF(Tasks[[#This Row],[_AlapShift]]=0,Tasks[[#This Row],[_LeafCalcStart]],WORKDAY.INTL(Tasks[[#This Row],[_LeafCalcStart]],Tasks[[#This Row],[_AlapShift]],WorkWeek,Holidays)))</f>
        <v/>
      </c>
      <c r="EP64" s="74" t="str">
        <f aca="false">IF(NOT(Tasks[[#This Row],[_IsLeaf]]=1),"",IF(Tasks[[#This Row],[_AlapShift]]=0,Tasks[[#This Row],[_LeafCalcFinish]],WORKDAY.INTL(Tasks[[#This Row],[_LeafCalcFinish]],Tasks[[#This Row],[_AlapShift]],WorkWeek,Holidays)))</f>
        <v/>
      </c>
      <c r="EQ64" s="74" t="str">
        <f aca="false">IF(NOT(Tasks[[#This Row],[_IsLeaf]]=1),"",IF(Tasks[[#This Row],[_AlapShift]]=0,Tasks[[#This Row],[_LeafFcstStart]],WORKDAY.INTL(Tasks[[#This Row],[_LeafFcstStart]],Tasks[[#This Row],[_AlapShift]],WorkWeek,Holidays)))</f>
        <v/>
      </c>
      <c r="ER64" s="74" t="str">
        <f aca="false">IF(NOT(Tasks[[#This Row],[_IsLeaf]]=1),"",IF(Tasks[[#This Row],[_AlapShift]]=0,Tasks[[#This Row],[_LeafFcstFinish]],WORKDAY.INTL(Tasks[[#This Row],[_LeafFcstFinish]],Tasks[[#This Row],[_AlapShift]],WorkWeek,Holidays)))</f>
        <v/>
      </c>
      <c r="ES64" s="74" t="str">
        <f aca="false">IF(Tasks[[#This Row],[Task Name]]="","",IF(Tasks[[#This Row],[_IsSummary]],MIN(INDEX(Tasks[_ShownCalcStart],Tasks[[#This Row],[_Row]]+1):INDEX(Tasks[_ShownCalcStart],Tasks[[#This Row],[_Row]]+Tasks[[#This Row],[_Descendants]])),Tasks[[#This Row],[_ShownCalcStart]]))</f>
        <v/>
      </c>
      <c r="ET64" s="74" t="str">
        <f aca="false">IF(Tasks[[#This Row],[Task Name]]="","",IF(Tasks[[#This Row],[_IsSummary]],MAX(INDEX(Tasks[_ShownCalcFinish],Tasks[[#This Row],[_Row]]+1):INDEX(Tasks[_ShownCalcFinish],Tasks[[#This Row],[_Row]]+Tasks[[#This Row],[_Descendants]])),Tasks[[#This Row],[_ShownCalcFinish]]))</f>
        <v/>
      </c>
      <c r="EU6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6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6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6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6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6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6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6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6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6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6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6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64" s="45" t="n">
        <f aca="false">IF(AND(Tasks[[#This Row],[_IsLeaf]]=1,Tasks[[#This Row],[_LeafTotalWork]]&gt;0),NETWORKDAYS.INTL(ProjectStart,Tasks[[#This Row],[_ShownFcstStart]],WorkWeek,Holidays),0)</f>
        <v>0</v>
      </c>
      <c r="FH64" s="45" t="n">
        <f aca="false">IF(AND(Tasks[[#This Row],[_IsLeaf]]=1,Tasks[[#This Row],[_LeafTotalWork]]&gt;0),MAX(Tasks[[#This Row],[_StartWorkday]],NETWORKDAYS.INTL(ProjectStart,Tasks[[#This Row],[_ShownFcstFinish]],WorkWeek,Holidays)),0)</f>
        <v>0</v>
      </c>
      <c r="FI64" s="45" t="n">
        <f aca="false">IF(AND(Tasks[[#This Row],[_IsLeaf]]=1,Tasks[[#This Row],[_LeafTotalWork]]&gt;0),Tasks[[#This Row],[_LeafWork]]/(Tasks[[#This Row],[_FinishWorkday]]-Tasks[[#This Row],[_StartWorkday]]+1),0)</f>
        <v>0</v>
      </c>
      <c r="FJ64" s="45" t="n">
        <f aca="false">Tasks[[#This Row],[_WorkPerWorkday]]*(Tasks[[#This Row],[_StartWorkday]]-1)</f>
        <v>-0</v>
      </c>
      <c r="FK64" s="45" t="n">
        <f aca="false">IF(Tasks[[#This Row],[_IsLeaf]]=1,MAX(N(Tasks[[#This Row],[Duration]]),0.1),0)</f>
        <v>0</v>
      </c>
      <c r="FL64" s="45" t="n">
        <f aca="false">Tasks[[#This Row],[_WeightDur]]*Tasks[[#This Row],[_LeafProgress]]</f>
        <v>0</v>
      </c>
      <c r="FM6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64" s="45" t="str">
        <f aca="false">IF(AND(Tasks[[#This Row],[_IsLeaf]]=1,N(Tasks[[#This Row],[Duration]])=0,Tasks[[#This Row],[_LeafProgress]]&lt;1),Tasks[[#This Row],[_ShownFcstFinish]]+Tasks[[#This Row],[_Row]]/100000,"")</f>
        <v/>
      </c>
      <c r="FO6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64" s="45" t="n">
        <f aca="false">IF(NOT(Tasks[[#This Row],[_IsLeaf]]=1),0,IF(Tasks[[#This Row],[Baseline Cost]]="",Tasks[[#This Row],[_LeafTotalCost]],N(Tasks[[#This Row],[Baseline Cost]])))</f>
        <v>0</v>
      </c>
      <c r="FQ64" s="45" t="n">
        <f aca="false">Tasks[[#This Row],[_LeafBudget]]*Tasks[[#This Row],[_PlannedPct]]</f>
        <v>0</v>
      </c>
      <c r="FR64" s="45" t="n">
        <f aca="false">Tasks[[#This Row],[_LeafBudget]]*Tasks[[#This Row],[_LeafProgress]]</f>
        <v>0</v>
      </c>
      <c r="FS64" s="45" t="n">
        <f aca="false">IF(NOT(Tasks[[#This Row],[_IsLeaf]]=1),0,IF(Tasks[[#This Row],[Actual Cost]]="",Tasks[[#This Row],[_LeafTotalCost]]*Tasks[[#This Row],[_LeafProgress]],N(Tasks[[#This Row],[Actual Cost]])))</f>
        <v>0</v>
      </c>
      <c r="FT64" s="45" t="str">
        <f aca="false">IF(Tasks[[#This Row],[Task Name]]="","",LEFT(Tasks[[#This Row],[WBS]],FIND(".",Tasks[[#This Row],[WBS]]&amp;".")-1))</f>
        <v/>
      </c>
      <c r="FU64" s="45" t="str">
        <f aca="false">IF(AND(Tasks[[#This Row],[Task Name]]&lt;&gt;"",Tasks[[#This Row],[_Level]]=1),Tasks[[#This Row],[_Row]],"")</f>
        <v/>
      </c>
      <c r="FV64" s="45" t="str">
        <f aca="false">IF(AND(Tasks[[#This Row],[_IsLeaf]]=1,N(Tasks[[#This Row],[Duration]])=0),Tasks[[#This Row],[Planned Finish]]+Tasks[[#This Row],[_Row]]/100000,"")</f>
        <v/>
      </c>
      <c r="FW64" s="45" t="str">
        <f aca="false">IF(AND(Tasks[[#This Row],[_IsLeaf]]=1,Tasks[[#This Row],[_LeafProgress]]&lt;1,OR(N(Tasks[[#This Row],[Finish Var]])&gt;0,Tasks[[#This Row],[Status]]="Late Start")),MAX(0,Tasks[[#This Row],[Finish Var]])+1-Tasks[[#This Row],[_Row]]/1000000,"")</f>
        <v/>
      </c>
      <c r="FX64" s="45" t="str">
        <f aca="false">IF(AND(Tasks[[#This Row],[_IsLeaf]]=1,N(Tasks[[#This Row],[Actual Start]])=0,Tasks[[#This Row],[_ShownFcstStart]]&gt;=StatusDate,Tasks[[#This Row],[_ShownFcstStart]]&lt;=LookaheadEnd),Tasks[[#This Row],[_ShownFcstStart]]+Tasks[[#This Row],[_Row]]/100000,"")</f>
        <v/>
      </c>
      <c r="FY64" s="45" t="str">
        <f aca="false">IF(AND(Tasks[[#This Row],[_IsLeaf]]=1,Tasks[[#This Row],[_LeafProgress]]&lt;1,Tasks[[#This Row],[_ShownFcstFinish]]&gt;=StatusDate,Tasks[[#This Row],[_ShownFcstFinish]]&lt;=LookaheadEnd),Tasks[[#This Row],[_ShownFcstFinish]]+Tasks[[#This Row],[_Row]]/100000,"")</f>
        <v/>
      </c>
      <c r="FZ64" s="45" t="str">
        <f aca="false">IF(Tasks[[#This Row],[_LeafCritical]],Tasks[[#This Row],[_ShownFcstStart]]+Tasks[[#This Row],[_Row]]/100000,"")</f>
        <v/>
      </c>
      <c r="GA64" s="45" t="n">
        <f aca="false">Tasks[[#This Row],[_LeafWork]]*Tasks[[#This Row],[_LeafProgress]]</f>
        <v>0</v>
      </c>
      <c r="GB64" s="74" t="str">
        <f aca="false">IF(AND(Tasks[[#This Row],[_IsLeaf]]=1,Tasks[[#This Row],[_LeafProgress]]&gt;=1),IF(N(Tasks[[#This Row],[Actual Finish]])&gt;0,Tasks[[#This Row],[Actual Finish]],Tasks[[#This Row],[_ShownFcstFinish]]),"")</f>
        <v/>
      </c>
    </row>
    <row r="65" customFormat="false" ht="15" hidden="false" customHeight="false" outlineLevel="0" collapsed="false">
      <c r="A65" s="67" t="str">
        <f aca="false">IF(Tasks[[#This Row],[Task Name]]="","",COUNTA(Tasks[[#Headers],[Task Name]]:Tasks[[#This Row],[Task Name]])-1)</f>
        <v/>
      </c>
      <c r="B65" s="21" t="n">
        <v>60</v>
      </c>
      <c r="C6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21"/>
      <c r="E65" s="22"/>
      <c r="F65" s="21"/>
      <c r="G65" s="22"/>
      <c r="H65" s="22"/>
      <c r="I65" s="22"/>
      <c r="J65" s="7"/>
      <c r="K65" s="7"/>
      <c r="L65" s="22"/>
      <c r="M65" s="58" t="str">
        <f aca="false">IF(Tasks[[#This Row],[Task Name]]="","",IF(Tasks[[#This Row],[_IsSummary]],MIN(INDEX(Tasks[_ShownFcstStart],Tasks[[#This Row],[_Row]]+1):INDEX(Tasks[_ShownFcstStart],Tasks[[#This Row],[_Row]]+Tasks[[#This Row],[_Descendants]])),Tasks[[#This Row],[_ShownFcstStart]]))</f>
        <v/>
      </c>
      <c r="N65" s="58" t="str">
        <f aca="false">IF(Tasks[[#This Row],[Task Name]]="","",IF(Tasks[[#This Row],[_IsSummary]],MAX(INDEX(Tasks[_ShownFcstFinish],Tasks[[#This Row],[_Row]]+1):INDEX(Tasks[_ShownFcstFinish],Tasks[[#This Row],[_Row]]+Tasks[[#This Row],[_Descendants]])),Tasks[[#This Row],[_ShownFcstFinish]]))</f>
        <v/>
      </c>
      <c r="O65" s="20" t="str">
        <f aca="false">IF(Tasks[[#This Row],[Task Name]]="","",IF(Tasks[[#This Row],[Progress]]&gt;=1,"Complete",IF(OR(N(Tasks[[#This Row],[Actual Start]])&gt;0,Tasks[[#This Row],[Progress]]&gt;0),IF(Tasks[[#This Row],[Finish Var]]&gt;0,"Behind","In Progress"),IF(Tasks[[#This Row],[Planned Start]]&lt;StatusDate,"Late Start","Not Started"))))</f>
        <v/>
      </c>
      <c r="P65" s="20" t="str">
        <f aca="false">IF(Tasks[[#This Row],[Task Name]]="","",IF(IF(Tasks[[#This Row],[_IsSummary]],COUNTIF(INDEX(Tasks[_LeafCritical],Tasks[[#This Row],[_Row]]+1):INDEX(Tasks[_LeafCritical],Tasks[[#This Row],[_Row]]+Tasks[[#This Row],[_Descendants]]),TRUE())&gt;0,Tasks[[#This Row],[_LeafCritical]]),"Yes",""))</f>
        <v/>
      </c>
      <c r="Q6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65" s="67" t="str">
        <f aca="false">IF(Tasks[[#This Row],[Task Name]]="","",IF(Tasks[[#This Row],[_Level]]&lt;=OutlineShowLevel,"Yes","No"))</f>
        <v/>
      </c>
      <c r="S65" s="7"/>
      <c r="T65" s="21"/>
      <c r="U65" s="22"/>
      <c r="V65" s="7"/>
      <c r="W65" s="67" t="str">
        <f aca="false">IF(Tasks[[#This Row],[Task Name]]="","",IF(Tasks[[#This Row],[Finish]]&gt;=Tasks[[#This Row],[Planned Finish]],NETWORKDAYS.INTL(Tasks[[#This Row],[Planned Finish]],Tasks[[#This Row],[Finish]],WorkWeek,Holidays)-1,1-NETWORKDAYS.INTL(Tasks[[#This Row],[Finish]],Tasks[[#This Row],[Planned Finish]],WorkWeek,Holidays)))</f>
        <v/>
      </c>
      <c r="X65" s="58" t="str">
        <f aca="false">IF(Tasks[[#This Row],[Task Name]]="","",IF(N(Tasks[[#This Row],[Baseline Start]])&gt;0,Tasks[[#This Row],[Baseline Start]],Tasks[[#This Row],[_CalcStart]]))</f>
        <v/>
      </c>
      <c r="Y65" s="58" t="str">
        <f aca="false">IF(Tasks[[#This Row],[Task Name]]="","",IF(N(Tasks[[#This Row],[Baseline Finish]])&gt;0,Tasks[[#This Row],[Baseline Finish]],Tasks[[#This Row],[_CalcFinish]]))</f>
        <v/>
      </c>
      <c r="Z65" s="67" t="str">
        <f aca="false">IF(Tasks[[#This Row],[Task Name]]="","",IF(Tasks[[#This Row],[Start]]&gt;=Tasks[[#This Row],[Planned Start]],NETWORKDAYS.INTL(Tasks[[#This Row],[Planned Start]],Tasks[[#This Row],[Start]],WorkWeek,Holidays)-1,1-NETWORKDAYS.INTL(Tasks[[#This Row],[Start]],Tasks[[#This Row],[Planned Start]],WorkWeek,Holidays)))</f>
        <v/>
      </c>
      <c r="AA65" s="58" t="str">
        <f aca="false">IF(Tasks[[#This Row],[Task Name]]="","",IF(Tasks[[#This Row],[_IsSummary]],MIN(INDEX(Tasks[_LeafLateStart],Tasks[[#This Row],[_Row]]+1):INDEX(Tasks[_LeafLateStart],Tasks[[#This Row],[_Row]]+Tasks[[#This Row],[_Descendants]])),Tasks[[#This Row],[_LeafLateStart]]))</f>
        <v/>
      </c>
      <c r="AB65" s="58" t="str">
        <f aca="false">IF(Tasks[[#This Row],[Task Name]]="","",IF(Tasks[[#This Row],[_IsSummary]],MAX(INDEX(Tasks[_LeafLateFinish],Tasks[[#This Row],[_Row]]+1):INDEX(Tasks[_LeafLateFinish],Tasks[[#This Row],[_Row]]+Tasks[[#This Row],[_Descendants]])),Tasks[[#This Row],[_LeafLateFinish]]))</f>
        <v/>
      </c>
      <c r="AC65" s="67" t="str">
        <f aca="false">IF(Tasks[[#This Row],[Task Name]]="","",IF(Tasks[[#This Row],[_IsSummary]],MIN(INDEX(Tasks[_LeafTotalSlack],Tasks[[#This Row],[_Row]]+1):INDEX(Tasks[_LeafTotalSlack],Tasks[[#This Row],[_Row]]+Tasks[[#This Row],[_Descendants]])),Tasks[[#This Row],[_LeafTotalSlack]]))</f>
        <v/>
      </c>
      <c r="AD6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6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6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65" s="60"/>
      <c r="AH6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6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65" s="69" t="str">
        <f aca="false">IF(Tasks[[#This Row],[Task Name]]="","",IF(Tasks[[#This Row],[_IsSummary]],SUM(INDEX(Tasks[_LeafTotalWork],Tasks[[#This Row],[_Row]]+1):INDEX(Tasks[_LeafTotalWork],Tasks[[#This Row],[_Row]]+Tasks[[#This Row],[_Descendants]])),Tasks[[#This Row],[_LeafTotalWork]]))</f>
        <v/>
      </c>
      <c r="AK6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65" s="70" t="str">
        <f aca="false">IF(Tasks[[#This Row],[Task Name]]="","",IF(Tasks[[#This Row],[_IsSummary]],SUM(INDEX(Tasks[_LeafTotalCost],Tasks[[#This Row],[_Row]]+1):INDEX(Tasks[_LeafTotalCost],Tasks[[#This Row],[_Row]]+Tasks[[#This Row],[_Descendants]])),Tasks[[#This Row],[_LeafTotalCost]]))</f>
        <v/>
      </c>
      <c r="AM65" s="71"/>
      <c r="AN65" s="20" t="str">
        <f aca="false">IF(OR(Tasks[[#This Row],[Task Name]]="",Tasks[[#This Row],[Baseline Duration]]=""),"",Tasks[[#This Row],[BL Source Duration]]-N(Tasks[[#This Row],[Baseline Duration]]))</f>
        <v/>
      </c>
      <c r="AO65" s="69" t="str">
        <f aca="false">IF(OR(Tasks[[#This Row],[Task Name]]="",Tasks[[#This Row],[Baseline Work]]=""),"",Tasks[[#This Row],[Work]]-N(Tasks[[#This Row],[Baseline Work]]))</f>
        <v/>
      </c>
      <c r="AP65" s="70" t="str">
        <f aca="false">IF(OR(Tasks[[#This Row],[Task Name]]="",Tasks[[#This Row],[Baseline Cost]]=""),"",Tasks[[#This Row],[Cost]]-N(Tasks[[#This Row],[Baseline Cost]]))</f>
        <v/>
      </c>
      <c r="AQ65" s="58" t="str">
        <f aca="false">IF(Tasks[[#This Row],[Task Name]]="","",Tasks[[#This Row],[Start]])</f>
        <v/>
      </c>
      <c r="AR65" s="58" t="str">
        <f aca="false">IF(Tasks[[#This Row],[Task Name]]="","",Tasks[[#This Row],[Finish]])</f>
        <v/>
      </c>
      <c r="AS65" s="67" t="str">
        <f aca="false">IF(Tasks[[#This Row],[Task Name]]="","",IF(Tasks[[#This Row],[_IsSummary]],NETWORKDAYS.INTL(Tasks[[#This Row],[Start]],Tasks[[#This Row],[Finish]],WorkWeek,Holidays),N(Tasks[[#This Row],[Duration]])))</f>
        <v/>
      </c>
      <c r="AT65" s="69" t="str">
        <f aca="false">IF(Tasks[[#This Row],[Task Name]]="","",Tasks[[#This Row],[Work]])</f>
        <v/>
      </c>
      <c r="AU65" s="70" t="str">
        <f aca="false">IF(Tasks[[#This Row],[Task Name]]="","",Tasks[[#This Row],[Cost]])</f>
        <v/>
      </c>
      <c r="AV65" s="7"/>
      <c r="AW65" s="7"/>
      <c r="AX65" s="21"/>
      <c r="AY65" s="72"/>
      <c r="AZ65" s="71"/>
      <c r="BA65" s="70" t="str">
        <f aca="false">IF(Tasks[[#This Row],[Task Name]]="","",IF(Tasks[[#This Row],[_IsSummary]],SUM(INDEX(Tasks[_LeafEV],Tasks[[#This Row],[_Row]]+1):INDEX(Tasks[_LeafEV],Tasks[[#This Row],[_Row]]+Tasks[[#This Row],[_Descendants]])),Tasks[[#This Row],[_LeafEV]]))</f>
        <v/>
      </c>
      <c r="BB65" s="70" t="str">
        <f aca="false">IF(Tasks[[#This Row],[Task Name]]="","",IF(Tasks[[#This Row],[_IsSummary]],SUM(INDEX(Tasks[_LeafBudget],Tasks[[#This Row],[_Row]]+1):INDEX(Tasks[_LeafBudget],Tasks[[#This Row],[_Row]]+Tasks[[#This Row],[_Descendants]])),Tasks[[#This Row],[_LeafBudget]]))</f>
        <v/>
      </c>
      <c r="BC65" s="70" t="str">
        <f aca="false">IF(Tasks[[#This Row],[Task Name]]="","",IF(Tasks[[#This Row],[_IsSummary]],SUM(INDEX(Tasks[_LeafPV],Tasks[[#This Row],[_Row]]+1):INDEX(Tasks[_LeafPV],Tasks[[#This Row],[_Row]]+Tasks[[#This Row],[_Descendants]])),Tasks[[#This Row],[_LeafPV]]))</f>
        <v/>
      </c>
      <c r="BD65" s="70" t="str">
        <f aca="false">IF(Tasks[[#This Row],[Task Name]]="","",IF(Tasks[[#This Row],[_IsSummary]],SUM(INDEX(Tasks[_LeafAC],Tasks[[#This Row],[_Row]]+1):INDEX(Tasks[_LeafAC],Tasks[[#This Row],[_Row]]+Tasks[[#This Row],[_Descendants]])),Tasks[[#This Row],[_LeafAC]]))</f>
        <v/>
      </c>
      <c r="BE65" s="45" t="str">
        <f aca="false">IF(Tasks[[#This Row],[Task Name]]="","",MAX(1,N(Tasks[[#This Row],[Level]])))</f>
        <v/>
      </c>
      <c r="BF65" s="45" t="n">
        <f aca="false">ROW()-ROW(Tasks[[#Headers],[ID]])</f>
        <v>60</v>
      </c>
      <c r="BG65" s="45" t="n">
        <f aca="false">IF(OR(Tasks[[#This Row],[Task Name]]="",Tasks[[#This Row],[_Level]]&lt;=1),0,IFERROR(LOOKUP(2,1/(Tasks[[#Headers],[_Level]]:Tasks[[#This Row],[_Level]]=Tasks[[#This Row],[_Level]]-1),ROW(Tasks[[#Headers],[_Level]]:Tasks[[#This Row],[_Level]])),0))</f>
        <v>0</v>
      </c>
      <c r="BH65" s="45" t="n">
        <f aca="false">IFERROR(N(INDEX(Tasks[_Level],Tasks[[#This Row],[_Row]]+1)),0)</f>
        <v>0</v>
      </c>
      <c r="BI65" s="73" t="b">
        <f aca="false">AND(Tasks[[#This Row],[Task Name]]&lt;&gt;"",Tasks[[#This Row],[_NextLevel]]&gt;Tasks[[#This Row],[_Level]])</f>
        <v>0</v>
      </c>
      <c r="BJ65" s="45" t="n">
        <f aca="false">IF(Tasks[[#This Row],[_IsSummary]],COUNTIF(Tasks[WBS],Tasks[[#This Row],[WBS]]&amp;".*"),0)</f>
        <v>0</v>
      </c>
      <c r="BK65" s="45" t="n">
        <f aca="false">IF(AND(Tasks[[#This Row],[Task Name]]&lt;&gt;"",NOT(Tasks[[#This Row],[_IsSummary]])),1,0)</f>
        <v>0</v>
      </c>
      <c r="BL65" s="45" t="n">
        <f aca="false">IF(N(Tasks[[#This Row],[_Pred1UID]])=0,0,IFERROR(MATCH(Tasks[[#This Row],[_Pred1UID]],Tasks[UID],0),-1))</f>
        <v>0</v>
      </c>
      <c r="BM65" s="45" t="n">
        <f aca="false">IF(N(Tasks[[#This Row],[_Pred2UID]])=0,0,IFERROR(MATCH(Tasks[[#This Row],[_Pred2UID]],Tasks[UID],0),-1))</f>
        <v>0</v>
      </c>
      <c r="BN65" s="45" t="n">
        <f aca="false">IF(N(Tasks[[#This Row],[_Pred3UID]])=0,0,IFERROR(MATCH(Tasks[[#This Row],[_Pred3UID]],Tasks[UID],0),-1))</f>
        <v>0</v>
      </c>
      <c r="BO65" s="45" t="n">
        <f aca="false">IF(N(Tasks[[#This Row],[_Pred4UID]])=0,0,IFERROR(MATCH(Tasks[[#This Row],[_Pred4UID]],Tasks[UID],0),-1))</f>
        <v>0</v>
      </c>
      <c r="BP6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6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65" s="74" t="n">
        <f aca="false">IF(OR(Tasks[[#This Row],[_ConstraintCode]]=2,Tasks[[#This Row],[_ConstraintCode]]=3,Tasks[[#This Row],[_ConstraintCode]]=4,Tasks[[#This Row],[_ConstraintCode]]=6),Tasks[[#This Row],[_ConstraintStart]],0)</f>
        <v>0</v>
      </c>
      <c r="BS65" s="74" t="n">
        <f aca="false">IF(OR(Tasks[[#This Row],[_ConstraintCode]]=2,Tasks[[#This Row],[_ConstraintCode]]=3,Tasks[[#This Row],[_ConstraintCode]]=5,Tasks[[#This Row],[_ConstraintCode]]=7),Tasks[[#This Row],[_ConstraintStart]],2958465)</f>
        <v>2958465</v>
      </c>
      <c r="BT6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65" s="74" t="str">
        <f aca="false">IF(NOT(Tasks[[#This Row],[_IsLeaf]]=1),"",IF(N(Tasks[[#This Row],[Duration]])&lt;=0,Tasks[[#This Row],[_LeafCalcStart]],WORKDAY.INTL(Tasks[[#This Row],[_LeafCalcStart]],Tasks[[#This Row],[Duration]]-1,WorkWeek,Holidays)))</f>
        <v/>
      </c>
      <c r="BV6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6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65" s="45" t="str">
        <f aca="false">IF(Tasks[[#This Row],[Predecessors]]="","",TRIM(MID(SUBSTITUTE(SUBSTITUTE(SUBSTITUTE(UPPER(Tasks[[#This Row],[Predecessors]]),";",",")," ",""),",",REPT(" ",99)),1,99)))</f>
        <v/>
      </c>
      <c r="BY65" s="45" t="str">
        <f aca="false">IF(Tasks[[#This Row],[_Pred1Text]]="","",IFERROR(VALUE(LEFT(Tasks[[#This Row],[_Pred1Text]],MIN(FIND("F",Tasks[[#This Row],[_Pred1Text]]&amp;"F"),FIND("S",Tasks[[#This Row],[_Pred1Text]]&amp;"S"),FIND("+",Tasks[[#This Row],[_Pred1Text]]&amp;"+"),FIND("-",Tasks[[#This Row],[_Pred1Text]]&amp;"-"))-1)),""))</f>
        <v/>
      </c>
      <c r="BZ6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6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65" s="45" t="str">
        <f aca="false">IF(Tasks[[#This Row],[_Pred1Text]]="","",TRIM(MID(SUBSTITUTE(SUBSTITUTE(SUBSTITUTE(UPPER(Tasks[[#This Row],[Predecessors]]),";",",")," ",""),",",REPT(" ",99)),100,99)))</f>
        <v/>
      </c>
      <c r="CC65" s="45" t="str">
        <f aca="false">IF(Tasks[[#This Row],[_Pred2Text]]="","",IFERROR(VALUE(LEFT(Tasks[[#This Row],[_Pred2Text]],MIN(FIND("F",Tasks[[#This Row],[_Pred2Text]]&amp;"F"),FIND("S",Tasks[[#This Row],[_Pred2Text]]&amp;"S"),FIND("+",Tasks[[#This Row],[_Pred2Text]]&amp;"+"),FIND("-",Tasks[[#This Row],[_Pred2Text]]&amp;"-"))-1)),""))</f>
        <v/>
      </c>
      <c r="CD6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6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65" s="45" t="str">
        <f aca="false">IF(Tasks[[#This Row],[_Pred2Text]]="","",TRIM(MID(SUBSTITUTE(SUBSTITUTE(SUBSTITUTE(UPPER(Tasks[[#This Row],[Predecessors]]),";",",")," ",""),",",REPT(" ",99)),199,99)))</f>
        <v/>
      </c>
      <c r="CG65" s="45" t="str">
        <f aca="false">IF(Tasks[[#This Row],[_Pred3Text]]="","",IFERROR(VALUE(LEFT(Tasks[[#This Row],[_Pred3Text]],MIN(FIND("F",Tasks[[#This Row],[_Pred3Text]]&amp;"F"),FIND("S",Tasks[[#This Row],[_Pred3Text]]&amp;"S"),FIND("+",Tasks[[#This Row],[_Pred3Text]]&amp;"+"),FIND("-",Tasks[[#This Row],[_Pred3Text]]&amp;"-"))-1)),""))</f>
        <v/>
      </c>
      <c r="CH6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6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65" s="45" t="str">
        <f aca="false">IF(Tasks[[#This Row],[_Pred3Text]]="","",TRIM(MID(SUBSTITUTE(SUBSTITUTE(SUBSTITUTE(UPPER(Tasks[[#This Row],[Predecessors]]),";",",")," ",""),",",REPT(" ",99)),298,99)))</f>
        <v/>
      </c>
      <c r="CK65" s="45" t="str">
        <f aca="false">IF(Tasks[[#This Row],[_Pred4Text]]="","",IFERROR(VALUE(LEFT(Tasks[[#This Row],[_Pred4Text]],MIN(FIND("F",Tasks[[#This Row],[_Pred4Text]]&amp;"F"),FIND("S",Tasks[[#This Row],[_Pred4Text]]&amp;"S"),FIND("+",Tasks[[#This Row],[_Pred4Text]]&amp;"+"),FIND("-",Tasks[[#This Row],[_Pred4Text]]&amp;"-"))-1)),""))</f>
        <v/>
      </c>
      <c r="CL6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6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65" s="45" t="str">
        <f aca="false">IF(OR(Tasks[[#This Row],[Task Name]]="",Tasks[[#This Row],[Resources]]=""),"",TRIM(MID(SUBSTITUTE(Tasks[[#This Row],[Resources]],",",REPT(" ",99)),1,99)))</f>
        <v/>
      </c>
      <c r="CO65" s="45" t="str">
        <f aca="false">IF(Tasks[[#This Row],[_Res1Text]]="","",TRIM(MID(SUBSTITUTE(Tasks[[#This Row],[Resources]],",",REPT(" ",99)),100,99)))</f>
        <v/>
      </c>
      <c r="CP65" s="45" t="str">
        <f aca="false">IF(Tasks[[#This Row],[_Res2Text]]="","",TRIM(MID(SUBSTITUTE(Tasks[[#This Row],[Resources]],",",REPT(" ",99)),199,99)))</f>
        <v/>
      </c>
      <c r="CQ65" s="45" t="str">
        <f aca="false">IF(Tasks[[#This Row],[_Res3Text]]="","",TRIM(MID(SUBSTITUTE(Tasks[[#This Row],[Resources]],",",REPT(" ",99)),298,99)))</f>
        <v/>
      </c>
      <c r="CR6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6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5" s="45" t="n">
        <f aca="false">IF(NOT(Tasks[[#This Row],[_IsLeaf]]=1),0,(Tasks[[#This Row],[_Resource1]]&lt;&gt;"")+(Tasks[[#This Row],[_Res2]]&lt;&gt;"")+(Tasks[[#This Row],[_Res3]]&lt;&gt;"")+(Tasks[[#This Row],[_Res4]]&lt;&gt;""))</f>
        <v>0</v>
      </c>
      <c r="CU6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6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5" s="45" t="n">
        <f aca="false">IF(OR(NOT(Tasks[[#This Row],[_IsLeaf]]=1),Tasks[[#This Row],[_Res2]]=""),0,IF(ISNA(MATCH(Tasks[[#This Row],[_Res2]],res_Name,0)),0,N(Tasks[[#This Row],[Duration]])*HoursPerDay*IF(Tasks[[#This Row],[_Res2Units]]="",DefaultUnits,Tasks[[#This Row],[_Res2Units]])))</f>
        <v>0</v>
      </c>
      <c r="CX65" s="45" t="n">
        <f aca="false">IF(Tasks[[#This Row],[_Res2Work]]=0,0,Tasks[[#This Row],[_Res2Work]]*IFERROR(INDEX(res_Rate,MATCH(Tasks[[#This Row],[_Res2]],res_Name,0)),0))</f>
        <v>0</v>
      </c>
      <c r="CY65" s="45" t="n">
        <f aca="false">IF(AND(AND(Tasks[[#This Row],[_IsLeaf]]=1,Tasks[[#This Row],[_LeafTotalWork]]&gt;0),Tasks[[#This Row],[_Res2Work]]&gt;0),Tasks[[#This Row],[_Res2Work]]/(Tasks[[#This Row],[_FinishWorkday]]-Tasks[[#This Row],[_StartWorkday]]+1),0)</f>
        <v>0</v>
      </c>
      <c r="CZ65" s="45" t="n">
        <f aca="false">Tasks[[#This Row],[_Res2WorkPerWD]]*MAX(0,Tasks[[#This Row],[_StartWorkday]]-1)</f>
        <v>0</v>
      </c>
      <c r="DA65" s="45" t="n">
        <f aca="false">Tasks[[#This Row],[_Res2Work]]*Tasks[[#This Row],[_LeafProgress]]</f>
        <v>0</v>
      </c>
      <c r="DB65" s="45" t="n">
        <f aca="false">IF(Tasks[[#This Row],[_LeafTotalCost]]=0,0,Tasks[[#This Row],[_LeafAC]]*Tasks[[#This Row],[_Res2Cost]]/Tasks[[#This Row],[_LeafTotalCost]])</f>
        <v>0</v>
      </c>
      <c r="DC6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6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65" s="45" t="n">
        <f aca="false">IF(OR(NOT(Tasks[[#This Row],[_IsLeaf]]=1),Tasks[[#This Row],[_Res3]]=""),0,IF(ISNA(MATCH(Tasks[[#This Row],[_Res3]],res_Name,0)),0,N(Tasks[[#This Row],[Duration]])*HoursPerDay*IF(Tasks[[#This Row],[_Res3Units]]="",DefaultUnits,Tasks[[#This Row],[_Res3Units]])))</f>
        <v>0</v>
      </c>
      <c r="DF65" s="45" t="n">
        <f aca="false">IF(Tasks[[#This Row],[_Res3Work]]=0,0,Tasks[[#This Row],[_Res3Work]]*IFERROR(INDEX(res_Rate,MATCH(Tasks[[#This Row],[_Res3]],res_Name,0)),0))</f>
        <v>0</v>
      </c>
      <c r="DG65" s="45" t="n">
        <f aca="false">IF(AND(AND(Tasks[[#This Row],[_IsLeaf]]=1,Tasks[[#This Row],[_LeafTotalWork]]&gt;0),Tasks[[#This Row],[_Res3Work]]&gt;0),Tasks[[#This Row],[_Res3Work]]/(Tasks[[#This Row],[_FinishWorkday]]-Tasks[[#This Row],[_StartWorkday]]+1),0)</f>
        <v>0</v>
      </c>
      <c r="DH65" s="45" t="n">
        <f aca="false">Tasks[[#This Row],[_Res3WorkPerWD]]*MAX(0,Tasks[[#This Row],[_StartWorkday]]-1)</f>
        <v>0</v>
      </c>
      <c r="DI65" s="45" t="n">
        <f aca="false">Tasks[[#This Row],[_Res3Work]]*Tasks[[#This Row],[_LeafProgress]]</f>
        <v>0</v>
      </c>
      <c r="DJ65" s="45" t="n">
        <f aca="false">IF(Tasks[[#This Row],[_LeafTotalCost]]=0,0,Tasks[[#This Row],[_LeafAC]]*Tasks[[#This Row],[_Res3Cost]]/Tasks[[#This Row],[_LeafTotalCost]])</f>
        <v>0</v>
      </c>
      <c r="DK6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6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65" s="45" t="n">
        <f aca="false">IF(OR(NOT(Tasks[[#This Row],[_IsLeaf]]=1),Tasks[[#This Row],[_Res4]]=""),0,IF(ISNA(MATCH(Tasks[[#This Row],[_Res4]],res_Name,0)),0,N(Tasks[[#This Row],[Duration]])*HoursPerDay*IF(Tasks[[#This Row],[_Res4Units]]="",DefaultUnits,Tasks[[#This Row],[_Res4Units]])))</f>
        <v>0</v>
      </c>
      <c r="DN65" s="45" t="n">
        <f aca="false">IF(Tasks[[#This Row],[_Res4Work]]=0,0,Tasks[[#This Row],[_Res4Work]]*IFERROR(INDEX(res_Rate,MATCH(Tasks[[#This Row],[_Res4]],res_Name,0)),0))</f>
        <v>0</v>
      </c>
      <c r="DO65" s="45" t="n">
        <f aca="false">IF(AND(AND(Tasks[[#This Row],[_IsLeaf]]=1,Tasks[[#This Row],[_LeafTotalWork]]&gt;0),Tasks[[#This Row],[_Res4Work]]&gt;0),Tasks[[#This Row],[_Res4Work]]/(Tasks[[#This Row],[_FinishWorkday]]-Tasks[[#This Row],[_StartWorkday]]+1),0)</f>
        <v>0</v>
      </c>
      <c r="DP65" s="45" t="n">
        <f aca="false">Tasks[[#This Row],[_Res4WorkPerWD]]*MAX(0,Tasks[[#This Row],[_StartWorkday]]-1)</f>
        <v>0</v>
      </c>
      <c r="DQ65" s="45" t="n">
        <f aca="false">Tasks[[#This Row],[_Res4Work]]*Tasks[[#This Row],[_LeafProgress]]</f>
        <v>0</v>
      </c>
      <c r="DR65" s="45" t="n">
        <f aca="false">IF(Tasks[[#This Row],[_LeafTotalCost]]=0,0,Tasks[[#This Row],[_LeafAC]]*Tasks[[#This Row],[_Res4Cost]]/Tasks[[#This Row],[_LeafTotalCost]])</f>
        <v>0</v>
      </c>
      <c r="DS65" s="45" t="n">
        <f aca="false">IF(ISNUMBER(Tasks[[#This Row],[% Complete]]),Tasks[[#This Row],[% Complete]],IF(Tasks[[#This Row],[Stage]]="",0,IFERROR(INDEX(stg_Pct,MATCH(Tasks[[#This Row],[Stage]],stg_Name,0)),0)))</f>
        <v>0</v>
      </c>
      <c r="DT65" s="45" t="n">
        <f aca="false">IF(NOT(Tasks[[#This Row],[_IsLeaf]]=1),0,IF(N(Tasks[[#This Row],[Actual Finish]])&gt;0,1,MIN(1,Tasks[[#This Row],[_Pct]])))</f>
        <v>0</v>
      </c>
      <c r="DU65" s="45" t="n">
        <f aca="false">IF(OR(NOT(Tasks[[#This Row],[_IsLeaf]]=1),Tasks[[#This Row],[_Resource1]]=""),0,IF(ISNA(MATCH(Tasks[[#This Row],[_Resource1]],res_Name,0)),0,N(Tasks[[#This Row],[Duration]])*HoursPerDay*IF(Tasks[[#This Row],[_Units1]]="",DefaultUnits,Tasks[[#This Row],[_Units1]])))</f>
        <v>0</v>
      </c>
      <c r="DV65" s="45" t="n">
        <f aca="false">IF(Tasks[[#This Row],[_LeafWork]]=0,0,Tasks[[#This Row],[_LeafWork]]*IFERROR(INDEX(res_Rate,MATCH(Tasks[[#This Row],[_Resource1]],res_Name,0)),0))</f>
        <v>0</v>
      </c>
      <c r="DW65" s="45" t="n">
        <f aca="false">Tasks[[#This Row],[_LeafWork]]+Tasks[[#This Row],[_Res2Work]]+Tasks[[#This Row],[_Res3Work]]+Tasks[[#This Row],[_Res4Work]]</f>
        <v>0</v>
      </c>
      <c r="DX65" s="45" t="n">
        <f aca="false">Tasks[[#This Row],[_LeafCost]]+Tasks[[#This Row],[_Res2Cost]]+Tasks[[#This Row],[_Res3Cost]]+Tasks[[#This Row],[_Res4Cost]]</f>
        <v>0</v>
      </c>
      <c r="DY65" s="45" t="n">
        <f aca="false">IF(Tasks[[#This Row],[_LeafTotalCost]]=0,Tasks[[#This Row],[_LeafAC]],Tasks[[#This Row],[_LeafAC]]*Tasks[[#This Row],[_LeafCost]]/Tasks[[#This Row],[_LeafTotalCost]])</f>
        <v>0</v>
      </c>
      <c r="DZ6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6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6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6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6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6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6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6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65" s="45" t="n">
        <f aca="false">IF(NOT(Tasks[[#This Row],[_IsLeaf]]=1),0,MAX(_xlfn.MAXIFS(Tasks[_Row],Tasks[_Pred1UID],Tasks[[#This Row],[UID]]),_xlfn.MAXIFS(Tasks[_Row],Tasks[_Pred2UID],Tasks[[#This Row],[UID]]),_xlfn.MAXIFS(Tasks[_Row],Tasks[_Pred3UID],Tasks[[#This Row],[UID]]),_xlfn.MAXIFS(Tasks[_Row],Tasks[_Pred4UID],Tasks[[#This Row],[UID]])))</f>
        <v>0</v>
      </c>
      <c r="EI6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6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65" s="74" t="str">
        <f aca="false">IF(NOT(Tasks[[#This Row],[_IsLeaf]]=1),"",IF(N(Tasks[[#This Row],[Duration]])&lt;=0,Tasks[[#This Row],[_LeafLateFinish]],WORKDAY.INTL(Tasks[[#This Row],[_LeafLateFinish]],-(Tasks[[#This Row],[Duration]]-1),WorkWeek,Holidays)))</f>
        <v/>
      </c>
      <c r="EL6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65" s="73" t="b">
        <f aca="false">AND(Tasks[[#This Row],[_IsLeaf]]=1,Tasks[[#This Row],[_LeafProgress]]&lt;1,N(Tasks[[#This Row],[_LeafTotalSlack]])&lt;=CriticalSlackDays)</f>
        <v>0</v>
      </c>
      <c r="EN65" s="45" t="n">
        <f aca="false">IF(AND(Tasks[[#This Row],[_IsLeaf]]=1,Tasks[[#This Row],[_ConstraintCode]]=1,Tasks[[#This Row],[Mode]]&lt;&gt;"Manual",N(Tasks[[#This Row],[Actual Start]])=0),MAX(0,N(Tasks[[#This Row],[Free Slack]])),0)</f>
        <v>0</v>
      </c>
      <c r="EO65" s="74" t="str">
        <f aca="false">IF(NOT(Tasks[[#This Row],[_IsLeaf]]=1),"",IF(Tasks[[#This Row],[_AlapShift]]=0,Tasks[[#This Row],[_LeafCalcStart]],WORKDAY.INTL(Tasks[[#This Row],[_LeafCalcStart]],Tasks[[#This Row],[_AlapShift]],WorkWeek,Holidays)))</f>
        <v/>
      </c>
      <c r="EP65" s="74" t="str">
        <f aca="false">IF(NOT(Tasks[[#This Row],[_IsLeaf]]=1),"",IF(Tasks[[#This Row],[_AlapShift]]=0,Tasks[[#This Row],[_LeafCalcFinish]],WORKDAY.INTL(Tasks[[#This Row],[_LeafCalcFinish]],Tasks[[#This Row],[_AlapShift]],WorkWeek,Holidays)))</f>
        <v/>
      </c>
      <c r="EQ65" s="74" t="str">
        <f aca="false">IF(NOT(Tasks[[#This Row],[_IsLeaf]]=1),"",IF(Tasks[[#This Row],[_AlapShift]]=0,Tasks[[#This Row],[_LeafFcstStart]],WORKDAY.INTL(Tasks[[#This Row],[_LeafFcstStart]],Tasks[[#This Row],[_AlapShift]],WorkWeek,Holidays)))</f>
        <v/>
      </c>
      <c r="ER65" s="74" t="str">
        <f aca="false">IF(NOT(Tasks[[#This Row],[_IsLeaf]]=1),"",IF(Tasks[[#This Row],[_AlapShift]]=0,Tasks[[#This Row],[_LeafFcstFinish]],WORKDAY.INTL(Tasks[[#This Row],[_LeafFcstFinish]],Tasks[[#This Row],[_AlapShift]],WorkWeek,Holidays)))</f>
        <v/>
      </c>
      <c r="ES65" s="74" t="str">
        <f aca="false">IF(Tasks[[#This Row],[Task Name]]="","",IF(Tasks[[#This Row],[_IsSummary]],MIN(INDEX(Tasks[_ShownCalcStart],Tasks[[#This Row],[_Row]]+1):INDEX(Tasks[_ShownCalcStart],Tasks[[#This Row],[_Row]]+Tasks[[#This Row],[_Descendants]])),Tasks[[#This Row],[_ShownCalcStart]]))</f>
        <v/>
      </c>
      <c r="ET65" s="74" t="str">
        <f aca="false">IF(Tasks[[#This Row],[Task Name]]="","",IF(Tasks[[#This Row],[_IsSummary]],MAX(INDEX(Tasks[_ShownCalcFinish],Tasks[[#This Row],[_Row]]+1):INDEX(Tasks[_ShownCalcFinish],Tasks[[#This Row],[_Row]]+Tasks[[#This Row],[_Descendants]])),Tasks[[#This Row],[_ShownCalcFinish]]))</f>
        <v/>
      </c>
      <c r="EU6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6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6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6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6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6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6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6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6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6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6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6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65" s="45" t="n">
        <f aca="false">IF(AND(Tasks[[#This Row],[_IsLeaf]]=1,Tasks[[#This Row],[_LeafTotalWork]]&gt;0),NETWORKDAYS.INTL(ProjectStart,Tasks[[#This Row],[_ShownFcstStart]],WorkWeek,Holidays),0)</f>
        <v>0</v>
      </c>
      <c r="FH65" s="45" t="n">
        <f aca="false">IF(AND(Tasks[[#This Row],[_IsLeaf]]=1,Tasks[[#This Row],[_LeafTotalWork]]&gt;0),MAX(Tasks[[#This Row],[_StartWorkday]],NETWORKDAYS.INTL(ProjectStart,Tasks[[#This Row],[_ShownFcstFinish]],WorkWeek,Holidays)),0)</f>
        <v>0</v>
      </c>
      <c r="FI65" s="45" t="n">
        <f aca="false">IF(AND(Tasks[[#This Row],[_IsLeaf]]=1,Tasks[[#This Row],[_LeafTotalWork]]&gt;0),Tasks[[#This Row],[_LeafWork]]/(Tasks[[#This Row],[_FinishWorkday]]-Tasks[[#This Row],[_StartWorkday]]+1),0)</f>
        <v>0</v>
      </c>
      <c r="FJ65" s="45" t="n">
        <f aca="false">Tasks[[#This Row],[_WorkPerWorkday]]*(Tasks[[#This Row],[_StartWorkday]]-1)</f>
        <v>-0</v>
      </c>
      <c r="FK65" s="45" t="n">
        <f aca="false">IF(Tasks[[#This Row],[_IsLeaf]]=1,MAX(N(Tasks[[#This Row],[Duration]]),0.1),0)</f>
        <v>0</v>
      </c>
      <c r="FL65" s="45" t="n">
        <f aca="false">Tasks[[#This Row],[_WeightDur]]*Tasks[[#This Row],[_LeafProgress]]</f>
        <v>0</v>
      </c>
      <c r="FM6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65" s="45" t="str">
        <f aca="false">IF(AND(Tasks[[#This Row],[_IsLeaf]]=1,N(Tasks[[#This Row],[Duration]])=0,Tasks[[#This Row],[_LeafProgress]]&lt;1),Tasks[[#This Row],[_ShownFcstFinish]]+Tasks[[#This Row],[_Row]]/100000,"")</f>
        <v/>
      </c>
      <c r="FO6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65" s="45" t="n">
        <f aca="false">IF(NOT(Tasks[[#This Row],[_IsLeaf]]=1),0,IF(Tasks[[#This Row],[Baseline Cost]]="",Tasks[[#This Row],[_LeafTotalCost]],N(Tasks[[#This Row],[Baseline Cost]])))</f>
        <v>0</v>
      </c>
      <c r="FQ65" s="45" t="n">
        <f aca="false">Tasks[[#This Row],[_LeafBudget]]*Tasks[[#This Row],[_PlannedPct]]</f>
        <v>0</v>
      </c>
      <c r="FR65" s="45" t="n">
        <f aca="false">Tasks[[#This Row],[_LeafBudget]]*Tasks[[#This Row],[_LeafProgress]]</f>
        <v>0</v>
      </c>
      <c r="FS65" s="45" t="n">
        <f aca="false">IF(NOT(Tasks[[#This Row],[_IsLeaf]]=1),0,IF(Tasks[[#This Row],[Actual Cost]]="",Tasks[[#This Row],[_LeafTotalCost]]*Tasks[[#This Row],[_LeafProgress]],N(Tasks[[#This Row],[Actual Cost]])))</f>
        <v>0</v>
      </c>
      <c r="FT65" s="45" t="str">
        <f aca="false">IF(Tasks[[#This Row],[Task Name]]="","",LEFT(Tasks[[#This Row],[WBS]],FIND(".",Tasks[[#This Row],[WBS]]&amp;".")-1))</f>
        <v/>
      </c>
      <c r="FU65" s="45" t="str">
        <f aca="false">IF(AND(Tasks[[#This Row],[Task Name]]&lt;&gt;"",Tasks[[#This Row],[_Level]]=1),Tasks[[#This Row],[_Row]],"")</f>
        <v/>
      </c>
      <c r="FV65" s="45" t="str">
        <f aca="false">IF(AND(Tasks[[#This Row],[_IsLeaf]]=1,N(Tasks[[#This Row],[Duration]])=0),Tasks[[#This Row],[Planned Finish]]+Tasks[[#This Row],[_Row]]/100000,"")</f>
        <v/>
      </c>
      <c r="FW65" s="45" t="str">
        <f aca="false">IF(AND(Tasks[[#This Row],[_IsLeaf]]=1,Tasks[[#This Row],[_LeafProgress]]&lt;1,OR(N(Tasks[[#This Row],[Finish Var]])&gt;0,Tasks[[#This Row],[Status]]="Late Start")),MAX(0,Tasks[[#This Row],[Finish Var]])+1-Tasks[[#This Row],[_Row]]/1000000,"")</f>
        <v/>
      </c>
      <c r="FX65" s="45" t="str">
        <f aca="false">IF(AND(Tasks[[#This Row],[_IsLeaf]]=1,N(Tasks[[#This Row],[Actual Start]])=0,Tasks[[#This Row],[_ShownFcstStart]]&gt;=StatusDate,Tasks[[#This Row],[_ShownFcstStart]]&lt;=LookaheadEnd),Tasks[[#This Row],[_ShownFcstStart]]+Tasks[[#This Row],[_Row]]/100000,"")</f>
        <v/>
      </c>
      <c r="FY65" s="45" t="str">
        <f aca="false">IF(AND(Tasks[[#This Row],[_IsLeaf]]=1,Tasks[[#This Row],[_LeafProgress]]&lt;1,Tasks[[#This Row],[_ShownFcstFinish]]&gt;=StatusDate,Tasks[[#This Row],[_ShownFcstFinish]]&lt;=LookaheadEnd),Tasks[[#This Row],[_ShownFcstFinish]]+Tasks[[#This Row],[_Row]]/100000,"")</f>
        <v/>
      </c>
      <c r="FZ65" s="45" t="str">
        <f aca="false">IF(Tasks[[#This Row],[_LeafCritical]],Tasks[[#This Row],[_ShownFcstStart]]+Tasks[[#This Row],[_Row]]/100000,"")</f>
        <v/>
      </c>
      <c r="GA65" s="45" t="n">
        <f aca="false">Tasks[[#This Row],[_LeafWork]]*Tasks[[#This Row],[_LeafProgress]]</f>
        <v>0</v>
      </c>
      <c r="GB65" s="74" t="str">
        <f aca="false">IF(AND(Tasks[[#This Row],[_IsLeaf]]=1,Tasks[[#This Row],[_LeafProgress]]&gt;=1),IF(N(Tasks[[#This Row],[Actual Finish]])&gt;0,Tasks[[#This Row],[Actual Finish]],Tasks[[#This Row],[_ShownFcstFinish]]),"")</f>
        <v/>
      </c>
    </row>
    <row r="66" customFormat="false" ht="15" hidden="false" customHeight="false" outlineLevel="0" collapsed="false">
      <c r="A66" s="67" t="str">
        <f aca="false">IF(Tasks[[#This Row],[Task Name]]="","",COUNTA(Tasks[[#Headers],[Task Name]]:Tasks[[#This Row],[Task Name]])-1)</f>
        <v/>
      </c>
      <c r="B66" s="21" t="n">
        <v>61</v>
      </c>
      <c r="C6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21"/>
      <c r="E66" s="22"/>
      <c r="F66" s="21"/>
      <c r="G66" s="22"/>
      <c r="H66" s="22"/>
      <c r="I66" s="22"/>
      <c r="J66" s="7"/>
      <c r="K66" s="7"/>
      <c r="L66" s="22"/>
      <c r="M66" s="58" t="str">
        <f aca="false">IF(Tasks[[#This Row],[Task Name]]="","",IF(Tasks[[#This Row],[_IsSummary]],MIN(INDEX(Tasks[_ShownFcstStart],Tasks[[#This Row],[_Row]]+1):INDEX(Tasks[_ShownFcstStart],Tasks[[#This Row],[_Row]]+Tasks[[#This Row],[_Descendants]])),Tasks[[#This Row],[_ShownFcstStart]]))</f>
        <v/>
      </c>
      <c r="N66" s="58" t="str">
        <f aca="false">IF(Tasks[[#This Row],[Task Name]]="","",IF(Tasks[[#This Row],[_IsSummary]],MAX(INDEX(Tasks[_ShownFcstFinish],Tasks[[#This Row],[_Row]]+1):INDEX(Tasks[_ShownFcstFinish],Tasks[[#This Row],[_Row]]+Tasks[[#This Row],[_Descendants]])),Tasks[[#This Row],[_ShownFcstFinish]]))</f>
        <v/>
      </c>
      <c r="O66" s="20" t="str">
        <f aca="false">IF(Tasks[[#This Row],[Task Name]]="","",IF(Tasks[[#This Row],[Progress]]&gt;=1,"Complete",IF(OR(N(Tasks[[#This Row],[Actual Start]])&gt;0,Tasks[[#This Row],[Progress]]&gt;0),IF(Tasks[[#This Row],[Finish Var]]&gt;0,"Behind","In Progress"),IF(Tasks[[#This Row],[Planned Start]]&lt;StatusDate,"Late Start","Not Started"))))</f>
        <v/>
      </c>
      <c r="P66" s="20" t="str">
        <f aca="false">IF(Tasks[[#This Row],[Task Name]]="","",IF(IF(Tasks[[#This Row],[_IsSummary]],COUNTIF(INDEX(Tasks[_LeafCritical],Tasks[[#This Row],[_Row]]+1):INDEX(Tasks[_LeafCritical],Tasks[[#This Row],[_Row]]+Tasks[[#This Row],[_Descendants]]),TRUE())&gt;0,Tasks[[#This Row],[_LeafCritical]]),"Yes",""))</f>
        <v/>
      </c>
      <c r="Q6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66" s="67" t="str">
        <f aca="false">IF(Tasks[[#This Row],[Task Name]]="","",IF(Tasks[[#This Row],[_Level]]&lt;=OutlineShowLevel,"Yes","No"))</f>
        <v/>
      </c>
      <c r="S66" s="7"/>
      <c r="T66" s="21"/>
      <c r="U66" s="22"/>
      <c r="V66" s="7"/>
      <c r="W66" s="67" t="str">
        <f aca="false">IF(Tasks[[#This Row],[Task Name]]="","",IF(Tasks[[#This Row],[Finish]]&gt;=Tasks[[#This Row],[Planned Finish]],NETWORKDAYS.INTL(Tasks[[#This Row],[Planned Finish]],Tasks[[#This Row],[Finish]],WorkWeek,Holidays)-1,1-NETWORKDAYS.INTL(Tasks[[#This Row],[Finish]],Tasks[[#This Row],[Planned Finish]],WorkWeek,Holidays)))</f>
        <v/>
      </c>
      <c r="X66" s="58" t="str">
        <f aca="false">IF(Tasks[[#This Row],[Task Name]]="","",IF(N(Tasks[[#This Row],[Baseline Start]])&gt;0,Tasks[[#This Row],[Baseline Start]],Tasks[[#This Row],[_CalcStart]]))</f>
        <v/>
      </c>
      <c r="Y66" s="58" t="str">
        <f aca="false">IF(Tasks[[#This Row],[Task Name]]="","",IF(N(Tasks[[#This Row],[Baseline Finish]])&gt;0,Tasks[[#This Row],[Baseline Finish]],Tasks[[#This Row],[_CalcFinish]]))</f>
        <v/>
      </c>
      <c r="Z66" s="67" t="str">
        <f aca="false">IF(Tasks[[#This Row],[Task Name]]="","",IF(Tasks[[#This Row],[Start]]&gt;=Tasks[[#This Row],[Planned Start]],NETWORKDAYS.INTL(Tasks[[#This Row],[Planned Start]],Tasks[[#This Row],[Start]],WorkWeek,Holidays)-1,1-NETWORKDAYS.INTL(Tasks[[#This Row],[Start]],Tasks[[#This Row],[Planned Start]],WorkWeek,Holidays)))</f>
        <v/>
      </c>
      <c r="AA66" s="58" t="str">
        <f aca="false">IF(Tasks[[#This Row],[Task Name]]="","",IF(Tasks[[#This Row],[_IsSummary]],MIN(INDEX(Tasks[_LeafLateStart],Tasks[[#This Row],[_Row]]+1):INDEX(Tasks[_LeafLateStart],Tasks[[#This Row],[_Row]]+Tasks[[#This Row],[_Descendants]])),Tasks[[#This Row],[_LeafLateStart]]))</f>
        <v/>
      </c>
      <c r="AB66" s="58" t="str">
        <f aca="false">IF(Tasks[[#This Row],[Task Name]]="","",IF(Tasks[[#This Row],[_IsSummary]],MAX(INDEX(Tasks[_LeafLateFinish],Tasks[[#This Row],[_Row]]+1):INDEX(Tasks[_LeafLateFinish],Tasks[[#This Row],[_Row]]+Tasks[[#This Row],[_Descendants]])),Tasks[[#This Row],[_LeafLateFinish]]))</f>
        <v/>
      </c>
      <c r="AC66" s="67" t="str">
        <f aca="false">IF(Tasks[[#This Row],[Task Name]]="","",IF(Tasks[[#This Row],[_IsSummary]],MIN(INDEX(Tasks[_LeafTotalSlack],Tasks[[#This Row],[_Row]]+1):INDEX(Tasks[_LeafTotalSlack],Tasks[[#This Row],[_Row]]+Tasks[[#This Row],[_Descendants]])),Tasks[[#This Row],[_LeafTotalSlack]]))</f>
        <v/>
      </c>
      <c r="AD6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6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6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66" s="60"/>
      <c r="AH6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6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66" s="69" t="str">
        <f aca="false">IF(Tasks[[#This Row],[Task Name]]="","",IF(Tasks[[#This Row],[_IsSummary]],SUM(INDEX(Tasks[_LeafTotalWork],Tasks[[#This Row],[_Row]]+1):INDEX(Tasks[_LeafTotalWork],Tasks[[#This Row],[_Row]]+Tasks[[#This Row],[_Descendants]])),Tasks[[#This Row],[_LeafTotalWork]]))</f>
        <v/>
      </c>
      <c r="AK6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66" s="70" t="str">
        <f aca="false">IF(Tasks[[#This Row],[Task Name]]="","",IF(Tasks[[#This Row],[_IsSummary]],SUM(INDEX(Tasks[_LeafTotalCost],Tasks[[#This Row],[_Row]]+1):INDEX(Tasks[_LeafTotalCost],Tasks[[#This Row],[_Row]]+Tasks[[#This Row],[_Descendants]])),Tasks[[#This Row],[_LeafTotalCost]]))</f>
        <v/>
      </c>
      <c r="AM66" s="71"/>
      <c r="AN66" s="20" t="str">
        <f aca="false">IF(OR(Tasks[[#This Row],[Task Name]]="",Tasks[[#This Row],[Baseline Duration]]=""),"",Tasks[[#This Row],[BL Source Duration]]-N(Tasks[[#This Row],[Baseline Duration]]))</f>
        <v/>
      </c>
      <c r="AO66" s="69" t="str">
        <f aca="false">IF(OR(Tasks[[#This Row],[Task Name]]="",Tasks[[#This Row],[Baseline Work]]=""),"",Tasks[[#This Row],[Work]]-N(Tasks[[#This Row],[Baseline Work]]))</f>
        <v/>
      </c>
      <c r="AP66" s="70" t="str">
        <f aca="false">IF(OR(Tasks[[#This Row],[Task Name]]="",Tasks[[#This Row],[Baseline Cost]]=""),"",Tasks[[#This Row],[Cost]]-N(Tasks[[#This Row],[Baseline Cost]]))</f>
        <v/>
      </c>
      <c r="AQ66" s="58" t="str">
        <f aca="false">IF(Tasks[[#This Row],[Task Name]]="","",Tasks[[#This Row],[Start]])</f>
        <v/>
      </c>
      <c r="AR66" s="58" t="str">
        <f aca="false">IF(Tasks[[#This Row],[Task Name]]="","",Tasks[[#This Row],[Finish]])</f>
        <v/>
      </c>
      <c r="AS66" s="67" t="str">
        <f aca="false">IF(Tasks[[#This Row],[Task Name]]="","",IF(Tasks[[#This Row],[_IsSummary]],NETWORKDAYS.INTL(Tasks[[#This Row],[Start]],Tasks[[#This Row],[Finish]],WorkWeek,Holidays),N(Tasks[[#This Row],[Duration]])))</f>
        <v/>
      </c>
      <c r="AT66" s="69" t="str">
        <f aca="false">IF(Tasks[[#This Row],[Task Name]]="","",Tasks[[#This Row],[Work]])</f>
        <v/>
      </c>
      <c r="AU66" s="70" t="str">
        <f aca="false">IF(Tasks[[#This Row],[Task Name]]="","",Tasks[[#This Row],[Cost]])</f>
        <v/>
      </c>
      <c r="AV66" s="7"/>
      <c r="AW66" s="7"/>
      <c r="AX66" s="21"/>
      <c r="AY66" s="72"/>
      <c r="AZ66" s="71"/>
      <c r="BA66" s="70" t="str">
        <f aca="false">IF(Tasks[[#This Row],[Task Name]]="","",IF(Tasks[[#This Row],[_IsSummary]],SUM(INDEX(Tasks[_LeafEV],Tasks[[#This Row],[_Row]]+1):INDEX(Tasks[_LeafEV],Tasks[[#This Row],[_Row]]+Tasks[[#This Row],[_Descendants]])),Tasks[[#This Row],[_LeafEV]]))</f>
        <v/>
      </c>
      <c r="BB66" s="70" t="str">
        <f aca="false">IF(Tasks[[#This Row],[Task Name]]="","",IF(Tasks[[#This Row],[_IsSummary]],SUM(INDEX(Tasks[_LeafBudget],Tasks[[#This Row],[_Row]]+1):INDEX(Tasks[_LeafBudget],Tasks[[#This Row],[_Row]]+Tasks[[#This Row],[_Descendants]])),Tasks[[#This Row],[_LeafBudget]]))</f>
        <v/>
      </c>
      <c r="BC66" s="70" t="str">
        <f aca="false">IF(Tasks[[#This Row],[Task Name]]="","",IF(Tasks[[#This Row],[_IsSummary]],SUM(INDEX(Tasks[_LeafPV],Tasks[[#This Row],[_Row]]+1):INDEX(Tasks[_LeafPV],Tasks[[#This Row],[_Row]]+Tasks[[#This Row],[_Descendants]])),Tasks[[#This Row],[_LeafPV]]))</f>
        <v/>
      </c>
      <c r="BD66" s="70" t="str">
        <f aca="false">IF(Tasks[[#This Row],[Task Name]]="","",IF(Tasks[[#This Row],[_IsSummary]],SUM(INDEX(Tasks[_LeafAC],Tasks[[#This Row],[_Row]]+1):INDEX(Tasks[_LeafAC],Tasks[[#This Row],[_Row]]+Tasks[[#This Row],[_Descendants]])),Tasks[[#This Row],[_LeafAC]]))</f>
        <v/>
      </c>
      <c r="BE66" s="45" t="str">
        <f aca="false">IF(Tasks[[#This Row],[Task Name]]="","",MAX(1,N(Tasks[[#This Row],[Level]])))</f>
        <v/>
      </c>
      <c r="BF66" s="45" t="n">
        <f aca="false">ROW()-ROW(Tasks[[#Headers],[ID]])</f>
        <v>61</v>
      </c>
      <c r="BG66" s="45" t="n">
        <f aca="false">IF(OR(Tasks[[#This Row],[Task Name]]="",Tasks[[#This Row],[_Level]]&lt;=1),0,IFERROR(LOOKUP(2,1/(Tasks[[#Headers],[_Level]]:Tasks[[#This Row],[_Level]]=Tasks[[#This Row],[_Level]]-1),ROW(Tasks[[#Headers],[_Level]]:Tasks[[#This Row],[_Level]])),0))</f>
        <v>0</v>
      </c>
      <c r="BH66" s="45" t="n">
        <f aca="false">IFERROR(N(INDEX(Tasks[_Level],Tasks[[#This Row],[_Row]]+1)),0)</f>
        <v>0</v>
      </c>
      <c r="BI66" s="73" t="b">
        <f aca="false">AND(Tasks[[#This Row],[Task Name]]&lt;&gt;"",Tasks[[#This Row],[_NextLevel]]&gt;Tasks[[#This Row],[_Level]])</f>
        <v>0</v>
      </c>
      <c r="BJ66" s="45" t="n">
        <f aca="false">IF(Tasks[[#This Row],[_IsSummary]],COUNTIF(Tasks[WBS],Tasks[[#This Row],[WBS]]&amp;".*"),0)</f>
        <v>0</v>
      </c>
      <c r="BK66" s="45" t="n">
        <f aca="false">IF(AND(Tasks[[#This Row],[Task Name]]&lt;&gt;"",NOT(Tasks[[#This Row],[_IsSummary]])),1,0)</f>
        <v>0</v>
      </c>
      <c r="BL66" s="45" t="n">
        <f aca="false">IF(N(Tasks[[#This Row],[_Pred1UID]])=0,0,IFERROR(MATCH(Tasks[[#This Row],[_Pred1UID]],Tasks[UID],0),-1))</f>
        <v>0</v>
      </c>
      <c r="BM66" s="45" t="n">
        <f aca="false">IF(N(Tasks[[#This Row],[_Pred2UID]])=0,0,IFERROR(MATCH(Tasks[[#This Row],[_Pred2UID]],Tasks[UID],0),-1))</f>
        <v>0</v>
      </c>
      <c r="BN66" s="45" t="n">
        <f aca="false">IF(N(Tasks[[#This Row],[_Pred3UID]])=0,0,IFERROR(MATCH(Tasks[[#This Row],[_Pred3UID]],Tasks[UID],0),-1))</f>
        <v>0</v>
      </c>
      <c r="BO66" s="45" t="n">
        <f aca="false">IF(N(Tasks[[#This Row],[_Pred4UID]])=0,0,IFERROR(MATCH(Tasks[[#This Row],[_Pred4UID]],Tasks[UID],0),-1))</f>
        <v>0</v>
      </c>
      <c r="BP6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6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66" s="74" t="n">
        <f aca="false">IF(OR(Tasks[[#This Row],[_ConstraintCode]]=2,Tasks[[#This Row],[_ConstraintCode]]=3,Tasks[[#This Row],[_ConstraintCode]]=4,Tasks[[#This Row],[_ConstraintCode]]=6),Tasks[[#This Row],[_ConstraintStart]],0)</f>
        <v>0</v>
      </c>
      <c r="BS66" s="74" t="n">
        <f aca="false">IF(OR(Tasks[[#This Row],[_ConstraintCode]]=2,Tasks[[#This Row],[_ConstraintCode]]=3,Tasks[[#This Row],[_ConstraintCode]]=5,Tasks[[#This Row],[_ConstraintCode]]=7),Tasks[[#This Row],[_ConstraintStart]],2958465)</f>
        <v>2958465</v>
      </c>
      <c r="BT6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66" s="74" t="str">
        <f aca="false">IF(NOT(Tasks[[#This Row],[_IsLeaf]]=1),"",IF(N(Tasks[[#This Row],[Duration]])&lt;=0,Tasks[[#This Row],[_LeafCalcStart]],WORKDAY.INTL(Tasks[[#This Row],[_LeafCalcStart]],Tasks[[#This Row],[Duration]]-1,WorkWeek,Holidays)))</f>
        <v/>
      </c>
      <c r="BV6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6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66" s="45" t="str">
        <f aca="false">IF(Tasks[[#This Row],[Predecessors]]="","",TRIM(MID(SUBSTITUTE(SUBSTITUTE(SUBSTITUTE(UPPER(Tasks[[#This Row],[Predecessors]]),";",",")," ",""),",",REPT(" ",99)),1,99)))</f>
        <v/>
      </c>
      <c r="BY66" s="45" t="str">
        <f aca="false">IF(Tasks[[#This Row],[_Pred1Text]]="","",IFERROR(VALUE(LEFT(Tasks[[#This Row],[_Pred1Text]],MIN(FIND("F",Tasks[[#This Row],[_Pred1Text]]&amp;"F"),FIND("S",Tasks[[#This Row],[_Pred1Text]]&amp;"S"),FIND("+",Tasks[[#This Row],[_Pred1Text]]&amp;"+"),FIND("-",Tasks[[#This Row],[_Pred1Text]]&amp;"-"))-1)),""))</f>
        <v/>
      </c>
      <c r="BZ6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6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66" s="45" t="str">
        <f aca="false">IF(Tasks[[#This Row],[_Pred1Text]]="","",TRIM(MID(SUBSTITUTE(SUBSTITUTE(SUBSTITUTE(UPPER(Tasks[[#This Row],[Predecessors]]),";",",")," ",""),",",REPT(" ",99)),100,99)))</f>
        <v/>
      </c>
      <c r="CC66" s="45" t="str">
        <f aca="false">IF(Tasks[[#This Row],[_Pred2Text]]="","",IFERROR(VALUE(LEFT(Tasks[[#This Row],[_Pred2Text]],MIN(FIND("F",Tasks[[#This Row],[_Pred2Text]]&amp;"F"),FIND("S",Tasks[[#This Row],[_Pred2Text]]&amp;"S"),FIND("+",Tasks[[#This Row],[_Pred2Text]]&amp;"+"),FIND("-",Tasks[[#This Row],[_Pred2Text]]&amp;"-"))-1)),""))</f>
        <v/>
      </c>
      <c r="CD6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6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66" s="45" t="str">
        <f aca="false">IF(Tasks[[#This Row],[_Pred2Text]]="","",TRIM(MID(SUBSTITUTE(SUBSTITUTE(SUBSTITUTE(UPPER(Tasks[[#This Row],[Predecessors]]),";",",")," ",""),",",REPT(" ",99)),199,99)))</f>
        <v/>
      </c>
      <c r="CG66" s="45" t="str">
        <f aca="false">IF(Tasks[[#This Row],[_Pred3Text]]="","",IFERROR(VALUE(LEFT(Tasks[[#This Row],[_Pred3Text]],MIN(FIND("F",Tasks[[#This Row],[_Pred3Text]]&amp;"F"),FIND("S",Tasks[[#This Row],[_Pred3Text]]&amp;"S"),FIND("+",Tasks[[#This Row],[_Pred3Text]]&amp;"+"),FIND("-",Tasks[[#This Row],[_Pred3Text]]&amp;"-"))-1)),""))</f>
        <v/>
      </c>
      <c r="CH6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6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66" s="45" t="str">
        <f aca="false">IF(Tasks[[#This Row],[_Pred3Text]]="","",TRIM(MID(SUBSTITUTE(SUBSTITUTE(SUBSTITUTE(UPPER(Tasks[[#This Row],[Predecessors]]),";",",")," ",""),",",REPT(" ",99)),298,99)))</f>
        <v/>
      </c>
      <c r="CK66" s="45" t="str">
        <f aca="false">IF(Tasks[[#This Row],[_Pred4Text]]="","",IFERROR(VALUE(LEFT(Tasks[[#This Row],[_Pred4Text]],MIN(FIND("F",Tasks[[#This Row],[_Pred4Text]]&amp;"F"),FIND("S",Tasks[[#This Row],[_Pred4Text]]&amp;"S"),FIND("+",Tasks[[#This Row],[_Pred4Text]]&amp;"+"),FIND("-",Tasks[[#This Row],[_Pred4Text]]&amp;"-"))-1)),""))</f>
        <v/>
      </c>
      <c r="CL6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6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66" s="45" t="str">
        <f aca="false">IF(OR(Tasks[[#This Row],[Task Name]]="",Tasks[[#This Row],[Resources]]=""),"",TRIM(MID(SUBSTITUTE(Tasks[[#This Row],[Resources]],",",REPT(" ",99)),1,99)))</f>
        <v/>
      </c>
      <c r="CO66" s="45" t="str">
        <f aca="false">IF(Tasks[[#This Row],[_Res1Text]]="","",TRIM(MID(SUBSTITUTE(Tasks[[#This Row],[Resources]],",",REPT(" ",99)),100,99)))</f>
        <v/>
      </c>
      <c r="CP66" s="45" t="str">
        <f aca="false">IF(Tasks[[#This Row],[_Res2Text]]="","",TRIM(MID(SUBSTITUTE(Tasks[[#This Row],[Resources]],",",REPT(" ",99)),199,99)))</f>
        <v/>
      </c>
      <c r="CQ66" s="45" t="str">
        <f aca="false">IF(Tasks[[#This Row],[_Res3Text]]="","",TRIM(MID(SUBSTITUTE(Tasks[[#This Row],[Resources]],",",REPT(" ",99)),298,99)))</f>
        <v/>
      </c>
      <c r="CR6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6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6" s="45" t="n">
        <f aca="false">IF(NOT(Tasks[[#This Row],[_IsLeaf]]=1),0,(Tasks[[#This Row],[_Resource1]]&lt;&gt;"")+(Tasks[[#This Row],[_Res2]]&lt;&gt;"")+(Tasks[[#This Row],[_Res3]]&lt;&gt;"")+(Tasks[[#This Row],[_Res4]]&lt;&gt;""))</f>
        <v>0</v>
      </c>
      <c r="CU6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6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6" s="45" t="n">
        <f aca="false">IF(OR(NOT(Tasks[[#This Row],[_IsLeaf]]=1),Tasks[[#This Row],[_Res2]]=""),0,IF(ISNA(MATCH(Tasks[[#This Row],[_Res2]],res_Name,0)),0,N(Tasks[[#This Row],[Duration]])*HoursPerDay*IF(Tasks[[#This Row],[_Res2Units]]="",DefaultUnits,Tasks[[#This Row],[_Res2Units]])))</f>
        <v>0</v>
      </c>
      <c r="CX66" s="45" t="n">
        <f aca="false">IF(Tasks[[#This Row],[_Res2Work]]=0,0,Tasks[[#This Row],[_Res2Work]]*IFERROR(INDEX(res_Rate,MATCH(Tasks[[#This Row],[_Res2]],res_Name,0)),0))</f>
        <v>0</v>
      </c>
      <c r="CY66" s="45" t="n">
        <f aca="false">IF(AND(AND(Tasks[[#This Row],[_IsLeaf]]=1,Tasks[[#This Row],[_LeafTotalWork]]&gt;0),Tasks[[#This Row],[_Res2Work]]&gt;0),Tasks[[#This Row],[_Res2Work]]/(Tasks[[#This Row],[_FinishWorkday]]-Tasks[[#This Row],[_StartWorkday]]+1),0)</f>
        <v>0</v>
      </c>
      <c r="CZ66" s="45" t="n">
        <f aca="false">Tasks[[#This Row],[_Res2WorkPerWD]]*MAX(0,Tasks[[#This Row],[_StartWorkday]]-1)</f>
        <v>0</v>
      </c>
      <c r="DA66" s="45" t="n">
        <f aca="false">Tasks[[#This Row],[_Res2Work]]*Tasks[[#This Row],[_LeafProgress]]</f>
        <v>0</v>
      </c>
      <c r="DB66" s="45" t="n">
        <f aca="false">IF(Tasks[[#This Row],[_LeafTotalCost]]=0,0,Tasks[[#This Row],[_LeafAC]]*Tasks[[#This Row],[_Res2Cost]]/Tasks[[#This Row],[_LeafTotalCost]])</f>
        <v>0</v>
      </c>
      <c r="DC6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6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66" s="45" t="n">
        <f aca="false">IF(OR(NOT(Tasks[[#This Row],[_IsLeaf]]=1),Tasks[[#This Row],[_Res3]]=""),0,IF(ISNA(MATCH(Tasks[[#This Row],[_Res3]],res_Name,0)),0,N(Tasks[[#This Row],[Duration]])*HoursPerDay*IF(Tasks[[#This Row],[_Res3Units]]="",DefaultUnits,Tasks[[#This Row],[_Res3Units]])))</f>
        <v>0</v>
      </c>
      <c r="DF66" s="45" t="n">
        <f aca="false">IF(Tasks[[#This Row],[_Res3Work]]=0,0,Tasks[[#This Row],[_Res3Work]]*IFERROR(INDEX(res_Rate,MATCH(Tasks[[#This Row],[_Res3]],res_Name,0)),0))</f>
        <v>0</v>
      </c>
      <c r="DG66" s="45" t="n">
        <f aca="false">IF(AND(AND(Tasks[[#This Row],[_IsLeaf]]=1,Tasks[[#This Row],[_LeafTotalWork]]&gt;0),Tasks[[#This Row],[_Res3Work]]&gt;0),Tasks[[#This Row],[_Res3Work]]/(Tasks[[#This Row],[_FinishWorkday]]-Tasks[[#This Row],[_StartWorkday]]+1),0)</f>
        <v>0</v>
      </c>
      <c r="DH66" s="45" t="n">
        <f aca="false">Tasks[[#This Row],[_Res3WorkPerWD]]*MAX(0,Tasks[[#This Row],[_StartWorkday]]-1)</f>
        <v>0</v>
      </c>
      <c r="DI66" s="45" t="n">
        <f aca="false">Tasks[[#This Row],[_Res3Work]]*Tasks[[#This Row],[_LeafProgress]]</f>
        <v>0</v>
      </c>
      <c r="DJ66" s="45" t="n">
        <f aca="false">IF(Tasks[[#This Row],[_LeafTotalCost]]=0,0,Tasks[[#This Row],[_LeafAC]]*Tasks[[#This Row],[_Res3Cost]]/Tasks[[#This Row],[_LeafTotalCost]])</f>
        <v>0</v>
      </c>
      <c r="DK6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6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66" s="45" t="n">
        <f aca="false">IF(OR(NOT(Tasks[[#This Row],[_IsLeaf]]=1),Tasks[[#This Row],[_Res4]]=""),0,IF(ISNA(MATCH(Tasks[[#This Row],[_Res4]],res_Name,0)),0,N(Tasks[[#This Row],[Duration]])*HoursPerDay*IF(Tasks[[#This Row],[_Res4Units]]="",DefaultUnits,Tasks[[#This Row],[_Res4Units]])))</f>
        <v>0</v>
      </c>
      <c r="DN66" s="45" t="n">
        <f aca="false">IF(Tasks[[#This Row],[_Res4Work]]=0,0,Tasks[[#This Row],[_Res4Work]]*IFERROR(INDEX(res_Rate,MATCH(Tasks[[#This Row],[_Res4]],res_Name,0)),0))</f>
        <v>0</v>
      </c>
      <c r="DO66" s="45" t="n">
        <f aca="false">IF(AND(AND(Tasks[[#This Row],[_IsLeaf]]=1,Tasks[[#This Row],[_LeafTotalWork]]&gt;0),Tasks[[#This Row],[_Res4Work]]&gt;0),Tasks[[#This Row],[_Res4Work]]/(Tasks[[#This Row],[_FinishWorkday]]-Tasks[[#This Row],[_StartWorkday]]+1),0)</f>
        <v>0</v>
      </c>
      <c r="DP66" s="45" t="n">
        <f aca="false">Tasks[[#This Row],[_Res4WorkPerWD]]*MAX(0,Tasks[[#This Row],[_StartWorkday]]-1)</f>
        <v>0</v>
      </c>
      <c r="DQ66" s="45" t="n">
        <f aca="false">Tasks[[#This Row],[_Res4Work]]*Tasks[[#This Row],[_LeafProgress]]</f>
        <v>0</v>
      </c>
      <c r="DR66" s="45" t="n">
        <f aca="false">IF(Tasks[[#This Row],[_LeafTotalCost]]=0,0,Tasks[[#This Row],[_LeafAC]]*Tasks[[#This Row],[_Res4Cost]]/Tasks[[#This Row],[_LeafTotalCost]])</f>
        <v>0</v>
      </c>
      <c r="DS66" s="45" t="n">
        <f aca="false">IF(ISNUMBER(Tasks[[#This Row],[% Complete]]),Tasks[[#This Row],[% Complete]],IF(Tasks[[#This Row],[Stage]]="",0,IFERROR(INDEX(stg_Pct,MATCH(Tasks[[#This Row],[Stage]],stg_Name,0)),0)))</f>
        <v>0</v>
      </c>
      <c r="DT66" s="45" t="n">
        <f aca="false">IF(NOT(Tasks[[#This Row],[_IsLeaf]]=1),0,IF(N(Tasks[[#This Row],[Actual Finish]])&gt;0,1,MIN(1,Tasks[[#This Row],[_Pct]])))</f>
        <v>0</v>
      </c>
      <c r="DU66" s="45" t="n">
        <f aca="false">IF(OR(NOT(Tasks[[#This Row],[_IsLeaf]]=1),Tasks[[#This Row],[_Resource1]]=""),0,IF(ISNA(MATCH(Tasks[[#This Row],[_Resource1]],res_Name,0)),0,N(Tasks[[#This Row],[Duration]])*HoursPerDay*IF(Tasks[[#This Row],[_Units1]]="",DefaultUnits,Tasks[[#This Row],[_Units1]])))</f>
        <v>0</v>
      </c>
      <c r="DV66" s="45" t="n">
        <f aca="false">IF(Tasks[[#This Row],[_LeafWork]]=0,0,Tasks[[#This Row],[_LeafWork]]*IFERROR(INDEX(res_Rate,MATCH(Tasks[[#This Row],[_Resource1]],res_Name,0)),0))</f>
        <v>0</v>
      </c>
      <c r="DW66" s="45" t="n">
        <f aca="false">Tasks[[#This Row],[_LeafWork]]+Tasks[[#This Row],[_Res2Work]]+Tasks[[#This Row],[_Res3Work]]+Tasks[[#This Row],[_Res4Work]]</f>
        <v>0</v>
      </c>
      <c r="DX66" s="45" t="n">
        <f aca="false">Tasks[[#This Row],[_LeafCost]]+Tasks[[#This Row],[_Res2Cost]]+Tasks[[#This Row],[_Res3Cost]]+Tasks[[#This Row],[_Res4Cost]]</f>
        <v>0</v>
      </c>
      <c r="DY66" s="45" t="n">
        <f aca="false">IF(Tasks[[#This Row],[_LeafTotalCost]]=0,Tasks[[#This Row],[_LeafAC]],Tasks[[#This Row],[_LeafAC]]*Tasks[[#This Row],[_LeafCost]]/Tasks[[#This Row],[_LeafTotalCost]])</f>
        <v>0</v>
      </c>
      <c r="DZ6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6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6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6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6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6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6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6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66" s="45" t="n">
        <f aca="false">IF(NOT(Tasks[[#This Row],[_IsLeaf]]=1),0,MAX(_xlfn.MAXIFS(Tasks[_Row],Tasks[_Pred1UID],Tasks[[#This Row],[UID]]),_xlfn.MAXIFS(Tasks[_Row],Tasks[_Pred2UID],Tasks[[#This Row],[UID]]),_xlfn.MAXIFS(Tasks[_Row],Tasks[_Pred3UID],Tasks[[#This Row],[UID]]),_xlfn.MAXIFS(Tasks[_Row],Tasks[_Pred4UID],Tasks[[#This Row],[UID]])))</f>
        <v>0</v>
      </c>
      <c r="EI6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6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66" s="74" t="str">
        <f aca="false">IF(NOT(Tasks[[#This Row],[_IsLeaf]]=1),"",IF(N(Tasks[[#This Row],[Duration]])&lt;=0,Tasks[[#This Row],[_LeafLateFinish]],WORKDAY.INTL(Tasks[[#This Row],[_LeafLateFinish]],-(Tasks[[#This Row],[Duration]]-1),WorkWeek,Holidays)))</f>
        <v/>
      </c>
      <c r="EL6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66" s="73" t="b">
        <f aca="false">AND(Tasks[[#This Row],[_IsLeaf]]=1,Tasks[[#This Row],[_LeafProgress]]&lt;1,N(Tasks[[#This Row],[_LeafTotalSlack]])&lt;=CriticalSlackDays)</f>
        <v>0</v>
      </c>
      <c r="EN66" s="45" t="n">
        <f aca="false">IF(AND(Tasks[[#This Row],[_IsLeaf]]=1,Tasks[[#This Row],[_ConstraintCode]]=1,Tasks[[#This Row],[Mode]]&lt;&gt;"Manual",N(Tasks[[#This Row],[Actual Start]])=0),MAX(0,N(Tasks[[#This Row],[Free Slack]])),0)</f>
        <v>0</v>
      </c>
      <c r="EO66" s="74" t="str">
        <f aca="false">IF(NOT(Tasks[[#This Row],[_IsLeaf]]=1),"",IF(Tasks[[#This Row],[_AlapShift]]=0,Tasks[[#This Row],[_LeafCalcStart]],WORKDAY.INTL(Tasks[[#This Row],[_LeafCalcStart]],Tasks[[#This Row],[_AlapShift]],WorkWeek,Holidays)))</f>
        <v/>
      </c>
      <c r="EP66" s="74" t="str">
        <f aca="false">IF(NOT(Tasks[[#This Row],[_IsLeaf]]=1),"",IF(Tasks[[#This Row],[_AlapShift]]=0,Tasks[[#This Row],[_LeafCalcFinish]],WORKDAY.INTL(Tasks[[#This Row],[_LeafCalcFinish]],Tasks[[#This Row],[_AlapShift]],WorkWeek,Holidays)))</f>
        <v/>
      </c>
      <c r="EQ66" s="74" t="str">
        <f aca="false">IF(NOT(Tasks[[#This Row],[_IsLeaf]]=1),"",IF(Tasks[[#This Row],[_AlapShift]]=0,Tasks[[#This Row],[_LeafFcstStart]],WORKDAY.INTL(Tasks[[#This Row],[_LeafFcstStart]],Tasks[[#This Row],[_AlapShift]],WorkWeek,Holidays)))</f>
        <v/>
      </c>
      <c r="ER66" s="74" t="str">
        <f aca="false">IF(NOT(Tasks[[#This Row],[_IsLeaf]]=1),"",IF(Tasks[[#This Row],[_AlapShift]]=0,Tasks[[#This Row],[_LeafFcstFinish]],WORKDAY.INTL(Tasks[[#This Row],[_LeafFcstFinish]],Tasks[[#This Row],[_AlapShift]],WorkWeek,Holidays)))</f>
        <v/>
      </c>
      <c r="ES66" s="74" t="str">
        <f aca="false">IF(Tasks[[#This Row],[Task Name]]="","",IF(Tasks[[#This Row],[_IsSummary]],MIN(INDEX(Tasks[_ShownCalcStart],Tasks[[#This Row],[_Row]]+1):INDEX(Tasks[_ShownCalcStart],Tasks[[#This Row],[_Row]]+Tasks[[#This Row],[_Descendants]])),Tasks[[#This Row],[_ShownCalcStart]]))</f>
        <v/>
      </c>
      <c r="ET66" s="74" t="str">
        <f aca="false">IF(Tasks[[#This Row],[Task Name]]="","",IF(Tasks[[#This Row],[_IsSummary]],MAX(INDEX(Tasks[_ShownCalcFinish],Tasks[[#This Row],[_Row]]+1):INDEX(Tasks[_ShownCalcFinish],Tasks[[#This Row],[_Row]]+Tasks[[#This Row],[_Descendants]])),Tasks[[#This Row],[_ShownCalcFinish]]))</f>
        <v/>
      </c>
      <c r="EU6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6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6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6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6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6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6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6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6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6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6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6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66" s="45" t="n">
        <f aca="false">IF(AND(Tasks[[#This Row],[_IsLeaf]]=1,Tasks[[#This Row],[_LeafTotalWork]]&gt;0),NETWORKDAYS.INTL(ProjectStart,Tasks[[#This Row],[_ShownFcstStart]],WorkWeek,Holidays),0)</f>
        <v>0</v>
      </c>
      <c r="FH66" s="45" t="n">
        <f aca="false">IF(AND(Tasks[[#This Row],[_IsLeaf]]=1,Tasks[[#This Row],[_LeafTotalWork]]&gt;0),MAX(Tasks[[#This Row],[_StartWorkday]],NETWORKDAYS.INTL(ProjectStart,Tasks[[#This Row],[_ShownFcstFinish]],WorkWeek,Holidays)),0)</f>
        <v>0</v>
      </c>
      <c r="FI66" s="45" t="n">
        <f aca="false">IF(AND(Tasks[[#This Row],[_IsLeaf]]=1,Tasks[[#This Row],[_LeafTotalWork]]&gt;0),Tasks[[#This Row],[_LeafWork]]/(Tasks[[#This Row],[_FinishWorkday]]-Tasks[[#This Row],[_StartWorkday]]+1),0)</f>
        <v>0</v>
      </c>
      <c r="FJ66" s="45" t="n">
        <f aca="false">Tasks[[#This Row],[_WorkPerWorkday]]*(Tasks[[#This Row],[_StartWorkday]]-1)</f>
        <v>-0</v>
      </c>
      <c r="FK66" s="45" t="n">
        <f aca="false">IF(Tasks[[#This Row],[_IsLeaf]]=1,MAX(N(Tasks[[#This Row],[Duration]]),0.1),0)</f>
        <v>0</v>
      </c>
      <c r="FL66" s="45" t="n">
        <f aca="false">Tasks[[#This Row],[_WeightDur]]*Tasks[[#This Row],[_LeafProgress]]</f>
        <v>0</v>
      </c>
      <c r="FM6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66" s="45" t="str">
        <f aca="false">IF(AND(Tasks[[#This Row],[_IsLeaf]]=1,N(Tasks[[#This Row],[Duration]])=0,Tasks[[#This Row],[_LeafProgress]]&lt;1),Tasks[[#This Row],[_ShownFcstFinish]]+Tasks[[#This Row],[_Row]]/100000,"")</f>
        <v/>
      </c>
      <c r="FO6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66" s="45" t="n">
        <f aca="false">IF(NOT(Tasks[[#This Row],[_IsLeaf]]=1),0,IF(Tasks[[#This Row],[Baseline Cost]]="",Tasks[[#This Row],[_LeafTotalCost]],N(Tasks[[#This Row],[Baseline Cost]])))</f>
        <v>0</v>
      </c>
      <c r="FQ66" s="45" t="n">
        <f aca="false">Tasks[[#This Row],[_LeafBudget]]*Tasks[[#This Row],[_PlannedPct]]</f>
        <v>0</v>
      </c>
      <c r="FR66" s="45" t="n">
        <f aca="false">Tasks[[#This Row],[_LeafBudget]]*Tasks[[#This Row],[_LeafProgress]]</f>
        <v>0</v>
      </c>
      <c r="FS66" s="45" t="n">
        <f aca="false">IF(NOT(Tasks[[#This Row],[_IsLeaf]]=1),0,IF(Tasks[[#This Row],[Actual Cost]]="",Tasks[[#This Row],[_LeafTotalCost]]*Tasks[[#This Row],[_LeafProgress]],N(Tasks[[#This Row],[Actual Cost]])))</f>
        <v>0</v>
      </c>
      <c r="FT66" s="45" t="str">
        <f aca="false">IF(Tasks[[#This Row],[Task Name]]="","",LEFT(Tasks[[#This Row],[WBS]],FIND(".",Tasks[[#This Row],[WBS]]&amp;".")-1))</f>
        <v/>
      </c>
      <c r="FU66" s="45" t="str">
        <f aca="false">IF(AND(Tasks[[#This Row],[Task Name]]&lt;&gt;"",Tasks[[#This Row],[_Level]]=1),Tasks[[#This Row],[_Row]],"")</f>
        <v/>
      </c>
      <c r="FV66" s="45" t="str">
        <f aca="false">IF(AND(Tasks[[#This Row],[_IsLeaf]]=1,N(Tasks[[#This Row],[Duration]])=0),Tasks[[#This Row],[Planned Finish]]+Tasks[[#This Row],[_Row]]/100000,"")</f>
        <v/>
      </c>
      <c r="FW66" s="45" t="str">
        <f aca="false">IF(AND(Tasks[[#This Row],[_IsLeaf]]=1,Tasks[[#This Row],[_LeafProgress]]&lt;1,OR(N(Tasks[[#This Row],[Finish Var]])&gt;0,Tasks[[#This Row],[Status]]="Late Start")),MAX(0,Tasks[[#This Row],[Finish Var]])+1-Tasks[[#This Row],[_Row]]/1000000,"")</f>
        <v/>
      </c>
      <c r="FX66" s="45" t="str">
        <f aca="false">IF(AND(Tasks[[#This Row],[_IsLeaf]]=1,N(Tasks[[#This Row],[Actual Start]])=0,Tasks[[#This Row],[_ShownFcstStart]]&gt;=StatusDate,Tasks[[#This Row],[_ShownFcstStart]]&lt;=LookaheadEnd),Tasks[[#This Row],[_ShownFcstStart]]+Tasks[[#This Row],[_Row]]/100000,"")</f>
        <v/>
      </c>
      <c r="FY66" s="45" t="str">
        <f aca="false">IF(AND(Tasks[[#This Row],[_IsLeaf]]=1,Tasks[[#This Row],[_LeafProgress]]&lt;1,Tasks[[#This Row],[_ShownFcstFinish]]&gt;=StatusDate,Tasks[[#This Row],[_ShownFcstFinish]]&lt;=LookaheadEnd),Tasks[[#This Row],[_ShownFcstFinish]]+Tasks[[#This Row],[_Row]]/100000,"")</f>
        <v/>
      </c>
      <c r="FZ66" s="45" t="str">
        <f aca="false">IF(Tasks[[#This Row],[_LeafCritical]],Tasks[[#This Row],[_ShownFcstStart]]+Tasks[[#This Row],[_Row]]/100000,"")</f>
        <v/>
      </c>
      <c r="GA66" s="45" t="n">
        <f aca="false">Tasks[[#This Row],[_LeafWork]]*Tasks[[#This Row],[_LeafProgress]]</f>
        <v>0</v>
      </c>
      <c r="GB66" s="74" t="str">
        <f aca="false">IF(AND(Tasks[[#This Row],[_IsLeaf]]=1,Tasks[[#This Row],[_LeafProgress]]&gt;=1),IF(N(Tasks[[#This Row],[Actual Finish]])&gt;0,Tasks[[#This Row],[Actual Finish]],Tasks[[#This Row],[_ShownFcstFinish]]),"")</f>
        <v/>
      </c>
    </row>
    <row r="67" customFormat="false" ht="15" hidden="false" customHeight="false" outlineLevel="0" collapsed="false">
      <c r="A67" s="67" t="str">
        <f aca="false">IF(Tasks[[#This Row],[Task Name]]="","",COUNTA(Tasks[[#Headers],[Task Name]]:Tasks[[#This Row],[Task Name]])-1)</f>
        <v/>
      </c>
      <c r="B67" s="21" t="n">
        <v>62</v>
      </c>
      <c r="C6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21"/>
      <c r="E67" s="22"/>
      <c r="F67" s="21"/>
      <c r="G67" s="22"/>
      <c r="H67" s="22"/>
      <c r="I67" s="22"/>
      <c r="J67" s="7"/>
      <c r="K67" s="7"/>
      <c r="L67" s="22"/>
      <c r="M67" s="58" t="str">
        <f aca="false">IF(Tasks[[#This Row],[Task Name]]="","",IF(Tasks[[#This Row],[_IsSummary]],MIN(INDEX(Tasks[_ShownFcstStart],Tasks[[#This Row],[_Row]]+1):INDEX(Tasks[_ShownFcstStart],Tasks[[#This Row],[_Row]]+Tasks[[#This Row],[_Descendants]])),Tasks[[#This Row],[_ShownFcstStart]]))</f>
        <v/>
      </c>
      <c r="N67" s="58" t="str">
        <f aca="false">IF(Tasks[[#This Row],[Task Name]]="","",IF(Tasks[[#This Row],[_IsSummary]],MAX(INDEX(Tasks[_ShownFcstFinish],Tasks[[#This Row],[_Row]]+1):INDEX(Tasks[_ShownFcstFinish],Tasks[[#This Row],[_Row]]+Tasks[[#This Row],[_Descendants]])),Tasks[[#This Row],[_ShownFcstFinish]]))</f>
        <v/>
      </c>
      <c r="O67" s="20" t="str">
        <f aca="false">IF(Tasks[[#This Row],[Task Name]]="","",IF(Tasks[[#This Row],[Progress]]&gt;=1,"Complete",IF(OR(N(Tasks[[#This Row],[Actual Start]])&gt;0,Tasks[[#This Row],[Progress]]&gt;0),IF(Tasks[[#This Row],[Finish Var]]&gt;0,"Behind","In Progress"),IF(Tasks[[#This Row],[Planned Start]]&lt;StatusDate,"Late Start","Not Started"))))</f>
        <v/>
      </c>
      <c r="P67" s="20" t="str">
        <f aca="false">IF(Tasks[[#This Row],[Task Name]]="","",IF(IF(Tasks[[#This Row],[_IsSummary]],COUNTIF(INDEX(Tasks[_LeafCritical],Tasks[[#This Row],[_Row]]+1):INDEX(Tasks[_LeafCritical],Tasks[[#This Row],[_Row]]+Tasks[[#This Row],[_Descendants]]),TRUE())&gt;0,Tasks[[#This Row],[_LeafCritical]]),"Yes",""))</f>
        <v/>
      </c>
      <c r="Q6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67" s="67" t="str">
        <f aca="false">IF(Tasks[[#This Row],[Task Name]]="","",IF(Tasks[[#This Row],[_Level]]&lt;=OutlineShowLevel,"Yes","No"))</f>
        <v/>
      </c>
      <c r="S67" s="7"/>
      <c r="T67" s="21"/>
      <c r="U67" s="22"/>
      <c r="V67" s="7"/>
      <c r="W67" s="67" t="str">
        <f aca="false">IF(Tasks[[#This Row],[Task Name]]="","",IF(Tasks[[#This Row],[Finish]]&gt;=Tasks[[#This Row],[Planned Finish]],NETWORKDAYS.INTL(Tasks[[#This Row],[Planned Finish]],Tasks[[#This Row],[Finish]],WorkWeek,Holidays)-1,1-NETWORKDAYS.INTL(Tasks[[#This Row],[Finish]],Tasks[[#This Row],[Planned Finish]],WorkWeek,Holidays)))</f>
        <v/>
      </c>
      <c r="X67" s="58" t="str">
        <f aca="false">IF(Tasks[[#This Row],[Task Name]]="","",IF(N(Tasks[[#This Row],[Baseline Start]])&gt;0,Tasks[[#This Row],[Baseline Start]],Tasks[[#This Row],[_CalcStart]]))</f>
        <v/>
      </c>
      <c r="Y67" s="58" t="str">
        <f aca="false">IF(Tasks[[#This Row],[Task Name]]="","",IF(N(Tasks[[#This Row],[Baseline Finish]])&gt;0,Tasks[[#This Row],[Baseline Finish]],Tasks[[#This Row],[_CalcFinish]]))</f>
        <v/>
      </c>
      <c r="Z67" s="67" t="str">
        <f aca="false">IF(Tasks[[#This Row],[Task Name]]="","",IF(Tasks[[#This Row],[Start]]&gt;=Tasks[[#This Row],[Planned Start]],NETWORKDAYS.INTL(Tasks[[#This Row],[Planned Start]],Tasks[[#This Row],[Start]],WorkWeek,Holidays)-1,1-NETWORKDAYS.INTL(Tasks[[#This Row],[Start]],Tasks[[#This Row],[Planned Start]],WorkWeek,Holidays)))</f>
        <v/>
      </c>
      <c r="AA67" s="58" t="str">
        <f aca="false">IF(Tasks[[#This Row],[Task Name]]="","",IF(Tasks[[#This Row],[_IsSummary]],MIN(INDEX(Tasks[_LeafLateStart],Tasks[[#This Row],[_Row]]+1):INDEX(Tasks[_LeafLateStart],Tasks[[#This Row],[_Row]]+Tasks[[#This Row],[_Descendants]])),Tasks[[#This Row],[_LeafLateStart]]))</f>
        <v/>
      </c>
      <c r="AB67" s="58" t="str">
        <f aca="false">IF(Tasks[[#This Row],[Task Name]]="","",IF(Tasks[[#This Row],[_IsSummary]],MAX(INDEX(Tasks[_LeafLateFinish],Tasks[[#This Row],[_Row]]+1):INDEX(Tasks[_LeafLateFinish],Tasks[[#This Row],[_Row]]+Tasks[[#This Row],[_Descendants]])),Tasks[[#This Row],[_LeafLateFinish]]))</f>
        <v/>
      </c>
      <c r="AC67" s="67" t="str">
        <f aca="false">IF(Tasks[[#This Row],[Task Name]]="","",IF(Tasks[[#This Row],[_IsSummary]],MIN(INDEX(Tasks[_LeafTotalSlack],Tasks[[#This Row],[_Row]]+1):INDEX(Tasks[_LeafTotalSlack],Tasks[[#This Row],[_Row]]+Tasks[[#This Row],[_Descendants]])),Tasks[[#This Row],[_LeafTotalSlack]]))</f>
        <v/>
      </c>
      <c r="AD6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6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6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67" s="60"/>
      <c r="AH6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6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67" s="69" t="str">
        <f aca="false">IF(Tasks[[#This Row],[Task Name]]="","",IF(Tasks[[#This Row],[_IsSummary]],SUM(INDEX(Tasks[_LeafTotalWork],Tasks[[#This Row],[_Row]]+1):INDEX(Tasks[_LeafTotalWork],Tasks[[#This Row],[_Row]]+Tasks[[#This Row],[_Descendants]])),Tasks[[#This Row],[_LeafTotalWork]]))</f>
        <v/>
      </c>
      <c r="AK6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67" s="70" t="str">
        <f aca="false">IF(Tasks[[#This Row],[Task Name]]="","",IF(Tasks[[#This Row],[_IsSummary]],SUM(INDEX(Tasks[_LeafTotalCost],Tasks[[#This Row],[_Row]]+1):INDEX(Tasks[_LeafTotalCost],Tasks[[#This Row],[_Row]]+Tasks[[#This Row],[_Descendants]])),Tasks[[#This Row],[_LeafTotalCost]]))</f>
        <v/>
      </c>
      <c r="AM67" s="71"/>
      <c r="AN67" s="20" t="str">
        <f aca="false">IF(OR(Tasks[[#This Row],[Task Name]]="",Tasks[[#This Row],[Baseline Duration]]=""),"",Tasks[[#This Row],[BL Source Duration]]-N(Tasks[[#This Row],[Baseline Duration]]))</f>
        <v/>
      </c>
      <c r="AO67" s="69" t="str">
        <f aca="false">IF(OR(Tasks[[#This Row],[Task Name]]="",Tasks[[#This Row],[Baseline Work]]=""),"",Tasks[[#This Row],[Work]]-N(Tasks[[#This Row],[Baseline Work]]))</f>
        <v/>
      </c>
      <c r="AP67" s="70" t="str">
        <f aca="false">IF(OR(Tasks[[#This Row],[Task Name]]="",Tasks[[#This Row],[Baseline Cost]]=""),"",Tasks[[#This Row],[Cost]]-N(Tasks[[#This Row],[Baseline Cost]]))</f>
        <v/>
      </c>
      <c r="AQ67" s="58" t="str">
        <f aca="false">IF(Tasks[[#This Row],[Task Name]]="","",Tasks[[#This Row],[Start]])</f>
        <v/>
      </c>
      <c r="AR67" s="58" t="str">
        <f aca="false">IF(Tasks[[#This Row],[Task Name]]="","",Tasks[[#This Row],[Finish]])</f>
        <v/>
      </c>
      <c r="AS67" s="67" t="str">
        <f aca="false">IF(Tasks[[#This Row],[Task Name]]="","",IF(Tasks[[#This Row],[_IsSummary]],NETWORKDAYS.INTL(Tasks[[#This Row],[Start]],Tasks[[#This Row],[Finish]],WorkWeek,Holidays),N(Tasks[[#This Row],[Duration]])))</f>
        <v/>
      </c>
      <c r="AT67" s="69" t="str">
        <f aca="false">IF(Tasks[[#This Row],[Task Name]]="","",Tasks[[#This Row],[Work]])</f>
        <v/>
      </c>
      <c r="AU67" s="70" t="str">
        <f aca="false">IF(Tasks[[#This Row],[Task Name]]="","",Tasks[[#This Row],[Cost]])</f>
        <v/>
      </c>
      <c r="AV67" s="7"/>
      <c r="AW67" s="7"/>
      <c r="AX67" s="21"/>
      <c r="AY67" s="72"/>
      <c r="AZ67" s="71"/>
      <c r="BA67" s="70" t="str">
        <f aca="false">IF(Tasks[[#This Row],[Task Name]]="","",IF(Tasks[[#This Row],[_IsSummary]],SUM(INDEX(Tasks[_LeafEV],Tasks[[#This Row],[_Row]]+1):INDEX(Tasks[_LeafEV],Tasks[[#This Row],[_Row]]+Tasks[[#This Row],[_Descendants]])),Tasks[[#This Row],[_LeafEV]]))</f>
        <v/>
      </c>
      <c r="BB67" s="70" t="str">
        <f aca="false">IF(Tasks[[#This Row],[Task Name]]="","",IF(Tasks[[#This Row],[_IsSummary]],SUM(INDEX(Tasks[_LeafBudget],Tasks[[#This Row],[_Row]]+1):INDEX(Tasks[_LeafBudget],Tasks[[#This Row],[_Row]]+Tasks[[#This Row],[_Descendants]])),Tasks[[#This Row],[_LeafBudget]]))</f>
        <v/>
      </c>
      <c r="BC67" s="70" t="str">
        <f aca="false">IF(Tasks[[#This Row],[Task Name]]="","",IF(Tasks[[#This Row],[_IsSummary]],SUM(INDEX(Tasks[_LeafPV],Tasks[[#This Row],[_Row]]+1):INDEX(Tasks[_LeafPV],Tasks[[#This Row],[_Row]]+Tasks[[#This Row],[_Descendants]])),Tasks[[#This Row],[_LeafPV]]))</f>
        <v/>
      </c>
      <c r="BD67" s="70" t="str">
        <f aca="false">IF(Tasks[[#This Row],[Task Name]]="","",IF(Tasks[[#This Row],[_IsSummary]],SUM(INDEX(Tasks[_LeafAC],Tasks[[#This Row],[_Row]]+1):INDEX(Tasks[_LeafAC],Tasks[[#This Row],[_Row]]+Tasks[[#This Row],[_Descendants]])),Tasks[[#This Row],[_LeafAC]]))</f>
        <v/>
      </c>
      <c r="BE67" s="45" t="str">
        <f aca="false">IF(Tasks[[#This Row],[Task Name]]="","",MAX(1,N(Tasks[[#This Row],[Level]])))</f>
        <v/>
      </c>
      <c r="BF67" s="45" t="n">
        <f aca="false">ROW()-ROW(Tasks[[#Headers],[ID]])</f>
        <v>62</v>
      </c>
      <c r="BG67" s="45" t="n">
        <f aca="false">IF(OR(Tasks[[#This Row],[Task Name]]="",Tasks[[#This Row],[_Level]]&lt;=1),0,IFERROR(LOOKUP(2,1/(Tasks[[#Headers],[_Level]]:Tasks[[#This Row],[_Level]]=Tasks[[#This Row],[_Level]]-1),ROW(Tasks[[#Headers],[_Level]]:Tasks[[#This Row],[_Level]])),0))</f>
        <v>0</v>
      </c>
      <c r="BH67" s="45" t="n">
        <f aca="false">IFERROR(N(INDEX(Tasks[_Level],Tasks[[#This Row],[_Row]]+1)),0)</f>
        <v>0</v>
      </c>
      <c r="BI67" s="73" t="b">
        <f aca="false">AND(Tasks[[#This Row],[Task Name]]&lt;&gt;"",Tasks[[#This Row],[_NextLevel]]&gt;Tasks[[#This Row],[_Level]])</f>
        <v>0</v>
      </c>
      <c r="BJ67" s="45" t="n">
        <f aca="false">IF(Tasks[[#This Row],[_IsSummary]],COUNTIF(Tasks[WBS],Tasks[[#This Row],[WBS]]&amp;".*"),0)</f>
        <v>0</v>
      </c>
      <c r="BK67" s="45" t="n">
        <f aca="false">IF(AND(Tasks[[#This Row],[Task Name]]&lt;&gt;"",NOT(Tasks[[#This Row],[_IsSummary]])),1,0)</f>
        <v>0</v>
      </c>
      <c r="BL67" s="45" t="n">
        <f aca="false">IF(N(Tasks[[#This Row],[_Pred1UID]])=0,0,IFERROR(MATCH(Tasks[[#This Row],[_Pred1UID]],Tasks[UID],0),-1))</f>
        <v>0</v>
      </c>
      <c r="BM67" s="45" t="n">
        <f aca="false">IF(N(Tasks[[#This Row],[_Pred2UID]])=0,0,IFERROR(MATCH(Tasks[[#This Row],[_Pred2UID]],Tasks[UID],0),-1))</f>
        <v>0</v>
      </c>
      <c r="BN67" s="45" t="n">
        <f aca="false">IF(N(Tasks[[#This Row],[_Pred3UID]])=0,0,IFERROR(MATCH(Tasks[[#This Row],[_Pred3UID]],Tasks[UID],0),-1))</f>
        <v>0</v>
      </c>
      <c r="BO67" s="45" t="n">
        <f aca="false">IF(N(Tasks[[#This Row],[_Pred4UID]])=0,0,IFERROR(MATCH(Tasks[[#This Row],[_Pred4UID]],Tasks[UID],0),-1))</f>
        <v>0</v>
      </c>
      <c r="BP6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6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67" s="74" t="n">
        <f aca="false">IF(OR(Tasks[[#This Row],[_ConstraintCode]]=2,Tasks[[#This Row],[_ConstraintCode]]=3,Tasks[[#This Row],[_ConstraintCode]]=4,Tasks[[#This Row],[_ConstraintCode]]=6),Tasks[[#This Row],[_ConstraintStart]],0)</f>
        <v>0</v>
      </c>
      <c r="BS67" s="74" t="n">
        <f aca="false">IF(OR(Tasks[[#This Row],[_ConstraintCode]]=2,Tasks[[#This Row],[_ConstraintCode]]=3,Tasks[[#This Row],[_ConstraintCode]]=5,Tasks[[#This Row],[_ConstraintCode]]=7),Tasks[[#This Row],[_ConstraintStart]],2958465)</f>
        <v>2958465</v>
      </c>
      <c r="BT6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67" s="74" t="str">
        <f aca="false">IF(NOT(Tasks[[#This Row],[_IsLeaf]]=1),"",IF(N(Tasks[[#This Row],[Duration]])&lt;=0,Tasks[[#This Row],[_LeafCalcStart]],WORKDAY.INTL(Tasks[[#This Row],[_LeafCalcStart]],Tasks[[#This Row],[Duration]]-1,WorkWeek,Holidays)))</f>
        <v/>
      </c>
      <c r="BV6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6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67" s="45" t="str">
        <f aca="false">IF(Tasks[[#This Row],[Predecessors]]="","",TRIM(MID(SUBSTITUTE(SUBSTITUTE(SUBSTITUTE(UPPER(Tasks[[#This Row],[Predecessors]]),";",",")," ",""),",",REPT(" ",99)),1,99)))</f>
        <v/>
      </c>
      <c r="BY67" s="45" t="str">
        <f aca="false">IF(Tasks[[#This Row],[_Pred1Text]]="","",IFERROR(VALUE(LEFT(Tasks[[#This Row],[_Pred1Text]],MIN(FIND("F",Tasks[[#This Row],[_Pred1Text]]&amp;"F"),FIND("S",Tasks[[#This Row],[_Pred1Text]]&amp;"S"),FIND("+",Tasks[[#This Row],[_Pred1Text]]&amp;"+"),FIND("-",Tasks[[#This Row],[_Pred1Text]]&amp;"-"))-1)),""))</f>
        <v/>
      </c>
      <c r="BZ6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6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67" s="45" t="str">
        <f aca="false">IF(Tasks[[#This Row],[_Pred1Text]]="","",TRIM(MID(SUBSTITUTE(SUBSTITUTE(SUBSTITUTE(UPPER(Tasks[[#This Row],[Predecessors]]),";",",")," ",""),",",REPT(" ",99)),100,99)))</f>
        <v/>
      </c>
      <c r="CC67" s="45" t="str">
        <f aca="false">IF(Tasks[[#This Row],[_Pred2Text]]="","",IFERROR(VALUE(LEFT(Tasks[[#This Row],[_Pred2Text]],MIN(FIND("F",Tasks[[#This Row],[_Pred2Text]]&amp;"F"),FIND("S",Tasks[[#This Row],[_Pred2Text]]&amp;"S"),FIND("+",Tasks[[#This Row],[_Pred2Text]]&amp;"+"),FIND("-",Tasks[[#This Row],[_Pred2Text]]&amp;"-"))-1)),""))</f>
        <v/>
      </c>
      <c r="CD6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6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67" s="45" t="str">
        <f aca="false">IF(Tasks[[#This Row],[_Pred2Text]]="","",TRIM(MID(SUBSTITUTE(SUBSTITUTE(SUBSTITUTE(UPPER(Tasks[[#This Row],[Predecessors]]),";",",")," ",""),",",REPT(" ",99)),199,99)))</f>
        <v/>
      </c>
      <c r="CG67" s="45" t="str">
        <f aca="false">IF(Tasks[[#This Row],[_Pred3Text]]="","",IFERROR(VALUE(LEFT(Tasks[[#This Row],[_Pred3Text]],MIN(FIND("F",Tasks[[#This Row],[_Pred3Text]]&amp;"F"),FIND("S",Tasks[[#This Row],[_Pred3Text]]&amp;"S"),FIND("+",Tasks[[#This Row],[_Pred3Text]]&amp;"+"),FIND("-",Tasks[[#This Row],[_Pred3Text]]&amp;"-"))-1)),""))</f>
        <v/>
      </c>
      <c r="CH6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6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67" s="45" t="str">
        <f aca="false">IF(Tasks[[#This Row],[_Pred3Text]]="","",TRIM(MID(SUBSTITUTE(SUBSTITUTE(SUBSTITUTE(UPPER(Tasks[[#This Row],[Predecessors]]),";",",")," ",""),",",REPT(" ",99)),298,99)))</f>
        <v/>
      </c>
      <c r="CK67" s="45" t="str">
        <f aca="false">IF(Tasks[[#This Row],[_Pred4Text]]="","",IFERROR(VALUE(LEFT(Tasks[[#This Row],[_Pred4Text]],MIN(FIND("F",Tasks[[#This Row],[_Pred4Text]]&amp;"F"),FIND("S",Tasks[[#This Row],[_Pred4Text]]&amp;"S"),FIND("+",Tasks[[#This Row],[_Pred4Text]]&amp;"+"),FIND("-",Tasks[[#This Row],[_Pred4Text]]&amp;"-"))-1)),""))</f>
        <v/>
      </c>
      <c r="CL6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6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67" s="45" t="str">
        <f aca="false">IF(OR(Tasks[[#This Row],[Task Name]]="",Tasks[[#This Row],[Resources]]=""),"",TRIM(MID(SUBSTITUTE(Tasks[[#This Row],[Resources]],",",REPT(" ",99)),1,99)))</f>
        <v/>
      </c>
      <c r="CO67" s="45" t="str">
        <f aca="false">IF(Tasks[[#This Row],[_Res1Text]]="","",TRIM(MID(SUBSTITUTE(Tasks[[#This Row],[Resources]],",",REPT(" ",99)),100,99)))</f>
        <v/>
      </c>
      <c r="CP67" s="45" t="str">
        <f aca="false">IF(Tasks[[#This Row],[_Res2Text]]="","",TRIM(MID(SUBSTITUTE(Tasks[[#This Row],[Resources]],",",REPT(" ",99)),199,99)))</f>
        <v/>
      </c>
      <c r="CQ67" s="45" t="str">
        <f aca="false">IF(Tasks[[#This Row],[_Res3Text]]="","",TRIM(MID(SUBSTITUTE(Tasks[[#This Row],[Resources]],",",REPT(" ",99)),298,99)))</f>
        <v/>
      </c>
      <c r="CR6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6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7" s="45" t="n">
        <f aca="false">IF(NOT(Tasks[[#This Row],[_IsLeaf]]=1),0,(Tasks[[#This Row],[_Resource1]]&lt;&gt;"")+(Tasks[[#This Row],[_Res2]]&lt;&gt;"")+(Tasks[[#This Row],[_Res3]]&lt;&gt;"")+(Tasks[[#This Row],[_Res4]]&lt;&gt;""))</f>
        <v>0</v>
      </c>
      <c r="CU6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6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7" s="45" t="n">
        <f aca="false">IF(OR(NOT(Tasks[[#This Row],[_IsLeaf]]=1),Tasks[[#This Row],[_Res2]]=""),0,IF(ISNA(MATCH(Tasks[[#This Row],[_Res2]],res_Name,0)),0,N(Tasks[[#This Row],[Duration]])*HoursPerDay*IF(Tasks[[#This Row],[_Res2Units]]="",DefaultUnits,Tasks[[#This Row],[_Res2Units]])))</f>
        <v>0</v>
      </c>
      <c r="CX67" s="45" t="n">
        <f aca="false">IF(Tasks[[#This Row],[_Res2Work]]=0,0,Tasks[[#This Row],[_Res2Work]]*IFERROR(INDEX(res_Rate,MATCH(Tasks[[#This Row],[_Res2]],res_Name,0)),0))</f>
        <v>0</v>
      </c>
      <c r="CY67" s="45" t="n">
        <f aca="false">IF(AND(AND(Tasks[[#This Row],[_IsLeaf]]=1,Tasks[[#This Row],[_LeafTotalWork]]&gt;0),Tasks[[#This Row],[_Res2Work]]&gt;0),Tasks[[#This Row],[_Res2Work]]/(Tasks[[#This Row],[_FinishWorkday]]-Tasks[[#This Row],[_StartWorkday]]+1),0)</f>
        <v>0</v>
      </c>
      <c r="CZ67" s="45" t="n">
        <f aca="false">Tasks[[#This Row],[_Res2WorkPerWD]]*MAX(0,Tasks[[#This Row],[_StartWorkday]]-1)</f>
        <v>0</v>
      </c>
      <c r="DA67" s="45" t="n">
        <f aca="false">Tasks[[#This Row],[_Res2Work]]*Tasks[[#This Row],[_LeafProgress]]</f>
        <v>0</v>
      </c>
      <c r="DB67" s="45" t="n">
        <f aca="false">IF(Tasks[[#This Row],[_LeafTotalCost]]=0,0,Tasks[[#This Row],[_LeafAC]]*Tasks[[#This Row],[_Res2Cost]]/Tasks[[#This Row],[_LeafTotalCost]])</f>
        <v>0</v>
      </c>
      <c r="DC6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6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67" s="45" t="n">
        <f aca="false">IF(OR(NOT(Tasks[[#This Row],[_IsLeaf]]=1),Tasks[[#This Row],[_Res3]]=""),0,IF(ISNA(MATCH(Tasks[[#This Row],[_Res3]],res_Name,0)),0,N(Tasks[[#This Row],[Duration]])*HoursPerDay*IF(Tasks[[#This Row],[_Res3Units]]="",DefaultUnits,Tasks[[#This Row],[_Res3Units]])))</f>
        <v>0</v>
      </c>
      <c r="DF67" s="45" t="n">
        <f aca="false">IF(Tasks[[#This Row],[_Res3Work]]=0,0,Tasks[[#This Row],[_Res3Work]]*IFERROR(INDEX(res_Rate,MATCH(Tasks[[#This Row],[_Res3]],res_Name,0)),0))</f>
        <v>0</v>
      </c>
      <c r="DG67" s="45" t="n">
        <f aca="false">IF(AND(AND(Tasks[[#This Row],[_IsLeaf]]=1,Tasks[[#This Row],[_LeafTotalWork]]&gt;0),Tasks[[#This Row],[_Res3Work]]&gt;0),Tasks[[#This Row],[_Res3Work]]/(Tasks[[#This Row],[_FinishWorkday]]-Tasks[[#This Row],[_StartWorkday]]+1),0)</f>
        <v>0</v>
      </c>
      <c r="DH67" s="45" t="n">
        <f aca="false">Tasks[[#This Row],[_Res3WorkPerWD]]*MAX(0,Tasks[[#This Row],[_StartWorkday]]-1)</f>
        <v>0</v>
      </c>
      <c r="DI67" s="45" t="n">
        <f aca="false">Tasks[[#This Row],[_Res3Work]]*Tasks[[#This Row],[_LeafProgress]]</f>
        <v>0</v>
      </c>
      <c r="DJ67" s="45" t="n">
        <f aca="false">IF(Tasks[[#This Row],[_LeafTotalCost]]=0,0,Tasks[[#This Row],[_LeafAC]]*Tasks[[#This Row],[_Res3Cost]]/Tasks[[#This Row],[_LeafTotalCost]])</f>
        <v>0</v>
      </c>
      <c r="DK6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6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67" s="45" t="n">
        <f aca="false">IF(OR(NOT(Tasks[[#This Row],[_IsLeaf]]=1),Tasks[[#This Row],[_Res4]]=""),0,IF(ISNA(MATCH(Tasks[[#This Row],[_Res4]],res_Name,0)),0,N(Tasks[[#This Row],[Duration]])*HoursPerDay*IF(Tasks[[#This Row],[_Res4Units]]="",DefaultUnits,Tasks[[#This Row],[_Res4Units]])))</f>
        <v>0</v>
      </c>
      <c r="DN67" s="45" t="n">
        <f aca="false">IF(Tasks[[#This Row],[_Res4Work]]=0,0,Tasks[[#This Row],[_Res4Work]]*IFERROR(INDEX(res_Rate,MATCH(Tasks[[#This Row],[_Res4]],res_Name,0)),0))</f>
        <v>0</v>
      </c>
      <c r="DO67" s="45" t="n">
        <f aca="false">IF(AND(AND(Tasks[[#This Row],[_IsLeaf]]=1,Tasks[[#This Row],[_LeafTotalWork]]&gt;0),Tasks[[#This Row],[_Res4Work]]&gt;0),Tasks[[#This Row],[_Res4Work]]/(Tasks[[#This Row],[_FinishWorkday]]-Tasks[[#This Row],[_StartWorkday]]+1),0)</f>
        <v>0</v>
      </c>
      <c r="DP67" s="45" t="n">
        <f aca="false">Tasks[[#This Row],[_Res4WorkPerWD]]*MAX(0,Tasks[[#This Row],[_StartWorkday]]-1)</f>
        <v>0</v>
      </c>
      <c r="DQ67" s="45" t="n">
        <f aca="false">Tasks[[#This Row],[_Res4Work]]*Tasks[[#This Row],[_LeafProgress]]</f>
        <v>0</v>
      </c>
      <c r="DR67" s="45" t="n">
        <f aca="false">IF(Tasks[[#This Row],[_LeafTotalCost]]=0,0,Tasks[[#This Row],[_LeafAC]]*Tasks[[#This Row],[_Res4Cost]]/Tasks[[#This Row],[_LeafTotalCost]])</f>
        <v>0</v>
      </c>
      <c r="DS67" s="45" t="n">
        <f aca="false">IF(ISNUMBER(Tasks[[#This Row],[% Complete]]),Tasks[[#This Row],[% Complete]],IF(Tasks[[#This Row],[Stage]]="",0,IFERROR(INDEX(stg_Pct,MATCH(Tasks[[#This Row],[Stage]],stg_Name,0)),0)))</f>
        <v>0</v>
      </c>
      <c r="DT67" s="45" t="n">
        <f aca="false">IF(NOT(Tasks[[#This Row],[_IsLeaf]]=1),0,IF(N(Tasks[[#This Row],[Actual Finish]])&gt;0,1,MIN(1,Tasks[[#This Row],[_Pct]])))</f>
        <v>0</v>
      </c>
      <c r="DU67" s="45" t="n">
        <f aca="false">IF(OR(NOT(Tasks[[#This Row],[_IsLeaf]]=1),Tasks[[#This Row],[_Resource1]]=""),0,IF(ISNA(MATCH(Tasks[[#This Row],[_Resource1]],res_Name,0)),0,N(Tasks[[#This Row],[Duration]])*HoursPerDay*IF(Tasks[[#This Row],[_Units1]]="",DefaultUnits,Tasks[[#This Row],[_Units1]])))</f>
        <v>0</v>
      </c>
      <c r="DV67" s="45" t="n">
        <f aca="false">IF(Tasks[[#This Row],[_LeafWork]]=0,0,Tasks[[#This Row],[_LeafWork]]*IFERROR(INDEX(res_Rate,MATCH(Tasks[[#This Row],[_Resource1]],res_Name,0)),0))</f>
        <v>0</v>
      </c>
      <c r="DW67" s="45" t="n">
        <f aca="false">Tasks[[#This Row],[_LeafWork]]+Tasks[[#This Row],[_Res2Work]]+Tasks[[#This Row],[_Res3Work]]+Tasks[[#This Row],[_Res4Work]]</f>
        <v>0</v>
      </c>
      <c r="DX67" s="45" t="n">
        <f aca="false">Tasks[[#This Row],[_LeafCost]]+Tasks[[#This Row],[_Res2Cost]]+Tasks[[#This Row],[_Res3Cost]]+Tasks[[#This Row],[_Res4Cost]]</f>
        <v>0</v>
      </c>
      <c r="DY67" s="45" t="n">
        <f aca="false">IF(Tasks[[#This Row],[_LeafTotalCost]]=0,Tasks[[#This Row],[_LeafAC]],Tasks[[#This Row],[_LeafAC]]*Tasks[[#This Row],[_LeafCost]]/Tasks[[#This Row],[_LeafTotalCost]])</f>
        <v>0</v>
      </c>
      <c r="DZ6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6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6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6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6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6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6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6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67" s="45" t="n">
        <f aca="false">IF(NOT(Tasks[[#This Row],[_IsLeaf]]=1),0,MAX(_xlfn.MAXIFS(Tasks[_Row],Tasks[_Pred1UID],Tasks[[#This Row],[UID]]),_xlfn.MAXIFS(Tasks[_Row],Tasks[_Pred2UID],Tasks[[#This Row],[UID]]),_xlfn.MAXIFS(Tasks[_Row],Tasks[_Pred3UID],Tasks[[#This Row],[UID]]),_xlfn.MAXIFS(Tasks[_Row],Tasks[_Pred4UID],Tasks[[#This Row],[UID]])))</f>
        <v>0</v>
      </c>
      <c r="EI6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6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67" s="74" t="str">
        <f aca="false">IF(NOT(Tasks[[#This Row],[_IsLeaf]]=1),"",IF(N(Tasks[[#This Row],[Duration]])&lt;=0,Tasks[[#This Row],[_LeafLateFinish]],WORKDAY.INTL(Tasks[[#This Row],[_LeafLateFinish]],-(Tasks[[#This Row],[Duration]]-1),WorkWeek,Holidays)))</f>
        <v/>
      </c>
      <c r="EL6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67" s="73" t="b">
        <f aca="false">AND(Tasks[[#This Row],[_IsLeaf]]=1,Tasks[[#This Row],[_LeafProgress]]&lt;1,N(Tasks[[#This Row],[_LeafTotalSlack]])&lt;=CriticalSlackDays)</f>
        <v>0</v>
      </c>
      <c r="EN67" s="45" t="n">
        <f aca="false">IF(AND(Tasks[[#This Row],[_IsLeaf]]=1,Tasks[[#This Row],[_ConstraintCode]]=1,Tasks[[#This Row],[Mode]]&lt;&gt;"Manual",N(Tasks[[#This Row],[Actual Start]])=0),MAX(0,N(Tasks[[#This Row],[Free Slack]])),0)</f>
        <v>0</v>
      </c>
      <c r="EO67" s="74" t="str">
        <f aca="false">IF(NOT(Tasks[[#This Row],[_IsLeaf]]=1),"",IF(Tasks[[#This Row],[_AlapShift]]=0,Tasks[[#This Row],[_LeafCalcStart]],WORKDAY.INTL(Tasks[[#This Row],[_LeafCalcStart]],Tasks[[#This Row],[_AlapShift]],WorkWeek,Holidays)))</f>
        <v/>
      </c>
      <c r="EP67" s="74" t="str">
        <f aca="false">IF(NOT(Tasks[[#This Row],[_IsLeaf]]=1),"",IF(Tasks[[#This Row],[_AlapShift]]=0,Tasks[[#This Row],[_LeafCalcFinish]],WORKDAY.INTL(Tasks[[#This Row],[_LeafCalcFinish]],Tasks[[#This Row],[_AlapShift]],WorkWeek,Holidays)))</f>
        <v/>
      </c>
      <c r="EQ67" s="74" t="str">
        <f aca="false">IF(NOT(Tasks[[#This Row],[_IsLeaf]]=1),"",IF(Tasks[[#This Row],[_AlapShift]]=0,Tasks[[#This Row],[_LeafFcstStart]],WORKDAY.INTL(Tasks[[#This Row],[_LeafFcstStart]],Tasks[[#This Row],[_AlapShift]],WorkWeek,Holidays)))</f>
        <v/>
      </c>
      <c r="ER67" s="74" t="str">
        <f aca="false">IF(NOT(Tasks[[#This Row],[_IsLeaf]]=1),"",IF(Tasks[[#This Row],[_AlapShift]]=0,Tasks[[#This Row],[_LeafFcstFinish]],WORKDAY.INTL(Tasks[[#This Row],[_LeafFcstFinish]],Tasks[[#This Row],[_AlapShift]],WorkWeek,Holidays)))</f>
        <v/>
      </c>
      <c r="ES67" s="74" t="str">
        <f aca="false">IF(Tasks[[#This Row],[Task Name]]="","",IF(Tasks[[#This Row],[_IsSummary]],MIN(INDEX(Tasks[_ShownCalcStart],Tasks[[#This Row],[_Row]]+1):INDEX(Tasks[_ShownCalcStart],Tasks[[#This Row],[_Row]]+Tasks[[#This Row],[_Descendants]])),Tasks[[#This Row],[_ShownCalcStart]]))</f>
        <v/>
      </c>
      <c r="ET67" s="74" t="str">
        <f aca="false">IF(Tasks[[#This Row],[Task Name]]="","",IF(Tasks[[#This Row],[_IsSummary]],MAX(INDEX(Tasks[_ShownCalcFinish],Tasks[[#This Row],[_Row]]+1):INDEX(Tasks[_ShownCalcFinish],Tasks[[#This Row],[_Row]]+Tasks[[#This Row],[_Descendants]])),Tasks[[#This Row],[_ShownCalcFinish]]))</f>
        <v/>
      </c>
      <c r="EU6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6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6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6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6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6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6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6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6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6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6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6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67" s="45" t="n">
        <f aca="false">IF(AND(Tasks[[#This Row],[_IsLeaf]]=1,Tasks[[#This Row],[_LeafTotalWork]]&gt;0),NETWORKDAYS.INTL(ProjectStart,Tasks[[#This Row],[_ShownFcstStart]],WorkWeek,Holidays),0)</f>
        <v>0</v>
      </c>
      <c r="FH67" s="45" t="n">
        <f aca="false">IF(AND(Tasks[[#This Row],[_IsLeaf]]=1,Tasks[[#This Row],[_LeafTotalWork]]&gt;0),MAX(Tasks[[#This Row],[_StartWorkday]],NETWORKDAYS.INTL(ProjectStart,Tasks[[#This Row],[_ShownFcstFinish]],WorkWeek,Holidays)),0)</f>
        <v>0</v>
      </c>
      <c r="FI67" s="45" t="n">
        <f aca="false">IF(AND(Tasks[[#This Row],[_IsLeaf]]=1,Tasks[[#This Row],[_LeafTotalWork]]&gt;0),Tasks[[#This Row],[_LeafWork]]/(Tasks[[#This Row],[_FinishWorkday]]-Tasks[[#This Row],[_StartWorkday]]+1),0)</f>
        <v>0</v>
      </c>
      <c r="FJ67" s="45" t="n">
        <f aca="false">Tasks[[#This Row],[_WorkPerWorkday]]*(Tasks[[#This Row],[_StartWorkday]]-1)</f>
        <v>-0</v>
      </c>
      <c r="FK67" s="45" t="n">
        <f aca="false">IF(Tasks[[#This Row],[_IsLeaf]]=1,MAX(N(Tasks[[#This Row],[Duration]]),0.1),0)</f>
        <v>0</v>
      </c>
      <c r="FL67" s="45" t="n">
        <f aca="false">Tasks[[#This Row],[_WeightDur]]*Tasks[[#This Row],[_LeafProgress]]</f>
        <v>0</v>
      </c>
      <c r="FM6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67" s="45" t="str">
        <f aca="false">IF(AND(Tasks[[#This Row],[_IsLeaf]]=1,N(Tasks[[#This Row],[Duration]])=0,Tasks[[#This Row],[_LeafProgress]]&lt;1),Tasks[[#This Row],[_ShownFcstFinish]]+Tasks[[#This Row],[_Row]]/100000,"")</f>
        <v/>
      </c>
      <c r="FO6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67" s="45" t="n">
        <f aca="false">IF(NOT(Tasks[[#This Row],[_IsLeaf]]=1),0,IF(Tasks[[#This Row],[Baseline Cost]]="",Tasks[[#This Row],[_LeafTotalCost]],N(Tasks[[#This Row],[Baseline Cost]])))</f>
        <v>0</v>
      </c>
      <c r="FQ67" s="45" t="n">
        <f aca="false">Tasks[[#This Row],[_LeafBudget]]*Tasks[[#This Row],[_PlannedPct]]</f>
        <v>0</v>
      </c>
      <c r="FR67" s="45" t="n">
        <f aca="false">Tasks[[#This Row],[_LeafBudget]]*Tasks[[#This Row],[_LeafProgress]]</f>
        <v>0</v>
      </c>
      <c r="FS67" s="45" t="n">
        <f aca="false">IF(NOT(Tasks[[#This Row],[_IsLeaf]]=1),0,IF(Tasks[[#This Row],[Actual Cost]]="",Tasks[[#This Row],[_LeafTotalCost]]*Tasks[[#This Row],[_LeafProgress]],N(Tasks[[#This Row],[Actual Cost]])))</f>
        <v>0</v>
      </c>
      <c r="FT67" s="45" t="str">
        <f aca="false">IF(Tasks[[#This Row],[Task Name]]="","",LEFT(Tasks[[#This Row],[WBS]],FIND(".",Tasks[[#This Row],[WBS]]&amp;".")-1))</f>
        <v/>
      </c>
      <c r="FU67" s="45" t="str">
        <f aca="false">IF(AND(Tasks[[#This Row],[Task Name]]&lt;&gt;"",Tasks[[#This Row],[_Level]]=1),Tasks[[#This Row],[_Row]],"")</f>
        <v/>
      </c>
      <c r="FV67" s="45" t="str">
        <f aca="false">IF(AND(Tasks[[#This Row],[_IsLeaf]]=1,N(Tasks[[#This Row],[Duration]])=0),Tasks[[#This Row],[Planned Finish]]+Tasks[[#This Row],[_Row]]/100000,"")</f>
        <v/>
      </c>
      <c r="FW67" s="45" t="str">
        <f aca="false">IF(AND(Tasks[[#This Row],[_IsLeaf]]=1,Tasks[[#This Row],[_LeafProgress]]&lt;1,OR(N(Tasks[[#This Row],[Finish Var]])&gt;0,Tasks[[#This Row],[Status]]="Late Start")),MAX(0,Tasks[[#This Row],[Finish Var]])+1-Tasks[[#This Row],[_Row]]/1000000,"")</f>
        <v/>
      </c>
      <c r="FX67" s="45" t="str">
        <f aca="false">IF(AND(Tasks[[#This Row],[_IsLeaf]]=1,N(Tasks[[#This Row],[Actual Start]])=0,Tasks[[#This Row],[_ShownFcstStart]]&gt;=StatusDate,Tasks[[#This Row],[_ShownFcstStart]]&lt;=LookaheadEnd),Tasks[[#This Row],[_ShownFcstStart]]+Tasks[[#This Row],[_Row]]/100000,"")</f>
        <v/>
      </c>
      <c r="FY67" s="45" t="str">
        <f aca="false">IF(AND(Tasks[[#This Row],[_IsLeaf]]=1,Tasks[[#This Row],[_LeafProgress]]&lt;1,Tasks[[#This Row],[_ShownFcstFinish]]&gt;=StatusDate,Tasks[[#This Row],[_ShownFcstFinish]]&lt;=LookaheadEnd),Tasks[[#This Row],[_ShownFcstFinish]]+Tasks[[#This Row],[_Row]]/100000,"")</f>
        <v/>
      </c>
      <c r="FZ67" s="45" t="str">
        <f aca="false">IF(Tasks[[#This Row],[_LeafCritical]],Tasks[[#This Row],[_ShownFcstStart]]+Tasks[[#This Row],[_Row]]/100000,"")</f>
        <v/>
      </c>
      <c r="GA67" s="45" t="n">
        <f aca="false">Tasks[[#This Row],[_LeafWork]]*Tasks[[#This Row],[_LeafProgress]]</f>
        <v>0</v>
      </c>
      <c r="GB67" s="74" t="str">
        <f aca="false">IF(AND(Tasks[[#This Row],[_IsLeaf]]=1,Tasks[[#This Row],[_LeafProgress]]&gt;=1),IF(N(Tasks[[#This Row],[Actual Finish]])&gt;0,Tasks[[#This Row],[Actual Finish]],Tasks[[#This Row],[_ShownFcstFinish]]),"")</f>
        <v/>
      </c>
    </row>
    <row r="68" customFormat="false" ht="15" hidden="false" customHeight="false" outlineLevel="0" collapsed="false">
      <c r="A68" s="67" t="str">
        <f aca="false">IF(Tasks[[#This Row],[Task Name]]="","",COUNTA(Tasks[[#Headers],[Task Name]]:Tasks[[#This Row],[Task Name]])-1)</f>
        <v/>
      </c>
      <c r="B68" s="21" t="n">
        <v>63</v>
      </c>
      <c r="C6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21"/>
      <c r="E68" s="22"/>
      <c r="F68" s="21"/>
      <c r="G68" s="22"/>
      <c r="H68" s="22"/>
      <c r="I68" s="22"/>
      <c r="J68" s="7"/>
      <c r="K68" s="7"/>
      <c r="L68" s="22"/>
      <c r="M68" s="58" t="str">
        <f aca="false">IF(Tasks[[#This Row],[Task Name]]="","",IF(Tasks[[#This Row],[_IsSummary]],MIN(INDEX(Tasks[_ShownFcstStart],Tasks[[#This Row],[_Row]]+1):INDEX(Tasks[_ShownFcstStart],Tasks[[#This Row],[_Row]]+Tasks[[#This Row],[_Descendants]])),Tasks[[#This Row],[_ShownFcstStart]]))</f>
        <v/>
      </c>
      <c r="N68" s="58" t="str">
        <f aca="false">IF(Tasks[[#This Row],[Task Name]]="","",IF(Tasks[[#This Row],[_IsSummary]],MAX(INDEX(Tasks[_ShownFcstFinish],Tasks[[#This Row],[_Row]]+1):INDEX(Tasks[_ShownFcstFinish],Tasks[[#This Row],[_Row]]+Tasks[[#This Row],[_Descendants]])),Tasks[[#This Row],[_ShownFcstFinish]]))</f>
        <v/>
      </c>
      <c r="O68" s="20" t="str">
        <f aca="false">IF(Tasks[[#This Row],[Task Name]]="","",IF(Tasks[[#This Row],[Progress]]&gt;=1,"Complete",IF(OR(N(Tasks[[#This Row],[Actual Start]])&gt;0,Tasks[[#This Row],[Progress]]&gt;0),IF(Tasks[[#This Row],[Finish Var]]&gt;0,"Behind","In Progress"),IF(Tasks[[#This Row],[Planned Start]]&lt;StatusDate,"Late Start","Not Started"))))</f>
        <v/>
      </c>
      <c r="P68" s="20" t="str">
        <f aca="false">IF(Tasks[[#This Row],[Task Name]]="","",IF(IF(Tasks[[#This Row],[_IsSummary]],COUNTIF(INDEX(Tasks[_LeafCritical],Tasks[[#This Row],[_Row]]+1):INDEX(Tasks[_LeafCritical],Tasks[[#This Row],[_Row]]+Tasks[[#This Row],[_Descendants]]),TRUE())&gt;0,Tasks[[#This Row],[_LeafCritical]]),"Yes",""))</f>
        <v/>
      </c>
      <c r="Q6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68" s="67" t="str">
        <f aca="false">IF(Tasks[[#This Row],[Task Name]]="","",IF(Tasks[[#This Row],[_Level]]&lt;=OutlineShowLevel,"Yes","No"))</f>
        <v/>
      </c>
      <c r="S68" s="7"/>
      <c r="T68" s="21"/>
      <c r="U68" s="22"/>
      <c r="V68" s="7"/>
      <c r="W68" s="67" t="str">
        <f aca="false">IF(Tasks[[#This Row],[Task Name]]="","",IF(Tasks[[#This Row],[Finish]]&gt;=Tasks[[#This Row],[Planned Finish]],NETWORKDAYS.INTL(Tasks[[#This Row],[Planned Finish]],Tasks[[#This Row],[Finish]],WorkWeek,Holidays)-1,1-NETWORKDAYS.INTL(Tasks[[#This Row],[Finish]],Tasks[[#This Row],[Planned Finish]],WorkWeek,Holidays)))</f>
        <v/>
      </c>
      <c r="X68" s="58" t="str">
        <f aca="false">IF(Tasks[[#This Row],[Task Name]]="","",IF(N(Tasks[[#This Row],[Baseline Start]])&gt;0,Tasks[[#This Row],[Baseline Start]],Tasks[[#This Row],[_CalcStart]]))</f>
        <v/>
      </c>
      <c r="Y68" s="58" t="str">
        <f aca="false">IF(Tasks[[#This Row],[Task Name]]="","",IF(N(Tasks[[#This Row],[Baseline Finish]])&gt;0,Tasks[[#This Row],[Baseline Finish]],Tasks[[#This Row],[_CalcFinish]]))</f>
        <v/>
      </c>
      <c r="Z68" s="67" t="str">
        <f aca="false">IF(Tasks[[#This Row],[Task Name]]="","",IF(Tasks[[#This Row],[Start]]&gt;=Tasks[[#This Row],[Planned Start]],NETWORKDAYS.INTL(Tasks[[#This Row],[Planned Start]],Tasks[[#This Row],[Start]],WorkWeek,Holidays)-1,1-NETWORKDAYS.INTL(Tasks[[#This Row],[Start]],Tasks[[#This Row],[Planned Start]],WorkWeek,Holidays)))</f>
        <v/>
      </c>
      <c r="AA68" s="58" t="str">
        <f aca="false">IF(Tasks[[#This Row],[Task Name]]="","",IF(Tasks[[#This Row],[_IsSummary]],MIN(INDEX(Tasks[_LeafLateStart],Tasks[[#This Row],[_Row]]+1):INDEX(Tasks[_LeafLateStart],Tasks[[#This Row],[_Row]]+Tasks[[#This Row],[_Descendants]])),Tasks[[#This Row],[_LeafLateStart]]))</f>
        <v/>
      </c>
      <c r="AB68" s="58" t="str">
        <f aca="false">IF(Tasks[[#This Row],[Task Name]]="","",IF(Tasks[[#This Row],[_IsSummary]],MAX(INDEX(Tasks[_LeafLateFinish],Tasks[[#This Row],[_Row]]+1):INDEX(Tasks[_LeafLateFinish],Tasks[[#This Row],[_Row]]+Tasks[[#This Row],[_Descendants]])),Tasks[[#This Row],[_LeafLateFinish]]))</f>
        <v/>
      </c>
      <c r="AC68" s="67" t="str">
        <f aca="false">IF(Tasks[[#This Row],[Task Name]]="","",IF(Tasks[[#This Row],[_IsSummary]],MIN(INDEX(Tasks[_LeafTotalSlack],Tasks[[#This Row],[_Row]]+1):INDEX(Tasks[_LeafTotalSlack],Tasks[[#This Row],[_Row]]+Tasks[[#This Row],[_Descendants]])),Tasks[[#This Row],[_LeafTotalSlack]]))</f>
        <v/>
      </c>
      <c r="AD6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6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6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68" s="60"/>
      <c r="AH6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6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68" s="69" t="str">
        <f aca="false">IF(Tasks[[#This Row],[Task Name]]="","",IF(Tasks[[#This Row],[_IsSummary]],SUM(INDEX(Tasks[_LeafTotalWork],Tasks[[#This Row],[_Row]]+1):INDEX(Tasks[_LeafTotalWork],Tasks[[#This Row],[_Row]]+Tasks[[#This Row],[_Descendants]])),Tasks[[#This Row],[_LeafTotalWork]]))</f>
        <v/>
      </c>
      <c r="AK6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68" s="70" t="str">
        <f aca="false">IF(Tasks[[#This Row],[Task Name]]="","",IF(Tasks[[#This Row],[_IsSummary]],SUM(INDEX(Tasks[_LeafTotalCost],Tasks[[#This Row],[_Row]]+1):INDEX(Tasks[_LeafTotalCost],Tasks[[#This Row],[_Row]]+Tasks[[#This Row],[_Descendants]])),Tasks[[#This Row],[_LeafTotalCost]]))</f>
        <v/>
      </c>
      <c r="AM68" s="71"/>
      <c r="AN68" s="20" t="str">
        <f aca="false">IF(OR(Tasks[[#This Row],[Task Name]]="",Tasks[[#This Row],[Baseline Duration]]=""),"",Tasks[[#This Row],[BL Source Duration]]-N(Tasks[[#This Row],[Baseline Duration]]))</f>
        <v/>
      </c>
      <c r="AO68" s="69" t="str">
        <f aca="false">IF(OR(Tasks[[#This Row],[Task Name]]="",Tasks[[#This Row],[Baseline Work]]=""),"",Tasks[[#This Row],[Work]]-N(Tasks[[#This Row],[Baseline Work]]))</f>
        <v/>
      </c>
      <c r="AP68" s="70" t="str">
        <f aca="false">IF(OR(Tasks[[#This Row],[Task Name]]="",Tasks[[#This Row],[Baseline Cost]]=""),"",Tasks[[#This Row],[Cost]]-N(Tasks[[#This Row],[Baseline Cost]]))</f>
        <v/>
      </c>
      <c r="AQ68" s="58" t="str">
        <f aca="false">IF(Tasks[[#This Row],[Task Name]]="","",Tasks[[#This Row],[Start]])</f>
        <v/>
      </c>
      <c r="AR68" s="58" t="str">
        <f aca="false">IF(Tasks[[#This Row],[Task Name]]="","",Tasks[[#This Row],[Finish]])</f>
        <v/>
      </c>
      <c r="AS68" s="67" t="str">
        <f aca="false">IF(Tasks[[#This Row],[Task Name]]="","",IF(Tasks[[#This Row],[_IsSummary]],NETWORKDAYS.INTL(Tasks[[#This Row],[Start]],Tasks[[#This Row],[Finish]],WorkWeek,Holidays),N(Tasks[[#This Row],[Duration]])))</f>
        <v/>
      </c>
      <c r="AT68" s="69" t="str">
        <f aca="false">IF(Tasks[[#This Row],[Task Name]]="","",Tasks[[#This Row],[Work]])</f>
        <v/>
      </c>
      <c r="AU68" s="70" t="str">
        <f aca="false">IF(Tasks[[#This Row],[Task Name]]="","",Tasks[[#This Row],[Cost]])</f>
        <v/>
      </c>
      <c r="AV68" s="7"/>
      <c r="AW68" s="7"/>
      <c r="AX68" s="21"/>
      <c r="AY68" s="72"/>
      <c r="AZ68" s="71"/>
      <c r="BA68" s="70" t="str">
        <f aca="false">IF(Tasks[[#This Row],[Task Name]]="","",IF(Tasks[[#This Row],[_IsSummary]],SUM(INDEX(Tasks[_LeafEV],Tasks[[#This Row],[_Row]]+1):INDEX(Tasks[_LeafEV],Tasks[[#This Row],[_Row]]+Tasks[[#This Row],[_Descendants]])),Tasks[[#This Row],[_LeafEV]]))</f>
        <v/>
      </c>
      <c r="BB68" s="70" t="str">
        <f aca="false">IF(Tasks[[#This Row],[Task Name]]="","",IF(Tasks[[#This Row],[_IsSummary]],SUM(INDEX(Tasks[_LeafBudget],Tasks[[#This Row],[_Row]]+1):INDEX(Tasks[_LeafBudget],Tasks[[#This Row],[_Row]]+Tasks[[#This Row],[_Descendants]])),Tasks[[#This Row],[_LeafBudget]]))</f>
        <v/>
      </c>
      <c r="BC68" s="70" t="str">
        <f aca="false">IF(Tasks[[#This Row],[Task Name]]="","",IF(Tasks[[#This Row],[_IsSummary]],SUM(INDEX(Tasks[_LeafPV],Tasks[[#This Row],[_Row]]+1):INDEX(Tasks[_LeafPV],Tasks[[#This Row],[_Row]]+Tasks[[#This Row],[_Descendants]])),Tasks[[#This Row],[_LeafPV]]))</f>
        <v/>
      </c>
      <c r="BD68" s="70" t="str">
        <f aca="false">IF(Tasks[[#This Row],[Task Name]]="","",IF(Tasks[[#This Row],[_IsSummary]],SUM(INDEX(Tasks[_LeafAC],Tasks[[#This Row],[_Row]]+1):INDEX(Tasks[_LeafAC],Tasks[[#This Row],[_Row]]+Tasks[[#This Row],[_Descendants]])),Tasks[[#This Row],[_LeafAC]]))</f>
        <v/>
      </c>
      <c r="BE68" s="45" t="str">
        <f aca="false">IF(Tasks[[#This Row],[Task Name]]="","",MAX(1,N(Tasks[[#This Row],[Level]])))</f>
        <v/>
      </c>
      <c r="BF68" s="45" t="n">
        <f aca="false">ROW()-ROW(Tasks[[#Headers],[ID]])</f>
        <v>63</v>
      </c>
      <c r="BG68" s="45" t="n">
        <f aca="false">IF(OR(Tasks[[#This Row],[Task Name]]="",Tasks[[#This Row],[_Level]]&lt;=1),0,IFERROR(LOOKUP(2,1/(Tasks[[#Headers],[_Level]]:Tasks[[#This Row],[_Level]]=Tasks[[#This Row],[_Level]]-1),ROW(Tasks[[#Headers],[_Level]]:Tasks[[#This Row],[_Level]])),0))</f>
        <v>0</v>
      </c>
      <c r="BH68" s="45" t="n">
        <f aca="false">IFERROR(N(INDEX(Tasks[_Level],Tasks[[#This Row],[_Row]]+1)),0)</f>
        <v>0</v>
      </c>
      <c r="BI68" s="73" t="b">
        <f aca="false">AND(Tasks[[#This Row],[Task Name]]&lt;&gt;"",Tasks[[#This Row],[_NextLevel]]&gt;Tasks[[#This Row],[_Level]])</f>
        <v>0</v>
      </c>
      <c r="BJ68" s="45" t="n">
        <f aca="false">IF(Tasks[[#This Row],[_IsSummary]],COUNTIF(Tasks[WBS],Tasks[[#This Row],[WBS]]&amp;".*"),0)</f>
        <v>0</v>
      </c>
      <c r="BK68" s="45" t="n">
        <f aca="false">IF(AND(Tasks[[#This Row],[Task Name]]&lt;&gt;"",NOT(Tasks[[#This Row],[_IsSummary]])),1,0)</f>
        <v>0</v>
      </c>
      <c r="BL68" s="45" t="n">
        <f aca="false">IF(N(Tasks[[#This Row],[_Pred1UID]])=0,0,IFERROR(MATCH(Tasks[[#This Row],[_Pred1UID]],Tasks[UID],0),-1))</f>
        <v>0</v>
      </c>
      <c r="BM68" s="45" t="n">
        <f aca="false">IF(N(Tasks[[#This Row],[_Pred2UID]])=0,0,IFERROR(MATCH(Tasks[[#This Row],[_Pred2UID]],Tasks[UID],0),-1))</f>
        <v>0</v>
      </c>
      <c r="BN68" s="45" t="n">
        <f aca="false">IF(N(Tasks[[#This Row],[_Pred3UID]])=0,0,IFERROR(MATCH(Tasks[[#This Row],[_Pred3UID]],Tasks[UID],0),-1))</f>
        <v>0</v>
      </c>
      <c r="BO68" s="45" t="n">
        <f aca="false">IF(N(Tasks[[#This Row],[_Pred4UID]])=0,0,IFERROR(MATCH(Tasks[[#This Row],[_Pred4UID]],Tasks[UID],0),-1))</f>
        <v>0</v>
      </c>
      <c r="BP6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6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68" s="74" t="n">
        <f aca="false">IF(OR(Tasks[[#This Row],[_ConstraintCode]]=2,Tasks[[#This Row],[_ConstraintCode]]=3,Tasks[[#This Row],[_ConstraintCode]]=4,Tasks[[#This Row],[_ConstraintCode]]=6),Tasks[[#This Row],[_ConstraintStart]],0)</f>
        <v>0</v>
      </c>
      <c r="BS68" s="74" t="n">
        <f aca="false">IF(OR(Tasks[[#This Row],[_ConstraintCode]]=2,Tasks[[#This Row],[_ConstraintCode]]=3,Tasks[[#This Row],[_ConstraintCode]]=5,Tasks[[#This Row],[_ConstraintCode]]=7),Tasks[[#This Row],[_ConstraintStart]],2958465)</f>
        <v>2958465</v>
      </c>
      <c r="BT6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68" s="74" t="str">
        <f aca="false">IF(NOT(Tasks[[#This Row],[_IsLeaf]]=1),"",IF(N(Tasks[[#This Row],[Duration]])&lt;=0,Tasks[[#This Row],[_LeafCalcStart]],WORKDAY.INTL(Tasks[[#This Row],[_LeafCalcStart]],Tasks[[#This Row],[Duration]]-1,WorkWeek,Holidays)))</f>
        <v/>
      </c>
      <c r="BV6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6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68" s="45" t="str">
        <f aca="false">IF(Tasks[[#This Row],[Predecessors]]="","",TRIM(MID(SUBSTITUTE(SUBSTITUTE(SUBSTITUTE(UPPER(Tasks[[#This Row],[Predecessors]]),";",",")," ",""),",",REPT(" ",99)),1,99)))</f>
        <v/>
      </c>
      <c r="BY68" s="45" t="str">
        <f aca="false">IF(Tasks[[#This Row],[_Pred1Text]]="","",IFERROR(VALUE(LEFT(Tasks[[#This Row],[_Pred1Text]],MIN(FIND("F",Tasks[[#This Row],[_Pred1Text]]&amp;"F"),FIND("S",Tasks[[#This Row],[_Pred1Text]]&amp;"S"),FIND("+",Tasks[[#This Row],[_Pred1Text]]&amp;"+"),FIND("-",Tasks[[#This Row],[_Pred1Text]]&amp;"-"))-1)),""))</f>
        <v/>
      </c>
      <c r="BZ6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6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68" s="45" t="str">
        <f aca="false">IF(Tasks[[#This Row],[_Pred1Text]]="","",TRIM(MID(SUBSTITUTE(SUBSTITUTE(SUBSTITUTE(UPPER(Tasks[[#This Row],[Predecessors]]),";",",")," ",""),",",REPT(" ",99)),100,99)))</f>
        <v/>
      </c>
      <c r="CC68" s="45" t="str">
        <f aca="false">IF(Tasks[[#This Row],[_Pred2Text]]="","",IFERROR(VALUE(LEFT(Tasks[[#This Row],[_Pred2Text]],MIN(FIND("F",Tasks[[#This Row],[_Pred2Text]]&amp;"F"),FIND("S",Tasks[[#This Row],[_Pred2Text]]&amp;"S"),FIND("+",Tasks[[#This Row],[_Pred2Text]]&amp;"+"),FIND("-",Tasks[[#This Row],[_Pred2Text]]&amp;"-"))-1)),""))</f>
        <v/>
      </c>
      <c r="CD6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6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68" s="45" t="str">
        <f aca="false">IF(Tasks[[#This Row],[_Pred2Text]]="","",TRIM(MID(SUBSTITUTE(SUBSTITUTE(SUBSTITUTE(UPPER(Tasks[[#This Row],[Predecessors]]),";",",")," ",""),",",REPT(" ",99)),199,99)))</f>
        <v/>
      </c>
      <c r="CG68" s="45" t="str">
        <f aca="false">IF(Tasks[[#This Row],[_Pred3Text]]="","",IFERROR(VALUE(LEFT(Tasks[[#This Row],[_Pred3Text]],MIN(FIND("F",Tasks[[#This Row],[_Pred3Text]]&amp;"F"),FIND("S",Tasks[[#This Row],[_Pred3Text]]&amp;"S"),FIND("+",Tasks[[#This Row],[_Pred3Text]]&amp;"+"),FIND("-",Tasks[[#This Row],[_Pred3Text]]&amp;"-"))-1)),""))</f>
        <v/>
      </c>
      <c r="CH6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6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68" s="45" t="str">
        <f aca="false">IF(Tasks[[#This Row],[_Pred3Text]]="","",TRIM(MID(SUBSTITUTE(SUBSTITUTE(SUBSTITUTE(UPPER(Tasks[[#This Row],[Predecessors]]),";",",")," ",""),",",REPT(" ",99)),298,99)))</f>
        <v/>
      </c>
      <c r="CK68" s="45" t="str">
        <f aca="false">IF(Tasks[[#This Row],[_Pred4Text]]="","",IFERROR(VALUE(LEFT(Tasks[[#This Row],[_Pred4Text]],MIN(FIND("F",Tasks[[#This Row],[_Pred4Text]]&amp;"F"),FIND("S",Tasks[[#This Row],[_Pred4Text]]&amp;"S"),FIND("+",Tasks[[#This Row],[_Pred4Text]]&amp;"+"),FIND("-",Tasks[[#This Row],[_Pred4Text]]&amp;"-"))-1)),""))</f>
        <v/>
      </c>
      <c r="CL6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6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68" s="45" t="str">
        <f aca="false">IF(OR(Tasks[[#This Row],[Task Name]]="",Tasks[[#This Row],[Resources]]=""),"",TRIM(MID(SUBSTITUTE(Tasks[[#This Row],[Resources]],",",REPT(" ",99)),1,99)))</f>
        <v/>
      </c>
      <c r="CO68" s="45" t="str">
        <f aca="false">IF(Tasks[[#This Row],[_Res1Text]]="","",TRIM(MID(SUBSTITUTE(Tasks[[#This Row],[Resources]],",",REPT(" ",99)),100,99)))</f>
        <v/>
      </c>
      <c r="CP68" s="45" t="str">
        <f aca="false">IF(Tasks[[#This Row],[_Res2Text]]="","",TRIM(MID(SUBSTITUTE(Tasks[[#This Row],[Resources]],",",REPT(" ",99)),199,99)))</f>
        <v/>
      </c>
      <c r="CQ68" s="45" t="str">
        <f aca="false">IF(Tasks[[#This Row],[_Res3Text]]="","",TRIM(MID(SUBSTITUTE(Tasks[[#This Row],[Resources]],",",REPT(" ",99)),298,99)))</f>
        <v/>
      </c>
      <c r="CR6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6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8" s="45" t="n">
        <f aca="false">IF(NOT(Tasks[[#This Row],[_IsLeaf]]=1),0,(Tasks[[#This Row],[_Resource1]]&lt;&gt;"")+(Tasks[[#This Row],[_Res2]]&lt;&gt;"")+(Tasks[[#This Row],[_Res3]]&lt;&gt;"")+(Tasks[[#This Row],[_Res4]]&lt;&gt;""))</f>
        <v>0</v>
      </c>
      <c r="CU6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6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8" s="45" t="n">
        <f aca="false">IF(OR(NOT(Tasks[[#This Row],[_IsLeaf]]=1),Tasks[[#This Row],[_Res2]]=""),0,IF(ISNA(MATCH(Tasks[[#This Row],[_Res2]],res_Name,0)),0,N(Tasks[[#This Row],[Duration]])*HoursPerDay*IF(Tasks[[#This Row],[_Res2Units]]="",DefaultUnits,Tasks[[#This Row],[_Res2Units]])))</f>
        <v>0</v>
      </c>
      <c r="CX68" s="45" t="n">
        <f aca="false">IF(Tasks[[#This Row],[_Res2Work]]=0,0,Tasks[[#This Row],[_Res2Work]]*IFERROR(INDEX(res_Rate,MATCH(Tasks[[#This Row],[_Res2]],res_Name,0)),0))</f>
        <v>0</v>
      </c>
      <c r="CY68" s="45" t="n">
        <f aca="false">IF(AND(AND(Tasks[[#This Row],[_IsLeaf]]=1,Tasks[[#This Row],[_LeafTotalWork]]&gt;0),Tasks[[#This Row],[_Res2Work]]&gt;0),Tasks[[#This Row],[_Res2Work]]/(Tasks[[#This Row],[_FinishWorkday]]-Tasks[[#This Row],[_StartWorkday]]+1),0)</f>
        <v>0</v>
      </c>
      <c r="CZ68" s="45" t="n">
        <f aca="false">Tasks[[#This Row],[_Res2WorkPerWD]]*MAX(0,Tasks[[#This Row],[_StartWorkday]]-1)</f>
        <v>0</v>
      </c>
      <c r="DA68" s="45" t="n">
        <f aca="false">Tasks[[#This Row],[_Res2Work]]*Tasks[[#This Row],[_LeafProgress]]</f>
        <v>0</v>
      </c>
      <c r="DB68" s="45" t="n">
        <f aca="false">IF(Tasks[[#This Row],[_LeafTotalCost]]=0,0,Tasks[[#This Row],[_LeafAC]]*Tasks[[#This Row],[_Res2Cost]]/Tasks[[#This Row],[_LeafTotalCost]])</f>
        <v>0</v>
      </c>
      <c r="DC6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6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68" s="45" t="n">
        <f aca="false">IF(OR(NOT(Tasks[[#This Row],[_IsLeaf]]=1),Tasks[[#This Row],[_Res3]]=""),0,IF(ISNA(MATCH(Tasks[[#This Row],[_Res3]],res_Name,0)),0,N(Tasks[[#This Row],[Duration]])*HoursPerDay*IF(Tasks[[#This Row],[_Res3Units]]="",DefaultUnits,Tasks[[#This Row],[_Res3Units]])))</f>
        <v>0</v>
      </c>
      <c r="DF68" s="45" t="n">
        <f aca="false">IF(Tasks[[#This Row],[_Res3Work]]=0,0,Tasks[[#This Row],[_Res3Work]]*IFERROR(INDEX(res_Rate,MATCH(Tasks[[#This Row],[_Res3]],res_Name,0)),0))</f>
        <v>0</v>
      </c>
      <c r="DG68" s="45" t="n">
        <f aca="false">IF(AND(AND(Tasks[[#This Row],[_IsLeaf]]=1,Tasks[[#This Row],[_LeafTotalWork]]&gt;0),Tasks[[#This Row],[_Res3Work]]&gt;0),Tasks[[#This Row],[_Res3Work]]/(Tasks[[#This Row],[_FinishWorkday]]-Tasks[[#This Row],[_StartWorkday]]+1),0)</f>
        <v>0</v>
      </c>
      <c r="DH68" s="45" t="n">
        <f aca="false">Tasks[[#This Row],[_Res3WorkPerWD]]*MAX(0,Tasks[[#This Row],[_StartWorkday]]-1)</f>
        <v>0</v>
      </c>
      <c r="DI68" s="45" t="n">
        <f aca="false">Tasks[[#This Row],[_Res3Work]]*Tasks[[#This Row],[_LeafProgress]]</f>
        <v>0</v>
      </c>
      <c r="DJ68" s="45" t="n">
        <f aca="false">IF(Tasks[[#This Row],[_LeafTotalCost]]=0,0,Tasks[[#This Row],[_LeafAC]]*Tasks[[#This Row],[_Res3Cost]]/Tasks[[#This Row],[_LeafTotalCost]])</f>
        <v>0</v>
      </c>
      <c r="DK6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6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68" s="45" t="n">
        <f aca="false">IF(OR(NOT(Tasks[[#This Row],[_IsLeaf]]=1),Tasks[[#This Row],[_Res4]]=""),0,IF(ISNA(MATCH(Tasks[[#This Row],[_Res4]],res_Name,0)),0,N(Tasks[[#This Row],[Duration]])*HoursPerDay*IF(Tasks[[#This Row],[_Res4Units]]="",DefaultUnits,Tasks[[#This Row],[_Res4Units]])))</f>
        <v>0</v>
      </c>
      <c r="DN68" s="45" t="n">
        <f aca="false">IF(Tasks[[#This Row],[_Res4Work]]=0,0,Tasks[[#This Row],[_Res4Work]]*IFERROR(INDEX(res_Rate,MATCH(Tasks[[#This Row],[_Res4]],res_Name,0)),0))</f>
        <v>0</v>
      </c>
      <c r="DO68" s="45" t="n">
        <f aca="false">IF(AND(AND(Tasks[[#This Row],[_IsLeaf]]=1,Tasks[[#This Row],[_LeafTotalWork]]&gt;0),Tasks[[#This Row],[_Res4Work]]&gt;0),Tasks[[#This Row],[_Res4Work]]/(Tasks[[#This Row],[_FinishWorkday]]-Tasks[[#This Row],[_StartWorkday]]+1),0)</f>
        <v>0</v>
      </c>
      <c r="DP68" s="45" t="n">
        <f aca="false">Tasks[[#This Row],[_Res4WorkPerWD]]*MAX(0,Tasks[[#This Row],[_StartWorkday]]-1)</f>
        <v>0</v>
      </c>
      <c r="DQ68" s="45" t="n">
        <f aca="false">Tasks[[#This Row],[_Res4Work]]*Tasks[[#This Row],[_LeafProgress]]</f>
        <v>0</v>
      </c>
      <c r="DR68" s="45" t="n">
        <f aca="false">IF(Tasks[[#This Row],[_LeafTotalCost]]=0,0,Tasks[[#This Row],[_LeafAC]]*Tasks[[#This Row],[_Res4Cost]]/Tasks[[#This Row],[_LeafTotalCost]])</f>
        <v>0</v>
      </c>
      <c r="DS68" s="45" t="n">
        <f aca="false">IF(ISNUMBER(Tasks[[#This Row],[% Complete]]),Tasks[[#This Row],[% Complete]],IF(Tasks[[#This Row],[Stage]]="",0,IFERROR(INDEX(stg_Pct,MATCH(Tasks[[#This Row],[Stage]],stg_Name,0)),0)))</f>
        <v>0</v>
      </c>
      <c r="DT68" s="45" t="n">
        <f aca="false">IF(NOT(Tasks[[#This Row],[_IsLeaf]]=1),0,IF(N(Tasks[[#This Row],[Actual Finish]])&gt;0,1,MIN(1,Tasks[[#This Row],[_Pct]])))</f>
        <v>0</v>
      </c>
      <c r="DU68" s="45" t="n">
        <f aca="false">IF(OR(NOT(Tasks[[#This Row],[_IsLeaf]]=1),Tasks[[#This Row],[_Resource1]]=""),0,IF(ISNA(MATCH(Tasks[[#This Row],[_Resource1]],res_Name,0)),0,N(Tasks[[#This Row],[Duration]])*HoursPerDay*IF(Tasks[[#This Row],[_Units1]]="",DefaultUnits,Tasks[[#This Row],[_Units1]])))</f>
        <v>0</v>
      </c>
      <c r="DV68" s="45" t="n">
        <f aca="false">IF(Tasks[[#This Row],[_LeafWork]]=0,0,Tasks[[#This Row],[_LeafWork]]*IFERROR(INDEX(res_Rate,MATCH(Tasks[[#This Row],[_Resource1]],res_Name,0)),0))</f>
        <v>0</v>
      </c>
      <c r="DW68" s="45" t="n">
        <f aca="false">Tasks[[#This Row],[_LeafWork]]+Tasks[[#This Row],[_Res2Work]]+Tasks[[#This Row],[_Res3Work]]+Tasks[[#This Row],[_Res4Work]]</f>
        <v>0</v>
      </c>
      <c r="DX68" s="45" t="n">
        <f aca="false">Tasks[[#This Row],[_LeafCost]]+Tasks[[#This Row],[_Res2Cost]]+Tasks[[#This Row],[_Res3Cost]]+Tasks[[#This Row],[_Res4Cost]]</f>
        <v>0</v>
      </c>
      <c r="DY68" s="45" t="n">
        <f aca="false">IF(Tasks[[#This Row],[_LeafTotalCost]]=0,Tasks[[#This Row],[_LeafAC]],Tasks[[#This Row],[_LeafAC]]*Tasks[[#This Row],[_LeafCost]]/Tasks[[#This Row],[_LeafTotalCost]])</f>
        <v>0</v>
      </c>
      <c r="DZ6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6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6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6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6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6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6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6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68" s="45" t="n">
        <f aca="false">IF(NOT(Tasks[[#This Row],[_IsLeaf]]=1),0,MAX(_xlfn.MAXIFS(Tasks[_Row],Tasks[_Pred1UID],Tasks[[#This Row],[UID]]),_xlfn.MAXIFS(Tasks[_Row],Tasks[_Pred2UID],Tasks[[#This Row],[UID]]),_xlfn.MAXIFS(Tasks[_Row],Tasks[_Pred3UID],Tasks[[#This Row],[UID]]),_xlfn.MAXIFS(Tasks[_Row],Tasks[_Pred4UID],Tasks[[#This Row],[UID]])))</f>
        <v>0</v>
      </c>
      <c r="EI6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6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68" s="74" t="str">
        <f aca="false">IF(NOT(Tasks[[#This Row],[_IsLeaf]]=1),"",IF(N(Tasks[[#This Row],[Duration]])&lt;=0,Tasks[[#This Row],[_LeafLateFinish]],WORKDAY.INTL(Tasks[[#This Row],[_LeafLateFinish]],-(Tasks[[#This Row],[Duration]]-1),WorkWeek,Holidays)))</f>
        <v/>
      </c>
      <c r="EL6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68" s="73" t="b">
        <f aca="false">AND(Tasks[[#This Row],[_IsLeaf]]=1,Tasks[[#This Row],[_LeafProgress]]&lt;1,N(Tasks[[#This Row],[_LeafTotalSlack]])&lt;=CriticalSlackDays)</f>
        <v>0</v>
      </c>
      <c r="EN68" s="45" t="n">
        <f aca="false">IF(AND(Tasks[[#This Row],[_IsLeaf]]=1,Tasks[[#This Row],[_ConstraintCode]]=1,Tasks[[#This Row],[Mode]]&lt;&gt;"Manual",N(Tasks[[#This Row],[Actual Start]])=0),MAX(0,N(Tasks[[#This Row],[Free Slack]])),0)</f>
        <v>0</v>
      </c>
      <c r="EO68" s="74" t="str">
        <f aca="false">IF(NOT(Tasks[[#This Row],[_IsLeaf]]=1),"",IF(Tasks[[#This Row],[_AlapShift]]=0,Tasks[[#This Row],[_LeafCalcStart]],WORKDAY.INTL(Tasks[[#This Row],[_LeafCalcStart]],Tasks[[#This Row],[_AlapShift]],WorkWeek,Holidays)))</f>
        <v/>
      </c>
      <c r="EP68" s="74" t="str">
        <f aca="false">IF(NOT(Tasks[[#This Row],[_IsLeaf]]=1),"",IF(Tasks[[#This Row],[_AlapShift]]=0,Tasks[[#This Row],[_LeafCalcFinish]],WORKDAY.INTL(Tasks[[#This Row],[_LeafCalcFinish]],Tasks[[#This Row],[_AlapShift]],WorkWeek,Holidays)))</f>
        <v/>
      </c>
      <c r="EQ68" s="74" t="str">
        <f aca="false">IF(NOT(Tasks[[#This Row],[_IsLeaf]]=1),"",IF(Tasks[[#This Row],[_AlapShift]]=0,Tasks[[#This Row],[_LeafFcstStart]],WORKDAY.INTL(Tasks[[#This Row],[_LeafFcstStart]],Tasks[[#This Row],[_AlapShift]],WorkWeek,Holidays)))</f>
        <v/>
      </c>
      <c r="ER68" s="74" t="str">
        <f aca="false">IF(NOT(Tasks[[#This Row],[_IsLeaf]]=1),"",IF(Tasks[[#This Row],[_AlapShift]]=0,Tasks[[#This Row],[_LeafFcstFinish]],WORKDAY.INTL(Tasks[[#This Row],[_LeafFcstFinish]],Tasks[[#This Row],[_AlapShift]],WorkWeek,Holidays)))</f>
        <v/>
      </c>
      <c r="ES68" s="74" t="str">
        <f aca="false">IF(Tasks[[#This Row],[Task Name]]="","",IF(Tasks[[#This Row],[_IsSummary]],MIN(INDEX(Tasks[_ShownCalcStart],Tasks[[#This Row],[_Row]]+1):INDEX(Tasks[_ShownCalcStart],Tasks[[#This Row],[_Row]]+Tasks[[#This Row],[_Descendants]])),Tasks[[#This Row],[_ShownCalcStart]]))</f>
        <v/>
      </c>
      <c r="ET68" s="74" t="str">
        <f aca="false">IF(Tasks[[#This Row],[Task Name]]="","",IF(Tasks[[#This Row],[_IsSummary]],MAX(INDEX(Tasks[_ShownCalcFinish],Tasks[[#This Row],[_Row]]+1):INDEX(Tasks[_ShownCalcFinish],Tasks[[#This Row],[_Row]]+Tasks[[#This Row],[_Descendants]])),Tasks[[#This Row],[_ShownCalcFinish]]))</f>
        <v/>
      </c>
      <c r="EU6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6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6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6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6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6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6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6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6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6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6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6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68" s="45" t="n">
        <f aca="false">IF(AND(Tasks[[#This Row],[_IsLeaf]]=1,Tasks[[#This Row],[_LeafTotalWork]]&gt;0),NETWORKDAYS.INTL(ProjectStart,Tasks[[#This Row],[_ShownFcstStart]],WorkWeek,Holidays),0)</f>
        <v>0</v>
      </c>
      <c r="FH68" s="45" t="n">
        <f aca="false">IF(AND(Tasks[[#This Row],[_IsLeaf]]=1,Tasks[[#This Row],[_LeafTotalWork]]&gt;0),MAX(Tasks[[#This Row],[_StartWorkday]],NETWORKDAYS.INTL(ProjectStart,Tasks[[#This Row],[_ShownFcstFinish]],WorkWeek,Holidays)),0)</f>
        <v>0</v>
      </c>
      <c r="FI68" s="45" t="n">
        <f aca="false">IF(AND(Tasks[[#This Row],[_IsLeaf]]=1,Tasks[[#This Row],[_LeafTotalWork]]&gt;0),Tasks[[#This Row],[_LeafWork]]/(Tasks[[#This Row],[_FinishWorkday]]-Tasks[[#This Row],[_StartWorkday]]+1),0)</f>
        <v>0</v>
      </c>
      <c r="FJ68" s="45" t="n">
        <f aca="false">Tasks[[#This Row],[_WorkPerWorkday]]*(Tasks[[#This Row],[_StartWorkday]]-1)</f>
        <v>-0</v>
      </c>
      <c r="FK68" s="45" t="n">
        <f aca="false">IF(Tasks[[#This Row],[_IsLeaf]]=1,MAX(N(Tasks[[#This Row],[Duration]]),0.1),0)</f>
        <v>0</v>
      </c>
      <c r="FL68" s="45" t="n">
        <f aca="false">Tasks[[#This Row],[_WeightDur]]*Tasks[[#This Row],[_LeafProgress]]</f>
        <v>0</v>
      </c>
      <c r="FM6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68" s="45" t="str">
        <f aca="false">IF(AND(Tasks[[#This Row],[_IsLeaf]]=1,N(Tasks[[#This Row],[Duration]])=0,Tasks[[#This Row],[_LeafProgress]]&lt;1),Tasks[[#This Row],[_ShownFcstFinish]]+Tasks[[#This Row],[_Row]]/100000,"")</f>
        <v/>
      </c>
      <c r="FO6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68" s="45" t="n">
        <f aca="false">IF(NOT(Tasks[[#This Row],[_IsLeaf]]=1),0,IF(Tasks[[#This Row],[Baseline Cost]]="",Tasks[[#This Row],[_LeafTotalCost]],N(Tasks[[#This Row],[Baseline Cost]])))</f>
        <v>0</v>
      </c>
      <c r="FQ68" s="45" t="n">
        <f aca="false">Tasks[[#This Row],[_LeafBudget]]*Tasks[[#This Row],[_PlannedPct]]</f>
        <v>0</v>
      </c>
      <c r="FR68" s="45" t="n">
        <f aca="false">Tasks[[#This Row],[_LeafBudget]]*Tasks[[#This Row],[_LeafProgress]]</f>
        <v>0</v>
      </c>
      <c r="FS68" s="45" t="n">
        <f aca="false">IF(NOT(Tasks[[#This Row],[_IsLeaf]]=1),0,IF(Tasks[[#This Row],[Actual Cost]]="",Tasks[[#This Row],[_LeafTotalCost]]*Tasks[[#This Row],[_LeafProgress]],N(Tasks[[#This Row],[Actual Cost]])))</f>
        <v>0</v>
      </c>
      <c r="FT68" s="45" t="str">
        <f aca="false">IF(Tasks[[#This Row],[Task Name]]="","",LEFT(Tasks[[#This Row],[WBS]],FIND(".",Tasks[[#This Row],[WBS]]&amp;".")-1))</f>
        <v/>
      </c>
      <c r="FU68" s="45" t="str">
        <f aca="false">IF(AND(Tasks[[#This Row],[Task Name]]&lt;&gt;"",Tasks[[#This Row],[_Level]]=1),Tasks[[#This Row],[_Row]],"")</f>
        <v/>
      </c>
      <c r="FV68" s="45" t="str">
        <f aca="false">IF(AND(Tasks[[#This Row],[_IsLeaf]]=1,N(Tasks[[#This Row],[Duration]])=0),Tasks[[#This Row],[Planned Finish]]+Tasks[[#This Row],[_Row]]/100000,"")</f>
        <v/>
      </c>
      <c r="FW68" s="45" t="str">
        <f aca="false">IF(AND(Tasks[[#This Row],[_IsLeaf]]=1,Tasks[[#This Row],[_LeafProgress]]&lt;1,OR(N(Tasks[[#This Row],[Finish Var]])&gt;0,Tasks[[#This Row],[Status]]="Late Start")),MAX(0,Tasks[[#This Row],[Finish Var]])+1-Tasks[[#This Row],[_Row]]/1000000,"")</f>
        <v/>
      </c>
      <c r="FX68" s="45" t="str">
        <f aca="false">IF(AND(Tasks[[#This Row],[_IsLeaf]]=1,N(Tasks[[#This Row],[Actual Start]])=0,Tasks[[#This Row],[_ShownFcstStart]]&gt;=StatusDate,Tasks[[#This Row],[_ShownFcstStart]]&lt;=LookaheadEnd),Tasks[[#This Row],[_ShownFcstStart]]+Tasks[[#This Row],[_Row]]/100000,"")</f>
        <v/>
      </c>
      <c r="FY68" s="45" t="str">
        <f aca="false">IF(AND(Tasks[[#This Row],[_IsLeaf]]=1,Tasks[[#This Row],[_LeafProgress]]&lt;1,Tasks[[#This Row],[_ShownFcstFinish]]&gt;=StatusDate,Tasks[[#This Row],[_ShownFcstFinish]]&lt;=LookaheadEnd),Tasks[[#This Row],[_ShownFcstFinish]]+Tasks[[#This Row],[_Row]]/100000,"")</f>
        <v/>
      </c>
      <c r="FZ68" s="45" t="str">
        <f aca="false">IF(Tasks[[#This Row],[_LeafCritical]],Tasks[[#This Row],[_ShownFcstStart]]+Tasks[[#This Row],[_Row]]/100000,"")</f>
        <v/>
      </c>
      <c r="GA68" s="45" t="n">
        <f aca="false">Tasks[[#This Row],[_LeafWork]]*Tasks[[#This Row],[_LeafProgress]]</f>
        <v>0</v>
      </c>
      <c r="GB68" s="74" t="str">
        <f aca="false">IF(AND(Tasks[[#This Row],[_IsLeaf]]=1,Tasks[[#This Row],[_LeafProgress]]&gt;=1),IF(N(Tasks[[#This Row],[Actual Finish]])&gt;0,Tasks[[#This Row],[Actual Finish]],Tasks[[#This Row],[_ShownFcstFinish]]),"")</f>
        <v/>
      </c>
    </row>
    <row r="69" customFormat="false" ht="15" hidden="false" customHeight="false" outlineLevel="0" collapsed="false">
      <c r="A69" s="67" t="str">
        <f aca="false">IF(Tasks[[#This Row],[Task Name]]="","",COUNTA(Tasks[[#Headers],[Task Name]]:Tasks[[#This Row],[Task Name]])-1)</f>
        <v/>
      </c>
      <c r="B69" s="21" t="n">
        <v>64</v>
      </c>
      <c r="C6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21"/>
      <c r="E69" s="22"/>
      <c r="F69" s="21"/>
      <c r="G69" s="22"/>
      <c r="H69" s="22"/>
      <c r="I69" s="22"/>
      <c r="J69" s="7"/>
      <c r="K69" s="7"/>
      <c r="L69" s="22"/>
      <c r="M69" s="58" t="str">
        <f aca="false">IF(Tasks[[#This Row],[Task Name]]="","",IF(Tasks[[#This Row],[_IsSummary]],MIN(INDEX(Tasks[_ShownFcstStart],Tasks[[#This Row],[_Row]]+1):INDEX(Tasks[_ShownFcstStart],Tasks[[#This Row],[_Row]]+Tasks[[#This Row],[_Descendants]])),Tasks[[#This Row],[_ShownFcstStart]]))</f>
        <v/>
      </c>
      <c r="N69" s="58" t="str">
        <f aca="false">IF(Tasks[[#This Row],[Task Name]]="","",IF(Tasks[[#This Row],[_IsSummary]],MAX(INDEX(Tasks[_ShownFcstFinish],Tasks[[#This Row],[_Row]]+1):INDEX(Tasks[_ShownFcstFinish],Tasks[[#This Row],[_Row]]+Tasks[[#This Row],[_Descendants]])),Tasks[[#This Row],[_ShownFcstFinish]]))</f>
        <v/>
      </c>
      <c r="O69" s="20" t="str">
        <f aca="false">IF(Tasks[[#This Row],[Task Name]]="","",IF(Tasks[[#This Row],[Progress]]&gt;=1,"Complete",IF(OR(N(Tasks[[#This Row],[Actual Start]])&gt;0,Tasks[[#This Row],[Progress]]&gt;0),IF(Tasks[[#This Row],[Finish Var]]&gt;0,"Behind","In Progress"),IF(Tasks[[#This Row],[Planned Start]]&lt;StatusDate,"Late Start","Not Started"))))</f>
        <v/>
      </c>
      <c r="P69" s="20" t="str">
        <f aca="false">IF(Tasks[[#This Row],[Task Name]]="","",IF(IF(Tasks[[#This Row],[_IsSummary]],COUNTIF(INDEX(Tasks[_LeafCritical],Tasks[[#This Row],[_Row]]+1):INDEX(Tasks[_LeafCritical],Tasks[[#This Row],[_Row]]+Tasks[[#This Row],[_Descendants]]),TRUE())&gt;0,Tasks[[#This Row],[_LeafCritical]]),"Yes",""))</f>
        <v/>
      </c>
      <c r="Q6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69" s="67" t="str">
        <f aca="false">IF(Tasks[[#This Row],[Task Name]]="","",IF(Tasks[[#This Row],[_Level]]&lt;=OutlineShowLevel,"Yes","No"))</f>
        <v/>
      </c>
      <c r="S69" s="7"/>
      <c r="T69" s="21"/>
      <c r="U69" s="22"/>
      <c r="V69" s="7"/>
      <c r="W69" s="67" t="str">
        <f aca="false">IF(Tasks[[#This Row],[Task Name]]="","",IF(Tasks[[#This Row],[Finish]]&gt;=Tasks[[#This Row],[Planned Finish]],NETWORKDAYS.INTL(Tasks[[#This Row],[Planned Finish]],Tasks[[#This Row],[Finish]],WorkWeek,Holidays)-1,1-NETWORKDAYS.INTL(Tasks[[#This Row],[Finish]],Tasks[[#This Row],[Planned Finish]],WorkWeek,Holidays)))</f>
        <v/>
      </c>
      <c r="X69" s="58" t="str">
        <f aca="false">IF(Tasks[[#This Row],[Task Name]]="","",IF(N(Tasks[[#This Row],[Baseline Start]])&gt;0,Tasks[[#This Row],[Baseline Start]],Tasks[[#This Row],[_CalcStart]]))</f>
        <v/>
      </c>
      <c r="Y69" s="58" t="str">
        <f aca="false">IF(Tasks[[#This Row],[Task Name]]="","",IF(N(Tasks[[#This Row],[Baseline Finish]])&gt;0,Tasks[[#This Row],[Baseline Finish]],Tasks[[#This Row],[_CalcFinish]]))</f>
        <v/>
      </c>
      <c r="Z69" s="67" t="str">
        <f aca="false">IF(Tasks[[#This Row],[Task Name]]="","",IF(Tasks[[#This Row],[Start]]&gt;=Tasks[[#This Row],[Planned Start]],NETWORKDAYS.INTL(Tasks[[#This Row],[Planned Start]],Tasks[[#This Row],[Start]],WorkWeek,Holidays)-1,1-NETWORKDAYS.INTL(Tasks[[#This Row],[Start]],Tasks[[#This Row],[Planned Start]],WorkWeek,Holidays)))</f>
        <v/>
      </c>
      <c r="AA69" s="58" t="str">
        <f aca="false">IF(Tasks[[#This Row],[Task Name]]="","",IF(Tasks[[#This Row],[_IsSummary]],MIN(INDEX(Tasks[_LeafLateStart],Tasks[[#This Row],[_Row]]+1):INDEX(Tasks[_LeafLateStart],Tasks[[#This Row],[_Row]]+Tasks[[#This Row],[_Descendants]])),Tasks[[#This Row],[_LeafLateStart]]))</f>
        <v/>
      </c>
      <c r="AB69" s="58" t="str">
        <f aca="false">IF(Tasks[[#This Row],[Task Name]]="","",IF(Tasks[[#This Row],[_IsSummary]],MAX(INDEX(Tasks[_LeafLateFinish],Tasks[[#This Row],[_Row]]+1):INDEX(Tasks[_LeafLateFinish],Tasks[[#This Row],[_Row]]+Tasks[[#This Row],[_Descendants]])),Tasks[[#This Row],[_LeafLateFinish]]))</f>
        <v/>
      </c>
      <c r="AC69" s="67" t="str">
        <f aca="false">IF(Tasks[[#This Row],[Task Name]]="","",IF(Tasks[[#This Row],[_IsSummary]],MIN(INDEX(Tasks[_LeafTotalSlack],Tasks[[#This Row],[_Row]]+1):INDEX(Tasks[_LeafTotalSlack],Tasks[[#This Row],[_Row]]+Tasks[[#This Row],[_Descendants]])),Tasks[[#This Row],[_LeafTotalSlack]]))</f>
        <v/>
      </c>
      <c r="AD6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6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6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69" s="60"/>
      <c r="AH6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6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69" s="69" t="str">
        <f aca="false">IF(Tasks[[#This Row],[Task Name]]="","",IF(Tasks[[#This Row],[_IsSummary]],SUM(INDEX(Tasks[_LeafTotalWork],Tasks[[#This Row],[_Row]]+1):INDEX(Tasks[_LeafTotalWork],Tasks[[#This Row],[_Row]]+Tasks[[#This Row],[_Descendants]])),Tasks[[#This Row],[_LeafTotalWork]]))</f>
        <v/>
      </c>
      <c r="AK6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69" s="70" t="str">
        <f aca="false">IF(Tasks[[#This Row],[Task Name]]="","",IF(Tasks[[#This Row],[_IsSummary]],SUM(INDEX(Tasks[_LeafTotalCost],Tasks[[#This Row],[_Row]]+1):INDEX(Tasks[_LeafTotalCost],Tasks[[#This Row],[_Row]]+Tasks[[#This Row],[_Descendants]])),Tasks[[#This Row],[_LeafTotalCost]]))</f>
        <v/>
      </c>
      <c r="AM69" s="71"/>
      <c r="AN69" s="20" t="str">
        <f aca="false">IF(OR(Tasks[[#This Row],[Task Name]]="",Tasks[[#This Row],[Baseline Duration]]=""),"",Tasks[[#This Row],[BL Source Duration]]-N(Tasks[[#This Row],[Baseline Duration]]))</f>
        <v/>
      </c>
      <c r="AO69" s="69" t="str">
        <f aca="false">IF(OR(Tasks[[#This Row],[Task Name]]="",Tasks[[#This Row],[Baseline Work]]=""),"",Tasks[[#This Row],[Work]]-N(Tasks[[#This Row],[Baseline Work]]))</f>
        <v/>
      </c>
      <c r="AP69" s="70" t="str">
        <f aca="false">IF(OR(Tasks[[#This Row],[Task Name]]="",Tasks[[#This Row],[Baseline Cost]]=""),"",Tasks[[#This Row],[Cost]]-N(Tasks[[#This Row],[Baseline Cost]]))</f>
        <v/>
      </c>
      <c r="AQ69" s="58" t="str">
        <f aca="false">IF(Tasks[[#This Row],[Task Name]]="","",Tasks[[#This Row],[Start]])</f>
        <v/>
      </c>
      <c r="AR69" s="58" t="str">
        <f aca="false">IF(Tasks[[#This Row],[Task Name]]="","",Tasks[[#This Row],[Finish]])</f>
        <v/>
      </c>
      <c r="AS69" s="67" t="str">
        <f aca="false">IF(Tasks[[#This Row],[Task Name]]="","",IF(Tasks[[#This Row],[_IsSummary]],NETWORKDAYS.INTL(Tasks[[#This Row],[Start]],Tasks[[#This Row],[Finish]],WorkWeek,Holidays),N(Tasks[[#This Row],[Duration]])))</f>
        <v/>
      </c>
      <c r="AT69" s="69" t="str">
        <f aca="false">IF(Tasks[[#This Row],[Task Name]]="","",Tasks[[#This Row],[Work]])</f>
        <v/>
      </c>
      <c r="AU69" s="70" t="str">
        <f aca="false">IF(Tasks[[#This Row],[Task Name]]="","",Tasks[[#This Row],[Cost]])</f>
        <v/>
      </c>
      <c r="AV69" s="7"/>
      <c r="AW69" s="7"/>
      <c r="AX69" s="21"/>
      <c r="AY69" s="72"/>
      <c r="AZ69" s="71"/>
      <c r="BA69" s="70" t="str">
        <f aca="false">IF(Tasks[[#This Row],[Task Name]]="","",IF(Tasks[[#This Row],[_IsSummary]],SUM(INDEX(Tasks[_LeafEV],Tasks[[#This Row],[_Row]]+1):INDEX(Tasks[_LeafEV],Tasks[[#This Row],[_Row]]+Tasks[[#This Row],[_Descendants]])),Tasks[[#This Row],[_LeafEV]]))</f>
        <v/>
      </c>
      <c r="BB69" s="70" t="str">
        <f aca="false">IF(Tasks[[#This Row],[Task Name]]="","",IF(Tasks[[#This Row],[_IsSummary]],SUM(INDEX(Tasks[_LeafBudget],Tasks[[#This Row],[_Row]]+1):INDEX(Tasks[_LeafBudget],Tasks[[#This Row],[_Row]]+Tasks[[#This Row],[_Descendants]])),Tasks[[#This Row],[_LeafBudget]]))</f>
        <v/>
      </c>
      <c r="BC69" s="70" t="str">
        <f aca="false">IF(Tasks[[#This Row],[Task Name]]="","",IF(Tasks[[#This Row],[_IsSummary]],SUM(INDEX(Tasks[_LeafPV],Tasks[[#This Row],[_Row]]+1):INDEX(Tasks[_LeafPV],Tasks[[#This Row],[_Row]]+Tasks[[#This Row],[_Descendants]])),Tasks[[#This Row],[_LeafPV]]))</f>
        <v/>
      </c>
      <c r="BD69" s="70" t="str">
        <f aca="false">IF(Tasks[[#This Row],[Task Name]]="","",IF(Tasks[[#This Row],[_IsSummary]],SUM(INDEX(Tasks[_LeafAC],Tasks[[#This Row],[_Row]]+1):INDEX(Tasks[_LeafAC],Tasks[[#This Row],[_Row]]+Tasks[[#This Row],[_Descendants]])),Tasks[[#This Row],[_LeafAC]]))</f>
        <v/>
      </c>
      <c r="BE69" s="45" t="str">
        <f aca="false">IF(Tasks[[#This Row],[Task Name]]="","",MAX(1,N(Tasks[[#This Row],[Level]])))</f>
        <v/>
      </c>
      <c r="BF69" s="45" t="n">
        <f aca="false">ROW()-ROW(Tasks[[#Headers],[ID]])</f>
        <v>64</v>
      </c>
      <c r="BG69" s="45" t="n">
        <f aca="false">IF(OR(Tasks[[#This Row],[Task Name]]="",Tasks[[#This Row],[_Level]]&lt;=1),0,IFERROR(LOOKUP(2,1/(Tasks[[#Headers],[_Level]]:Tasks[[#This Row],[_Level]]=Tasks[[#This Row],[_Level]]-1),ROW(Tasks[[#Headers],[_Level]]:Tasks[[#This Row],[_Level]])),0))</f>
        <v>0</v>
      </c>
      <c r="BH69" s="45" t="n">
        <f aca="false">IFERROR(N(INDEX(Tasks[_Level],Tasks[[#This Row],[_Row]]+1)),0)</f>
        <v>0</v>
      </c>
      <c r="BI69" s="73" t="b">
        <f aca="false">AND(Tasks[[#This Row],[Task Name]]&lt;&gt;"",Tasks[[#This Row],[_NextLevel]]&gt;Tasks[[#This Row],[_Level]])</f>
        <v>0</v>
      </c>
      <c r="BJ69" s="45" t="n">
        <f aca="false">IF(Tasks[[#This Row],[_IsSummary]],COUNTIF(Tasks[WBS],Tasks[[#This Row],[WBS]]&amp;".*"),0)</f>
        <v>0</v>
      </c>
      <c r="BK69" s="45" t="n">
        <f aca="false">IF(AND(Tasks[[#This Row],[Task Name]]&lt;&gt;"",NOT(Tasks[[#This Row],[_IsSummary]])),1,0)</f>
        <v>0</v>
      </c>
      <c r="BL69" s="45" t="n">
        <f aca="false">IF(N(Tasks[[#This Row],[_Pred1UID]])=0,0,IFERROR(MATCH(Tasks[[#This Row],[_Pred1UID]],Tasks[UID],0),-1))</f>
        <v>0</v>
      </c>
      <c r="BM69" s="45" t="n">
        <f aca="false">IF(N(Tasks[[#This Row],[_Pred2UID]])=0,0,IFERROR(MATCH(Tasks[[#This Row],[_Pred2UID]],Tasks[UID],0),-1))</f>
        <v>0</v>
      </c>
      <c r="BN69" s="45" t="n">
        <f aca="false">IF(N(Tasks[[#This Row],[_Pred3UID]])=0,0,IFERROR(MATCH(Tasks[[#This Row],[_Pred3UID]],Tasks[UID],0),-1))</f>
        <v>0</v>
      </c>
      <c r="BO69" s="45" t="n">
        <f aca="false">IF(N(Tasks[[#This Row],[_Pred4UID]])=0,0,IFERROR(MATCH(Tasks[[#This Row],[_Pred4UID]],Tasks[UID],0),-1))</f>
        <v>0</v>
      </c>
      <c r="BP6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6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69" s="74" t="n">
        <f aca="false">IF(OR(Tasks[[#This Row],[_ConstraintCode]]=2,Tasks[[#This Row],[_ConstraintCode]]=3,Tasks[[#This Row],[_ConstraintCode]]=4,Tasks[[#This Row],[_ConstraintCode]]=6),Tasks[[#This Row],[_ConstraintStart]],0)</f>
        <v>0</v>
      </c>
      <c r="BS69" s="74" t="n">
        <f aca="false">IF(OR(Tasks[[#This Row],[_ConstraintCode]]=2,Tasks[[#This Row],[_ConstraintCode]]=3,Tasks[[#This Row],[_ConstraintCode]]=5,Tasks[[#This Row],[_ConstraintCode]]=7),Tasks[[#This Row],[_ConstraintStart]],2958465)</f>
        <v>2958465</v>
      </c>
      <c r="BT6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69" s="74" t="str">
        <f aca="false">IF(NOT(Tasks[[#This Row],[_IsLeaf]]=1),"",IF(N(Tasks[[#This Row],[Duration]])&lt;=0,Tasks[[#This Row],[_LeafCalcStart]],WORKDAY.INTL(Tasks[[#This Row],[_LeafCalcStart]],Tasks[[#This Row],[Duration]]-1,WorkWeek,Holidays)))</f>
        <v/>
      </c>
      <c r="BV6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6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69" s="45" t="str">
        <f aca="false">IF(Tasks[[#This Row],[Predecessors]]="","",TRIM(MID(SUBSTITUTE(SUBSTITUTE(SUBSTITUTE(UPPER(Tasks[[#This Row],[Predecessors]]),";",",")," ",""),",",REPT(" ",99)),1,99)))</f>
        <v/>
      </c>
      <c r="BY69" s="45" t="str">
        <f aca="false">IF(Tasks[[#This Row],[_Pred1Text]]="","",IFERROR(VALUE(LEFT(Tasks[[#This Row],[_Pred1Text]],MIN(FIND("F",Tasks[[#This Row],[_Pred1Text]]&amp;"F"),FIND("S",Tasks[[#This Row],[_Pred1Text]]&amp;"S"),FIND("+",Tasks[[#This Row],[_Pred1Text]]&amp;"+"),FIND("-",Tasks[[#This Row],[_Pred1Text]]&amp;"-"))-1)),""))</f>
        <v/>
      </c>
      <c r="BZ6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6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69" s="45" t="str">
        <f aca="false">IF(Tasks[[#This Row],[_Pred1Text]]="","",TRIM(MID(SUBSTITUTE(SUBSTITUTE(SUBSTITUTE(UPPER(Tasks[[#This Row],[Predecessors]]),";",",")," ",""),",",REPT(" ",99)),100,99)))</f>
        <v/>
      </c>
      <c r="CC69" s="45" t="str">
        <f aca="false">IF(Tasks[[#This Row],[_Pred2Text]]="","",IFERROR(VALUE(LEFT(Tasks[[#This Row],[_Pred2Text]],MIN(FIND("F",Tasks[[#This Row],[_Pred2Text]]&amp;"F"),FIND("S",Tasks[[#This Row],[_Pred2Text]]&amp;"S"),FIND("+",Tasks[[#This Row],[_Pred2Text]]&amp;"+"),FIND("-",Tasks[[#This Row],[_Pred2Text]]&amp;"-"))-1)),""))</f>
        <v/>
      </c>
      <c r="CD6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6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69" s="45" t="str">
        <f aca="false">IF(Tasks[[#This Row],[_Pred2Text]]="","",TRIM(MID(SUBSTITUTE(SUBSTITUTE(SUBSTITUTE(UPPER(Tasks[[#This Row],[Predecessors]]),";",",")," ",""),",",REPT(" ",99)),199,99)))</f>
        <v/>
      </c>
      <c r="CG69" s="45" t="str">
        <f aca="false">IF(Tasks[[#This Row],[_Pred3Text]]="","",IFERROR(VALUE(LEFT(Tasks[[#This Row],[_Pred3Text]],MIN(FIND("F",Tasks[[#This Row],[_Pred3Text]]&amp;"F"),FIND("S",Tasks[[#This Row],[_Pred3Text]]&amp;"S"),FIND("+",Tasks[[#This Row],[_Pred3Text]]&amp;"+"),FIND("-",Tasks[[#This Row],[_Pred3Text]]&amp;"-"))-1)),""))</f>
        <v/>
      </c>
      <c r="CH6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6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69" s="45" t="str">
        <f aca="false">IF(Tasks[[#This Row],[_Pred3Text]]="","",TRIM(MID(SUBSTITUTE(SUBSTITUTE(SUBSTITUTE(UPPER(Tasks[[#This Row],[Predecessors]]),";",",")," ",""),",",REPT(" ",99)),298,99)))</f>
        <v/>
      </c>
      <c r="CK69" s="45" t="str">
        <f aca="false">IF(Tasks[[#This Row],[_Pred4Text]]="","",IFERROR(VALUE(LEFT(Tasks[[#This Row],[_Pred4Text]],MIN(FIND("F",Tasks[[#This Row],[_Pred4Text]]&amp;"F"),FIND("S",Tasks[[#This Row],[_Pred4Text]]&amp;"S"),FIND("+",Tasks[[#This Row],[_Pred4Text]]&amp;"+"),FIND("-",Tasks[[#This Row],[_Pred4Text]]&amp;"-"))-1)),""))</f>
        <v/>
      </c>
      <c r="CL6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6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69" s="45" t="str">
        <f aca="false">IF(OR(Tasks[[#This Row],[Task Name]]="",Tasks[[#This Row],[Resources]]=""),"",TRIM(MID(SUBSTITUTE(Tasks[[#This Row],[Resources]],",",REPT(" ",99)),1,99)))</f>
        <v/>
      </c>
      <c r="CO69" s="45" t="str">
        <f aca="false">IF(Tasks[[#This Row],[_Res1Text]]="","",TRIM(MID(SUBSTITUTE(Tasks[[#This Row],[Resources]],",",REPT(" ",99)),100,99)))</f>
        <v/>
      </c>
      <c r="CP69" s="45" t="str">
        <f aca="false">IF(Tasks[[#This Row],[_Res2Text]]="","",TRIM(MID(SUBSTITUTE(Tasks[[#This Row],[Resources]],",",REPT(" ",99)),199,99)))</f>
        <v/>
      </c>
      <c r="CQ69" s="45" t="str">
        <f aca="false">IF(Tasks[[#This Row],[_Res3Text]]="","",TRIM(MID(SUBSTITUTE(Tasks[[#This Row],[Resources]],",",REPT(" ",99)),298,99)))</f>
        <v/>
      </c>
      <c r="CR6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6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9" s="45" t="n">
        <f aca="false">IF(NOT(Tasks[[#This Row],[_IsLeaf]]=1),0,(Tasks[[#This Row],[_Resource1]]&lt;&gt;"")+(Tasks[[#This Row],[_Res2]]&lt;&gt;"")+(Tasks[[#This Row],[_Res3]]&lt;&gt;"")+(Tasks[[#This Row],[_Res4]]&lt;&gt;""))</f>
        <v>0</v>
      </c>
      <c r="CU6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6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9" s="45" t="n">
        <f aca="false">IF(OR(NOT(Tasks[[#This Row],[_IsLeaf]]=1),Tasks[[#This Row],[_Res2]]=""),0,IF(ISNA(MATCH(Tasks[[#This Row],[_Res2]],res_Name,0)),0,N(Tasks[[#This Row],[Duration]])*HoursPerDay*IF(Tasks[[#This Row],[_Res2Units]]="",DefaultUnits,Tasks[[#This Row],[_Res2Units]])))</f>
        <v>0</v>
      </c>
      <c r="CX69" s="45" t="n">
        <f aca="false">IF(Tasks[[#This Row],[_Res2Work]]=0,0,Tasks[[#This Row],[_Res2Work]]*IFERROR(INDEX(res_Rate,MATCH(Tasks[[#This Row],[_Res2]],res_Name,0)),0))</f>
        <v>0</v>
      </c>
      <c r="CY69" s="45" t="n">
        <f aca="false">IF(AND(AND(Tasks[[#This Row],[_IsLeaf]]=1,Tasks[[#This Row],[_LeafTotalWork]]&gt;0),Tasks[[#This Row],[_Res2Work]]&gt;0),Tasks[[#This Row],[_Res2Work]]/(Tasks[[#This Row],[_FinishWorkday]]-Tasks[[#This Row],[_StartWorkday]]+1),0)</f>
        <v>0</v>
      </c>
      <c r="CZ69" s="45" t="n">
        <f aca="false">Tasks[[#This Row],[_Res2WorkPerWD]]*MAX(0,Tasks[[#This Row],[_StartWorkday]]-1)</f>
        <v>0</v>
      </c>
      <c r="DA69" s="45" t="n">
        <f aca="false">Tasks[[#This Row],[_Res2Work]]*Tasks[[#This Row],[_LeafProgress]]</f>
        <v>0</v>
      </c>
      <c r="DB69" s="45" t="n">
        <f aca="false">IF(Tasks[[#This Row],[_LeafTotalCost]]=0,0,Tasks[[#This Row],[_LeafAC]]*Tasks[[#This Row],[_Res2Cost]]/Tasks[[#This Row],[_LeafTotalCost]])</f>
        <v>0</v>
      </c>
      <c r="DC6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6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69" s="45" t="n">
        <f aca="false">IF(OR(NOT(Tasks[[#This Row],[_IsLeaf]]=1),Tasks[[#This Row],[_Res3]]=""),0,IF(ISNA(MATCH(Tasks[[#This Row],[_Res3]],res_Name,0)),0,N(Tasks[[#This Row],[Duration]])*HoursPerDay*IF(Tasks[[#This Row],[_Res3Units]]="",DefaultUnits,Tasks[[#This Row],[_Res3Units]])))</f>
        <v>0</v>
      </c>
      <c r="DF69" s="45" t="n">
        <f aca="false">IF(Tasks[[#This Row],[_Res3Work]]=0,0,Tasks[[#This Row],[_Res3Work]]*IFERROR(INDEX(res_Rate,MATCH(Tasks[[#This Row],[_Res3]],res_Name,0)),0))</f>
        <v>0</v>
      </c>
      <c r="DG69" s="45" t="n">
        <f aca="false">IF(AND(AND(Tasks[[#This Row],[_IsLeaf]]=1,Tasks[[#This Row],[_LeafTotalWork]]&gt;0),Tasks[[#This Row],[_Res3Work]]&gt;0),Tasks[[#This Row],[_Res3Work]]/(Tasks[[#This Row],[_FinishWorkday]]-Tasks[[#This Row],[_StartWorkday]]+1),0)</f>
        <v>0</v>
      </c>
      <c r="DH69" s="45" t="n">
        <f aca="false">Tasks[[#This Row],[_Res3WorkPerWD]]*MAX(0,Tasks[[#This Row],[_StartWorkday]]-1)</f>
        <v>0</v>
      </c>
      <c r="DI69" s="45" t="n">
        <f aca="false">Tasks[[#This Row],[_Res3Work]]*Tasks[[#This Row],[_LeafProgress]]</f>
        <v>0</v>
      </c>
      <c r="DJ69" s="45" t="n">
        <f aca="false">IF(Tasks[[#This Row],[_LeafTotalCost]]=0,0,Tasks[[#This Row],[_LeafAC]]*Tasks[[#This Row],[_Res3Cost]]/Tasks[[#This Row],[_LeafTotalCost]])</f>
        <v>0</v>
      </c>
      <c r="DK6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6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69" s="45" t="n">
        <f aca="false">IF(OR(NOT(Tasks[[#This Row],[_IsLeaf]]=1),Tasks[[#This Row],[_Res4]]=""),0,IF(ISNA(MATCH(Tasks[[#This Row],[_Res4]],res_Name,0)),0,N(Tasks[[#This Row],[Duration]])*HoursPerDay*IF(Tasks[[#This Row],[_Res4Units]]="",DefaultUnits,Tasks[[#This Row],[_Res4Units]])))</f>
        <v>0</v>
      </c>
      <c r="DN69" s="45" t="n">
        <f aca="false">IF(Tasks[[#This Row],[_Res4Work]]=0,0,Tasks[[#This Row],[_Res4Work]]*IFERROR(INDEX(res_Rate,MATCH(Tasks[[#This Row],[_Res4]],res_Name,0)),0))</f>
        <v>0</v>
      </c>
      <c r="DO69" s="45" t="n">
        <f aca="false">IF(AND(AND(Tasks[[#This Row],[_IsLeaf]]=1,Tasks[[#This Row],[_LeafTotalWork]]&gt;0),Tasks[[#This Row],[_Res4Work]]&gt;0),Tasks[[#This Row],[_Res4Work]]/(Tasks[[#This Row],[_FinishWorkday]]-Tasks[[#This Row],[_StartWorkday]]+1),0)</f>
        <v>0</v>
      </c>
      <c r="DP69" s="45" t="n">
        <f aca="false">Tasks[[#This Row],[_Res4WorkPerWD]]*MAX(0,Tasks[[#This Row],[_StartWorkday]]-1)</f>
        <v>0</v>
      </c>
      <c r="DQ69" s="45" t="n">
        <f aca="false">Tasks[[#This Row],[_Res4Work]]*Tasks[[#This Row],[_LeafProgress]]</f>
        <v>0</v>
      </c>
      <c r="DR69" s="45" t="n">
        <f aca="false">IF(Tasks[[#This Row],[_LeafTotalCost]]=0,0,Tasks[[#This Row],[_LeafAC]]*Tasks[[#This Row],[_Res4Cost]]/Tasks[[#This Row],[_LeafTotalCost]])</f>
        <v>0</v>
      </c>
      <c r="DS69" s="45" t="n">
        <f aca="false">IF(ISNUMBER(Tasks[[#This Row],[% Complete]]),Tasks[[#This Row],[% Complete]],IF(Tasks[[#This Row],[Stage]]="",0,IFERROR(INDEX(stg_Pct,MATCH(Tasks[[#This Row],[Stage]],stg_Name,0)),0)))</f>
        <v>0</v>
      </c>
      <c r="DT69" s="45" t="n">
        <f aca="false">IF(NOT(Tasks[[#This Row],[_IsLeaf]]=1),0,IF(N(Tasks[[#This Row],[Actual Finish]])&gt;0,1,MIN(1,Tasks[[#This Row],[_Pct]])))</f>
        <v>0</v>
      </c>
      <c r="DU69" s="45" t="n">
        <f aca="false">IF(OR(NOT(Tasks[[#This Row],[_IsLeaf]]=1),Tasks[[#This Row],[_Resource1]]=""),0,IF(ISNA(MATCH(Tasks[[#This Row],[_Resource1]],res_Name,0)),0,N(Tasks[[#This Row],[Duration]])*HoursPerDay*IF(Tasks[[#This Row],[_Units1]]="",DefaultUnits,Tasks[[#This Row],[_Units1]])))</f>
        <v>0</v>
      </c>
      <c r="DV69" s="45" t="n">
        <f aca="false">IF(Tasks[[#This Row],[_LeafWork]]=0,0,Tasks[[#This Row],[_LeafWork]]*IFERROR(INDEX(res_Rate,MATCH(Tasks[[#This Row],[_Resource1]],res_Name,0)),0))</f>
        <v>0</v>
      </c>
      <c r="DW69" s="45" t="n">
        <f aca="false">Tasks[[#This Row],[_LeafWork]]+Tasks[[#This Row],[_Res2Work]]+Tasks[[#This Row],[_Res3Work]]+Tasks[[#This Row],[_Res4Work]]</f>
        <v>0</v>
      </c>
      <c r="DX69" s="45" t="n">
        <f aca="false">Tasks[[#This Row],[_LeafCost]]+Tasks[[#This Row],[_Res2Cost]]+Tasks[[#This Row],[_Res3Cost]]+Tasks[[#This Row],[_Res4Cost]]</f>
        <v>0</v>
      </c>
      <c r="DY69" s="45" t="n">
        <f aca="false">IF(Tasks[[#This Row],[_LeafTotalCost]]=0,Tasks[[#This Row],[_LeafAC]],Tasks[[#This Row],[_LeafAC]]*Tasks[[#This Row],[_LeafCost]]/Tasks[[#This Row],[_LeafTotalCost]])</f>
        <v>0</v>
      </c>
      <c r="DZ6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6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6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6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6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6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6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6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69" s="45" t="n">
        <f aca="false">IF(NOT(Tasks[[#This Row],[_IsLeaf]]=1),0,MAX(_xlfn.MAXIFS(Tasks[_Row],Tasks[_Pred1UID],Tasks[[#This Row],[UID]]),_xlfn.MAXIFS(Tasks[_Row],Tasks[_Pred2UID],Tasks[[#This Row],[UID]]),_xlfn.MAXIFS(Tasks[_Row],Tasks[_Pred3UID],Tasks[[#This Row],[UID]]),_xlfn.MAXIFS(Tasks[_Row],Tasks[_Pred4UID],Tasks[[#This Row],[UID]])))</f>
        <v>0</v>
      </c>
      <c r="EI6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6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69" s="74" t="str">
        <f aca="false">IF(NOT(Tasks[[#This Row],[_IsLeaf]]=1),"",IF(N(Tasks[[#This Row],[Duration]])&lt;=0,Tasks[[#This Row],[_LeafLateFinish]],WORKDAY.INTL(Tasks[[#This Row],[_LeafLateFinish]],-(Tasks[[#This Row],[Duration]]-1),WorkWeek,Holidays)))</f>
        <v/>
      </c>
      <c r="EL6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69" s="73" t="b">
        <f aca="false">AND(Tasks[[#This Row],[_IsLeaf]]=1,Tasks[[#This Row],[_LeafProgress]]&lt;1,N(Tasks[[#This Row],[_LeafTotalSlack]])&lt;=CriticalSlackDays)</f>
        <v>0</v>
      </c>
      <c r="EN69" s="45" t="n">
        <f aca="false">IF(AND(Tasks[[#This Row],[_IsLeaf]]=1,Tasks[[#This Row],[_ConstraintCode]]=1,Tasks[[#This Row],[Mode]]&lt;&gt;"Manual",N(Tasks[[#This Row],[Actual Start]])=0),MAX(0,N(Tasks[[#This Row],[Free Slack]])),0)</f>
        <v>0</v>
      </c>
      <c r="EO69" s="74" t="str">
        <f aca="false">IF(NOT(Tasks[[#This Row],[_IsLeaf]]=1),"",IF(Tasks[[#This Row],[_AlapShift]]=0,Tasks[[#This Row],[_LeafCalcStart]],WORKDAY.INTL(Tasks[[#This Row],[_LeafCalcStart]],Tasks[[#This Row],[_AlapShift]],WorkWeek,Holidays)))</f>
        <v/>
      </c>
      <c r="EP69" s="74" t="str">
        <f aca="false">IF(NOT(Tasks[[#This Row],[_IsLeaf]]=1),"",IF(Tasks[[#This Row],[_AlapShift]]=0,Tasks[[#This Row],[_LeafCalcFinish]],WORKDAY.INTL(Tasks[[#This Row],[_LeafCalcFinish]],Tasks[[#This Row],[_AlapShift]],WorkWeek,Holidays)))</f>
        <v/>
      </c>
      <c r="EQ69" s="74" t="str">
        <f aca="false">IF(NOT(Tasks[[#This Row],[_IsLeaf]]=1),"",IF(Tasks[[#This Row],[_AlapShift]]=0,Tasks[[#This Row],[_LeafFcstStart]],WORKDAY.INTL(Tasks[[#This Row],[_LeafFcstStart]],Tasks[[#This Row],[_AlapShift]],WorkWeek,Holidays)))</f>
        <v/>
      </c>
      <c r="ER69" s="74" t="str">
        <f aca="false">IF(NOT(Tasks[[#This Row],[_IsLeaf]]=1),"",IF(Tasks[[#This Row],[_AlapShift]]=0,Tasks[[#This Row],[_LeafFcstFinish]],WORKDAY.INTL(Tasks[[#This Row],[_LeafFcstFinish]],Tasks[[#This Row],[_AlapShift]],WorkWeek,Holidays)))</f>
        <v/>
      </c>
      <c r="ES69" s="74" t="str">
        <f aca="false">IF(Tasks[[#This Row],[Task Name]]="","",IF(Tasks[[#This Row],[_IsSummary]],MIN(INDEX(Tasks[_ShownCalcStart],Tasks[[#This Row],[_Row]]+1):INDEX(Tasks[_ShownCalcStart],Tasks[[#This Row],[_Row]]+Tasks[[#This Row],[_Descendants]])),Tasks[[#This Row],[_ShownCalcStart]]))</f>
        <v/>
      </c>
      <c r="ET69" s="74" t="str">
        <f aca="false">IF(Tasks[[#This Row],[Task Name]]="","",IF(Tasks[[#This Row],[_IsSummary]],MAX(INDEX(Tasks[_ShownCalcFinish],Tasks[[#This Row],[_Row]]+1):INDEX(Tasks[_ShownCalcFinish],Tasks[[#This Row],[_Row]]+Tasks[[#This Row],[_Descendants]])),Tasks[[#This Row],[_ShownCalcFinish]]))</f>
        <v/>
      </c>
      <c r="EU6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6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6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6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6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6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6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6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6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6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6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6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69" s="45" t="n">
        <f aca="false">IF(AND(Tasks[[#This Row],[_IsLeaf]]=1,Tasks[[#This Row],[_LeafTotalWork]]&gt;0),NETWORKDAYS.INTL(ProjectStart,Tasks[[#This Row],[_ShownFcstStart]],WorkWeek,Holidays),0)</f>
        <v>0</v>
      </c>
      <c r="FH69" s="45" t="n">
        <f aca="false">IF(AND(Tasks[[#This Row],[_IsLeaf]]=1,Tasks[[#This Row],[_LeafTotalWork]]&gt;0),MAX(Tasks[[#This Row],[_StartWorkday]],NETWORKDAYS.INTL(ProjectStart,Tasks[[#This Row],[_ShownFcstFinish]],WorkWeek,Holidays)),0)</f>
        <v>0</v>
      </c>
      <c r="FI69" s="45" t="n">
        <f aca="false">IF(AND(Tasks[[#This Row],[_IsLeaf]]=1,Tasks[[#This Row],[_LeafTotalWork]]&gt;0),Tasks[[#This Row],[_LeafWork]]/(Tasks[[#This Row],[_FinishWorkday]]-Tasks[[#This Row],[_StartWorkday]]+1),0)</f>
        <v>0</v>
      </c>
      <c r="FJ69" s="45" t="n">
        <f aca="false">Tasks[[#This Row],[_WorkPerWorkday]]*(Tasks[[#This Row],[_StartWorkday]]-1)</f>
        <v>-0</v>
      </c>
      <c r="FK69" s="45" t="n">
        <f aca="false">IF(Tasks[[#This Row],[_IsLeaf]]=1,MAX(N(Tasks[[#This Row],[Duration]]),0.1),0)</f>
        <v>0</v>
      </c>
      <c r="FL69" s="45" t="n">
        <f aca="false">Tasks[[#This Row],[_WeightDur]]*Tasks[[#This Row],[_LeafProgress]]</f>
        <v>0</v>
      </c>
      <c r="FM6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69" s="45" t="str">
        <f aca="false">IF(AND(Tasks[[#This Row],[_IsLeaf]]=1,N(Tasks[[#This Row],[Duration]])=0,Tasks[[#This Row],[_LeafProgress]]&lt;1),Tasks[[#This Row],[_ShownFcstFinish]]+Tasks[[#This Row],[_Row]]/100000,"")</f>
        <v/>
      </c>
      <c r="FO6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69" s="45" t="n">
        <f aca="false">IF(NOT(Tasks[[#This Row],[_IsLeaf]]=1),0,IF(Tasks[[#This Row],[Baseline Cost]]="",Tasks[[#This Row],[_LeafTotalCost]],N(Tasks[[#This Row],[Baseline Cost]])))</f>
        <v>0</v>
      </c>
      <c r="FQ69" s="45" t="n">
        <f aca="false">Tasks[[#This Row],[_LeafBudget]]*Tasks[[#This Row],[_PlannedPct]]</f>
        <v>0</v>
      </c>
      <c r="FR69" s="45" t="n">
        <f aca="false">Tasks[[#This Row],[_LeafBudget]]*Tasks[[#This Row],[_LeafProgress]]</f>
        <v>0</v>
      </c>
      <c r="FS69" s="45" t="n">
        <f aca="false">IF(NOT(Tasks[[#This Row],[_IsLeaf]]=1),0,IF(Tasks[[#This Row],[Actual Cost]]="",Tasks[[#This Row],[_LeafTotalCost]]*Tasks[[#This Row],[_LeafProgress]],N(Tasks[[#This Row],[Actual Cost]])))</f>
        <v>0</v>
      </c>
      <c r="FT69" s="45" t="str">
        <f aca="false">IF(Tasks[[#This Row],[Task Name]]="","",LEFT(Tasks[[#This Row],[WBS]],FIND(".",Tasks[[#This Row],[WBS]]&amp;".")-1))</f>
        <v/>
      </c>
      <c r="FU69" s="45" t="str">
        <f aca="false">IF(AND(Tasks[[#This Row],[Task Name]]&lt;&gt;"",Tasks[[#This Row],[_Level]]=1),Tasks[[#This Row],[_Row]],"")</f>
        <v/>
      </c>
      <c r="FV69" s="45" t="str">
        <f aca="false">IF(AND(Tasks[[#This Row],[_IsLeaf]]=1,N(Tasks[[#This Row],[Duration]])=0),Tasks[[#This Row],[Planned Finish]]+Tasks[[#This Row],[_Row]]/100000,"")</f>
        <v/>
      </c>
      <c r="FW69" s="45" t="str">
        <f aca="false">IF(AND(Tasks[[#This Row],[_IsLeaf]]=1,Tasks[[#This Row],[_LeafProgress]]&lt;1,OR(N(Tasks[[#This Row],[Finish Var]])&gt;0,Tasks[[#This Row],[Status]]="Late Start")),MAX(0,Tasks[[#This Row],[Finish Var]])+1-Tasks[[#This Row],[_Row]]/1000000,"")</f>
        <v/>
      </c>
      <c r="FX69" s="45" t="str">
        <f aca="false">IF(AND(Tasks[[#This Row],[_IsLeaf]]=1,N(Tasks[[#This Row],[Actual Start]])=0,Tasks[[#This Row],[_ShownFcstStart]]&gt;=StatusDate,Tasks[[#This Row],[_ShownFcstStart]]&lt;=LookaheadEnd),Tasks[[#This Row],[_ShownFcstStart]]+Tasks[[#This Row],[_Row]]/100000,"")</f>
        <v/>
      </c>
      <c r="FY69" s="45" t="str">
        <f aca="false">IF(AND(Tasks[[#This Row],[_IsLeaf]]=1,Tasks[[#This Row],[_LeafProgress]]&lt;1,Tasks[[#This Row],[_ShownFcstFinish]]&gt;=StatusDate,Tasks[[#This Row],[_ShownFcstFinish]]&lt;=LookaheadEnd),Tasks[[#This Row],[_ShownFcstFinish]]+Tasks[[#This Row],[_Row]]/100000,"")</f>
        <v/>
      </c>
      <c r="FZ69" s="45" t="str">
        <f aca="false">IF(Tasks[[#This Row],[_LeafCritical]],Tasks[[#This Row],[_ShownFcstStart]]+Tasks[[#This Row],[_Row]]/100000,"")</f>
        <v/>
      </c>
      <c r="GA69" s="45" t="n">
        <f aca="false">Tasks[[#This Row],[_LeafWork]]*Tasks[[#This Row],[_LeafProgress]]</f>
        <v>0</v>
      </c>
      <c r="GB69" s="74" t="str">
        <f aca="false">IF(AND(Tasks[[#This Row],[_IsLeaf]]=1,Tasks[[#This Row],[_LeafProgress]]&gt;=1),IF(N(Tasks[[#This Row],[Actual Finish]])&gt;0,Tasks[[#This Row],[Actual Finish]],Tasks[[#This Row],[_ShownFcstFinish]]),"")</f>
        <v/>
      </c>
    </row>
    <row r="70" customFormat="false" ht="15" hidden="false" customHeight="false" outlineLevel="0" collapsed="false">
      <c r="A70" s="67" t="str">
        <f aca="false">IF(Tasks[[#This Row],[Task Name]]="","",COUNTA(Tasks[[#Headers],[Task Name]]:Tasks[[#This Row],[Task Name]])-1)</f>
        <v/>
      </c>
      <c r="B70" s="21" t="n">
        <v>65</v>
      </c>
      <c r="C7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21"/>
      <c r="E70" s="22"/>
      <c r="F70" s="21"/>
      <c r="G70" s="22"/>
      <c r="H70" s="22"/>
      <c r="I70" s="22"/>
      <c r="J70" s="7"/>
      <c r="K70" s="7"/>
      <c r="L70" s="22"/>
      <c r="M70" s="58" t="str">
        <f aca="false">IF(Tasks[[#This Row],[Task Name]]="","",IF(Tasks[[#This Row],[_IsSummary]],MIN(INDEX(Tasks[_ShownFcstStart],Tasks[[#This Row],[_Row]]+1):INDEX(Tasks[_ShownFcstStart],Tasks[[#This Row],[_Row]]+Tasks[[#This Row],[_Descendants]])),Tasks[[#This Row],[_ShownFcstStart]]))</f>
        <v/>
      </c>
      <c r="N70" s="58" t="str">
        <f aca="false">IF(Tasks[[#This Row],[Task Name]]="","",IF(Tasks[[#This Row],[_IsSummary]],MAX(INDEX(Tasks[_ShownFcstFinish],Tasks[[#This Row],[_Row]]+1):INDEX(Tasks[_ShownFcstFinish],Tasks[[#This Row],[_Row]]+Tasks[[#This Row],[_Descendants]])),Tasks[[#This Row],[_ShownFcstFinish]]))</f>
        <v/>
      </c>
      <c r="O70" s="20" t="str">
        <f aca="false">IF(Tasks[[#This Row],[Task Name]]="","",IF(Tasks[[#This Row],[Progress]]&gt;=1,"Complete",IF(OR(N(Tasks[[#This Row],[Actual Start]])&gt;0,Tasks[[#This Row],[Progress]]&gt;0),IF(Tasks[[#This Row],[Finish Var]]&gt;0,"Behind","In Progress"),IF(Tasks[[#This Row],[Planned Start]]&lt;StatusDate,"Late Start","Not Started"))))</f>
        <v/>
      </c>
      <c r="P70" s="20" t="str">
        <f aca="false">IF(Tasks[[#This Row],[Task Name]]="","",IF(IF(Tasks[[#This Row],[_IsSummary]],COUNTIF(INDEX(Tasks[_LeafCritical],Tasks[[#This Row],[_Row]]+1):INDEX(Tasks[_LeafCritical],Tasks[[#This Row],[_Row]]+Tasks[[#This Row],[_Descendants]]),TRUE())&gt;0,Tasks[[#This Row],[_LeafCritical]]),"Yes",""))</f>
        <v/>
      </c>
      <c r="Q7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70" s="67" t="str">
        <f aca="false">IF(Tasks[[#This Row],[Task Name]]="","",IF(Tasks[[#This Row],[_Level]]&lt;=OutlineShowLevel,"Yes","No"))</f>
        <v/>
      </c>
      <c r="S70" s="7"/>
      <c r="T70" s="21"/>
      <c r="U70" s="22"/>
      <c r="V70" s="7"/>
      <c r="W70" s="67" t="str">
        <f aca="false">IF(Tasks[[#This Row],[Task Name]]="","",IF(Tasks[[#This Row],[Finish]]&gt;=Tasks[[#This Row],[Planned Finish]],NETWORKDAYS.INTL(Tasks[[#This Row],[Planned Finish]],Tasks[[#This Row],[Finish]],WorkWeek,Holidays)-1,1-NETWORKDAYS.INTL(Tasks[[#This Row],[Finish]],Tasks[[#This Row],[Planned Finish]],WorkWeek,Holidays)))</f>
        <v/>
      </c>
      <c r="X70" s="58" t="str">
        <f aca="false">IF(Tasks[[#This Row],[Task Name]]="","",IF(N(Tasks[[#This Row],[Baseline Start]])&gt;0,Tasks[[#This Row],[Baseline Start]],Tasks[[#This Row],[_CalcStart]]))</f>
        <v/>
      </c>
      <c r="Y70" s="58" t="str">
        <f aca="false">IF(Tasks[[#This Row],[Task Name]]="","",IF(N(Tasks[[#This Row],[Baseline Finish]])&gt;0,Tasks[[#This Row],[Baseline Finish]],Tasks[[#This Row],[_CalcFinish]]))</f>
        <v/>
      </c>
      <c r="Z70" s="67" t="str">
        <f aca="false">IF(Tasks[[#This Row],[Task Name]]="","",IF(Tasks[[#This Row],[Start]]&gt;=Tasks[[#This Row],[Planned Start]],NETWORKDAYS.INTL(Tasks[[#This Row],[Planned Start]],Tasks[[#This Row],[Start]],WorkWeek,Holidays)-1,1-NETWORKDAYS.INTL(Tasks[[#This Row],[Start]],Tasks[[#This Row],[Planned Start]],WorkWeek,Holidays)))</f>
        <v/>
      </c>
      <c r="AA70" s="58" t="str">
        <f aca="false">IF(Tasks[[#This Row],[Task Name]]="","",IF(Tasks[[#This Row],[_IsSummary]],MIN(INDEX(Tasks[_LeafLateStart],Tasks[[#This Row],[_Row]]+1):INDEX(Tasks[_LeafLateStart],Tasks[[#This Row],[_Row]]+Tasks[[#This Row],[_Descendants]])),Tasks[[#This Row],[_LeafLateStart]]))</f>
        <v/>
      </c>
      <c r="AB70" s="58" t="str">
        <f aca="false">IF(Tasks[[#This Row],[Task Name]]="","",IF(Tasks[[#This Row],[_IsSummary]],MAX(INDEX(Tasks[_LeafLateFinish],Tasks[[#This Row],[_Row]]+1):INDEX(Tasks[_LeafLateFinish],Tasks[[#This Row],[_Row]]+Tasks[[#This Row],[_Descendants]])),Tasks[[#This Row],[_LeafLateFinish]]))</f>
        <v/>
      </c>
      <c r="AC70" s="67" t="str">
        <f aca="false">IF(Tasks[[#This Row],[Task Name]]="","",IF(Tasks[[#This Row],[_IsSummary]],MIN(INDEX(Tasks[_LeafTotalSlack],Tasks[[#This Row],[_Row]]+1):INDEX(Tasks[_LeafTotalSlack],Tasks[[#This Row],[_Row]]+Tasks[[#This Row],[_Descendants]])),Tasks[[#This Row],[_LeafTotalSlack]]))</f>
        <v/>
      </c>
      <c r="AD7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7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7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70" s="60"/>
      <c r="AH7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7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70" s="69" t="str">
        <f aca="false">IF(Tasks[[#This Row],[Task Name]]="","",IF(Tasks[[#This Row],[_IsSummary]],SUM(INDEX(Tasks[_LeafTotalWork],Tasks[[#This Row],[_Row]]+1):INDEX(Tasks[_LeafTotalWork],Tasks[[#This Row],[_Row]]+Tasks[[#This Row],[_Descendants]])),Tasks[[#This Row],[_LeafTotalWork]]))</f>
        <v/>
      </c>
      <c r="AK7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70" s="70" t="str">
        <f aca="false">IF(Tasks[[#This Row],[Task Name]]="","",IF(Tasks[[#This Row],[_IsSummary]],SUM(INDEX(Tasks[_LeafTotalCost],Tasks[[#This Row],[_Row]]+1):INDEX(Tasks[_LeafTotalCost],Tasks[[#This Row],[_Row]]+Tasks[[#This Row],[_Descendants]])),Tasks[[#This Row],[_LeafTotalCost]]))</f>
        <v/>
      </c>
      <c r="AM70" s="71"/>
      <c r="AN70" s="20" t="str">
        <f aca="false">IF(OR(Tasks[[#This Row],[Task Name]]="",Tasks[[#This Row],[Baseline Duration]]=""),"",Tasks[[#This Row],[BL Source Duration]]-N(Tasks[[#This Row],[Baseline Duration]]))</f>
        <v/>
      </c>
      <c r="AO70" s="69" t="str">
        <f aca="false">IF(OR(Tasks[[#This Row],[Task Name]]="",Tasks[[#This Row],[Baseline Work]]=""),"",Tasks[[#This Row],[Work]]-N(Tasks[[#This Row],[Baseline Work]]))</f>
        <v/>
      </c>
      <c r="AP70" s="70" t="str">
        <f aca="false">IF(OR(Tasks[[#This Row],[Task Name]]="",Tasks[[#This Row],[Baseline Cost]]=""),"",Tasks[[#This Row],[Cost]]-N(Tasks[[#This Row],[Baseline Cost]]))</f>
        <v/>
      </c>
      <c r="AQ70" s="58" t="str">
        <f aca="false">IF(Tasks[[#This Row],[Task Name]]="","",Tasks[[#This Row],[Start]])</f>
        <v/>
      </c>
      <c r="AR70" s="58" t="str">
        <f aca="false">IF(Tasks[[#This Row],[Task Name]]="","",Tasks[[#This Row],[Finish]])</f>
        <v/>
      </c>
      <c r="AS70" s="67" t="str">
        <f aca="false">IF(Tasks[[#This Row],[Task Name]]="","",IF(Tasks[[#This Row],[_IsSummary]],NETWORKDAYS.INTL(Tasks[[#This Row],[Start]],Tasks[[#This Row],[Finish]],WorkWeek,Holidays),N(Tasks[[#This Row],[Duration]])))</f>
        <v/>
      </c>
      <c r="AT70" s="69" t="str">
        <f aca="false">IF(Tasks[[#This Row],[Task Name]]="","",Tasks[[#This Row],[Work]])</f>
        <v/>
      </c>
      <c r="AU70" s="70" t="str">
        <f aca="false">IF(Tasks[[#This Row],[Task Name]]="","",Tasks[[#This Row],[Cost]])</f>
        <v/>
      </c>
      <c r="AV70" s="7"/>
      <c r="AW70" s="7"/>
      <c r="AX70" s="21"/>
      <c r="AY70" s="72"/>
      <c r="AZ70" s="71"/>
      <c r="BA70" s="70" t="str">
        <f aca="false">IF(Tasks[[#This Row],[Task Name]]="","",IF(Tasks[[#This Row],[_IsSummary]],SUM(INDEX(Tasks[_LeafEV],Tasks[[#This Row],[_Row]]+1):INDEX(Tasks[_LeafEV],Tasks[[#This Row],[_Row]]+Tasks[[#This Row],[_Descendants]])),Tasks[[#This Row],[_LeafEV]]))</f>
        <v/>
      </c>
      <c r="BB70" s="70" t="str">
        <f aca="false">IF(Tasks[[#This Row],[Task Name]]="","",IF(Tasks[[#This Row],[_IsSummary]],SUM(INDEX(Tasks[_LeafBudget],Tasks[[#This Row],[_Row]]+1):INDEX(Tasks[_LeafBudget],Tasks[[#This Row],[_Row]]+Tasks[[#This Row],[_Descendants]])),Tasks[[#This Row],[_LeafBudget]]))</f>
        <v/>
      </c>
      <c r="BC70" s="70" t="str">
        <f aca="false">IF(Tasks[[#This Row],[Task Name]]="","",IF(Tasks[[#This Row],[_IsSummary]],SUM(INDEX(Tasks[_LeafPV],Tasks[[#This Row],[_Row]]+1):INDEX(Tasks[_LeafPV],Tasks[[#This Row],[_Row]]+Tasks[[#This Row],[_Descendants]])),Tasks[[#This Row],[_LeafPV]]))</f>
        <v/>
      </c>
      <c r="BD70" s="70" t="str">
        <f aca="false">IF(Tasks[[#This Row],[Task Name]]="","",IF(Tasks[[#This Row],[_IsSummary]],SUM(INDEX(Tasks[_LeafAC],Tasks[[#This Row],[_Row]]+1):INDEX(Tasks[_LeafAC],Tasks[[#This Row],[_Row]]+Tasks[[#This Row],[_Descendants]])),Tasks[[#This Row],[_LeafAC]]))</f>
        <v/>
      </c>
      <c r="BE70" s="45" t="str">
        <f aca="false">IF(Tasks[[#This Row],[Task Name]]="","",MAX(1,N(Tasks[[#This Row],[Level]])))</f>
        <v/>
      </c>
      <c r="BF70" s="45" t="n">
        <f aca="false">ROW()-ROW(Tasks[[#Headers],[ID]])</f>
        <v>65</v>
      </c>
      <c r="BG70" s="45" t="n">
        <f aca="false">IF(OR(Tasks[[#This Row],[Task Name]]="",Tasks[[#This Row],[_Level]]&lt;=1),0,IFERROR(LOOKUP(2,1/(Tasks[[#Headers],[_Level]]:Tasks[[#This Row],[_Level]]=Tasks[[#This Row],[_Level]]-1),ROW(Tasks[[#Headers],[_Level]]:Tasks[[#This Row],[_Level]])),0))</f>
        <v>0</v>
      </c>
      <c r="BH70" s="45" t="n">
        <f aca="false">IFERROR(N(INDEX(Tasks[_Level],Tasks[[#This Row],[_Row]]+1)),0)</f>
        <v>0</v>
      </c>
      <c r="BI70" s="73" t="b">
        <f aca="false">AND(Tasks[[#This Row],[Task Name]]&lt;&gt;"",Tasks[[#This Row],[_NextLevel]]&gt;Tasks[[#This Row],[_Level]])</f>
        <v>0</v>
      </c>
      <c r="BJ70" s="45" t="n">
        <f aca="false">IF(Tasks[[#This Row],[_IsSummary]],COUNTIF(Tasks[WBS],Tasks[[#This Row],[WBS]]&amp;".*"),0)</f>
        <v>0</v>
      </c>
      <c r="BK70" s="45" t="n">
        <f aca="false">IF(AND(Tasks[[#This Row],[Task Name]]&lt;&gt;"",NOT(Tasks[[#This Row],[_IsSummary]])),1,0)</f>
        <v>0</v>
      </c>
      <c r="BL70" s="45" t="n">
        <f aca="false">IF(N(Tasks[[#This Row],[_Pred1UID]])=0,0,IFERROR(MATCH(Tasks[[#This Row],[_Pred1UID]],Tasks[UID],0),-1))</f>
        <v>0</v>
      </c>
      <c r="BM70" s="45" t="n">
        <f aca="false">IF(N(Tasks[[#This Row],[_Pred2UID]])=0,0,IFERROR(MATCH(Tasks[[#This Row],[_Pred2UID]],Tasks[UID],0),-1))</f>
        <v>0</v>
      </c>
      <c r="BN70" s="45" t="n">
        <f aca="false">IF(N(Tasks[[#This Row],[_Pred3UID]])=0,0,IFERROR(MATCH(Tasks[[#This Row],[_Pred3UID]],Tasks[UID],0),-1))</f>
        <v>0</v>
      </c>
      <c r="BO70" s="45" t="n">
        <f aca="false">IF(N(Tasks[[#This Row],[_Pred4UID]])=0,0,IFERROR(MATCH(Tasks[[#This Row],[_Pred4UID]],Tasks[UID],0),-1))</f>
        <v>0</v>
      </c>
      <c r="BP7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7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70" s="74" t="n">
        <f aca="false">IF(OR(Tasks[[#This Row],[_ConstraintCode]]=2,Tasks[[#This Row],[_ConstraintCode]]=3,Tasks[[#This Row],[_ConstraintCode]]=4,Tasks[[#This Row],[_ConstraintCode]]=6),Tasks[[#This Row],[_ConstraintStart]],0)</f>
        <v>0</v>
      </c>
      <c r="BS70" s="74" t="n">
        <f aca="false">IF(OR(Tasks[[#This Row],[_ConstraintCode]]=2,Tasks[[#This Row],[_ConstraintCode]]=3,Tasks[[#This Row],[_ConstraintCode]]=5,Tasks[[#This Row],[_ConstraintCode]]=7),Tasks[[#This Row],[_ConstraintStart]],2958465)</f>
        <v>2958465</v>
      </c>
      <c r="BT7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70" s="74" t="str">
        <f aca="false">IF(NOT(Tasks[[#This Row],[_IsLeaf]]=1),"",IF(N(Tasks[[#This Row],[Duration]])&lt;=0,Tasks[[#This Row],[_LeafCalcStart]],WORKDAY.INTL(Tasks[[#This Row],[_LeafCalcStart]],Tasks[[#This Row],[Duration]]-1,WorkWeek,Holidays)))</f>
        <v/>
      </c>
      <c r="BV7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7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70" s="45" t="str">
        <f aca="false">IF(Tasks[[#This Row],[Predecessors]]="","",TRIM(MID(SUBSTITUTE(SUBSTITUTE(SUBSTITUTE(UPPER(Tasks[[#This Row],[Predecessors]]),";",",")," ",""),",",REPT(" ",99)),1,99)))</f>
        <v/>
      </c>
      <c r="BY70" s="45" t="str">
        <f aca="false">IF(Tasks[[#This Row],[_Pred1Text]]="","",IFERROR(VALUE(LEFT(Tasks[[#This Row],[_Pred1Text]],MIN(FIND("F",Tasks[[#This Row],[_Pred1Text]]&amp;"F"),FIND("S",Tasks[[#This Row],[_Pred1Text]]&amp;"S"),FIND("+",Tasks[[#This Row],[_Pred1Text]]&amp;"+"),FIND("-",Tasks[[#This Row],[_Pred1Text]]&amp;"-"))-1)),""))</f>
        <v/>
      </c>
      <c r="BZ7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7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70" s="45" t="str">
        <f aca="false">IF(Tasks[[#This Row],[_Pred1Text]]="","",TRIM(MID(SUBSTITUTE(SUBSTITUTE(SUBSTITUTE(UPPER(Tasks[[#This Row],[Predecessors]]),";",",")," ",""),",",REPT(" ",99)),100,99)))</f>
        <v/>
      </c>
      <c r="CC70" s="45" t="str">
        <f aca="false">IF(Tasks[[#This Row],[_Pred2Text]]="","",IFERROR(VALUE(LEFT(Tasks[[#This Row],[_Pred2Text]],MIN(FIND("F",Tasks[[#This Row],[_Pred2Text]]&amp;"F"),FIND("S",Tasks[[#This Row],[_Pred2Text]]&amp;"S"),FIND("+",Tasks[[#This Row],[_Pred2Text]]&amp;"+"),FIND("-",Tasks[[#This Row],[_Pred2Text]]&amp;"-"))-1)),""))</f>
        <v/>
      </c>
      <c r="CD7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7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70" s="45" t="str">
        <f aca="false">IF(Tasks[[#This Row],[_Pred2Text]]="","",TRIM(MID(SUBSTITUTE(SUBSTITUTE(SUBSTITUTE(UPPER(Tasks[[#This Row],[Predecessors]]),";",",")," ",""),",",REPT(" ",99)),199,99)))</f>
        <v/>
      </c>
      <c r="CG70" s="45" t="str">
        <f aca="false">IF(Tasks[[#This Row],[_Pred3Text]]="","",IFERROR(VALUE(LEFT(Tasks[[#This Row],[_Pred3Text]],MIN(FIND("F",Tasks[[#This Row],[_Pred3Text]]&amp;"F"),FIND("S",Tasks[[#This Row],[_Pred3Text]]&amp;"S"),FIND("+",Tasks[[#This Row],[_Pred3Text]]&amp;"+"),FIND("-",Tasks[[#This Row],[_Pred3Text]]&amp;"-"))-1)),""))</f>
        <v/>
      </c>
      <c r="CH7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7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70" s="45" t="str">
        <f aca="false">IF(Tasks[[#This Row],[_Pred3Text]]="","",TRIM(MID(SUBSTITUTE(SUBSTITUTE(SUBSTITUTE(UPPER(Tasks[[#This Row],[Predecessors]]),";",",")," ",""),",",REPT(" ",99)),298,99)))</f>
        <v/>
      </c>
      <c r="CK70" s="45" t="str">
        <f aca="false">IF(Tasks[[#This Row],[_Pred4Text]]="","",IFERROR(VALUE(LEFT(Tasks[[#This Row],[_Pred4Text]],MIN(FIND("F",Tasks[[#This Row],[_Pred4Text]]&amp;"F"),FIND("S",Tasks[[#This Row],[_Pred4Text]]&amp;"S"),FIND("+",Tasks[[#This Row],[_Pred4Text]]&amp;"+"),FIND("-",Tasks[[#This Row],[_Pred4Text]]&amp;"-"))-1)),""))</f>
        <v/>
      </c>
      <c r="CL7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7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70" s="45" t="str">
        <f aca="false">IF(OR(Tasks[[#This Row],[Task Name]]="",Tasks[[#This Row],[Resources]]=""),"",TRIM(MID(SUBSTITUTE(Tasks[[#This Row],[Resources]],",",REPT(" ",99)),1,99)))</f>
        <v/>
      </c>
      <c r="CO70" s="45" t="str">
        <f aca="false">IF(Tasks[[#This Row],[_Res1Text]]="","",TRIM(MID(SUBSTITUTE(Tasks[[#This Row],[Resources]],",",REPT(" ",99)),100,99)))</f>
        <v/>
      </c>
      <c r="CP70" s="45" t="str">
        <f aca="false">IF(Tasks[[#This Row],[_Res2Text]]="","",TRIM(MID(SUBSTITUTE(Tasks[[#This Row],[Resources]],",",REPT(" ",99)),199,99)))</f>
        <v/>
      </c>
      <c r="CQ70" s="45" t="str">
        <f aca="false">IF(Tasks[[#This Row],[_Res3Text]]="","",TRIM(MID(SUBSTITUTE(Tasks[[#This Row],[Resources]],",",REPT(" ",99)),298,99)))</f>
        <v/>
      </c>
      <c r="CR7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7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0" s="45" t="n">
        <f aca="false">IF(NOT(Tasks[[#This Row],[_IsLeaf]]=1),0,(Tasks[[#This Row],[_Resource1]]&lt;&gt;"")+(Tasks[[#This Row],[_Res2]]&lt;&gt;"")+(Tasks[[#This Row],[_Res3]]&lt;&gt;"")+(Tasks[[#This Row],[_Res4]]&lt;&gt;""))</f>
        <v>0</v>
      </c>
      <c r="CU7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7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0" s="45" t="n">
        <f aca="false">IF(OR(NOT(Tasks[[#This Row],[_IsLeaf]]=1),Tasks[[#This Row],[_Res2]]=""),0,IF(ISNA(MATCH(Tasks[[#This Row],[_Res2]],res_Name,0)),0,N(Tasks[[#This Row],[Duration]])*HoursPerDay*IF(Tasks[[#This Row],[_Res2Units]]="",DefaultUnits,Tasks[[#This Row],[_Res2Units]])))</f>
        <v>0</v>
      </c>
      <c r="CX70" s="45" t="n">
        <f aca="false">IF(Tasks[[#This Row],[_Res2Work]]=0,0,Tasks[[#This Row],[_Res2Work]]*IFERROR(INDEX(res_Rate,MATCH(Tasks[[#This Row],[_Res2]],res_Name,0)),0))</f>
        <v>0</v>
      </c>
      <c r="CY70" s="45" t="n">
        <f aca="false">IF(AND(AND(Tasks[[#This Row],[_IsLeaf]]=1,Tasks[[#This Row],[_LeafTotalWork]]&gt;0),Tasks[[#This Row],[_Res2Work]]&gt;0),Tasks[[#This Row],[_Res2Work]]/(Tasks[[#This Row],[_FinishWorkday]]-Tasks[[#This Row],[_StartWorkday]]+1),0)</f>
        <v>0</v>
      </c>
      <c r="CZ70" s="45" t="n">
        <f aca="false">Tasks[[#This Row],[_Res2WorkPerWD]]*MAX(0,Tasks[[#This Row],[_StartWorkday]]-1)</f>
        <v>0</v>
      </c>
      <c r="DA70" s="45" t="n">
        <f aca="false">Tasks[[#This Row],[_Res2Work]]*Tasks[[#This Row],[_LeafProgress]]</f>
        <v>0</v>
      </c>
      <c r="DB70" s="45" t="n">
        <f aca="false">IF(Tasks[[#This Row],[_LeafTotalCost]]=0,0,Tasks[[#This Row],[_LeafAC]]*Tasks[[#This Row],[_Res2Cost]]/Tasks[[#This Row],[_LeafTotalCost]])</f>
        <v>0</v>
      </c>
      <c r="DC7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7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70" s="45" t="n">
        <f aca="false">IF(OR(NOT(Tasks[[#This Row],[_IsLeaf]]=1),Tasks[[#This Row],[_Res3]]=""),0,IF(ISNA(MATCH(Tasks[[#This Row],[_Res3]],res_Name,0)),0,N(Tasks[[#This Row],[Duration]])*HoursPerDay*IF(Tasks[[#This Row],[_Res3Units]]="",DefaultUnits,Tasks[[#This Row],[_Res3Units]])))</f>
        <v>0</v>
      </c>
      <c r="DF70" s="45" t="n">
        <f aca="false">IF(Tasks[[#This Row],[_Res3Work]]=0,0,Tasks[[#This Row],[_Res3Work]]*IFERROR(INDEX(res_Rate,MATCH(Tasks[[#This Row],[_Res3]],res_Name,0)),0))</f>
        <v>0</v>
      </c>
      <c r="DG70" s="45" t="n">
        <f aca="false">IF(AND(AND(Tasks[[#This Row],[_IsLeaf]]=1,Tasks[[#This Row],[_LeafTotalWork]]&gt;0),Tasks[[#This Row],[_Res3Work]]&gt;0),Tasks[[#This Row],[_Res3Work]]/(Tasks[[#This Row],[_FinishWorkday]]-Tasks[[#This Row],[_StartWorkday]]+1),0)</f>
        <v>0</v>
      </c>
      <c r="DH70" s="45" t="n">
        <f aca="false">Tasks[[#This Row],[_Res3WorkPerWD]]*MAX(0,Tasks[[#This Row],[_StartWorkday]]-1)</f>
        <v>0</v>
      </c>
      <c r="DI70" s="45" t="n">
        <f aca="false">Tasks[[#This Row],[_Res3Work]]*Tasks[[#This Row],[_LeafProgress]]</f>
        <v>0</v>
      </c>
      <c r="DJ70" s="45" t="n">
        <f aca="false">IF(Tasks[[#This Row],[_LeafTotalCost]]=0,0,Tasks[[#This Row],[_LeafAC]]*Tasks[[#This Row],[_Res3Cost]]/Tasks[[#This Row],[_LeafTotalCost]])</f>
        <v>0</v>
      </c>
      <c r="DK7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7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70" s="45" t="n">
        <f aca="false">IF(OR(NOT(Tasks[[#This Row],[_IsLeaf]]=1),Tasks[[#This Row],[_Res4]]=""),0,IF(ISNA(MATCH(Tasks[[#This Row],[_Res4]],res_Name,0)),0,N(Tasks[[#This Row],[Duration]])*HoursPerDay*IF(Tasks[[#This Row],[_Res4Units]]="",DefaultUnits,Tasks[[#This Row],[_Res4Units]])))</f>
        <v>0</v>
      </c>
      <c r="DN70" s="45" t="n">
        <f aca="false">IF(Tasks[[#This Row],[_Res4Work]]=0,0,Tasks[[#This Row],[_Res4Work]]*IFERROR(INDEX(res_Rate,MATCH(Tasks[[#This Row],[_Res4]],res_Name,0)),0))</f>
        <v>0</v>
      </c>
      <c r="DO70" s="45" t="n">
        <f aca="false">IF(AND(AND(Tasks[[#This Row],[_IsLeaf]]=1,Tasks[[#This Row],[_LeafTotalWork]]&gt;0),Tasks[[#This Row],[_Res4Work]]&gt;0),Tasks[[#This Row],[_Res4Work]]/(Tasks[[#This Row],[_FinishWorkday]]-Tasks[[#This Row],[_StartWorkday]]+1),0)</f>
        <v>0</v>
      </c>
      <c r="DP70" s="45" t="n">
        <f aca="false">Tasks[[#This Row],[_Res4WorkPerWD]]*MAX(0,Tasks[[#This Row],[_StartWorkday]]-1)</f>
        <v>0</v>
      </c>
      <c r="DQ70" s="45" t="n">
        <f aca="false">Tasks[[#This Row],[_Res4Work]]*Tasks[[#This Row],[_LeafProgress]]</f>
        <v>0</v>
      </c>
      <c r="DR70" s="45" t="n">
        <f aca="false">IF(Tasks[[#This Row],[_LeafTotalCost]]=0,0,Tasks[[#This Row],[_LeafAC]]*Tasks[[#This Row],[_Res4Cost]]/Tasks[[#This Row],[_LeafTotalCost]])</f>
        <v>0</v>
      </c>
      <c r="DS70" s="45" t="n">
        <f aca="false">IF(ISNUMBER(Tasks[[#This Row],[% Complete]]),Tasks[[#This Row],[% Complete]],IF(Tasks[[#This Row],[Stage]]="",0,IFERROR(INDEX(stg_Pct,MATCH(Tasks[[#This Row],[Stage]],stg_Name,0)),0)))</f>
        <v>0</v>
      </c>
      <c r="DT70" s="45" t="n">
        <f aca="false">IF(NOT(Tasks[[#This Row],[_IsLeaf]]=1),0,IF(N(Tasks[[#This Row],[Actual Finish]])&gt;0,1,MIN(1,Tasks[[#This Row],[_Pct]])))</f>
        <v>0</v>
      </c>
      <c r="DU70" s="45" t="n">
        <f aca="false">IF(OR(NOT(Tasks[[#This Row],[_IsLeaf]]=1),Tasks[[#This Row],[_Resource1]]=""),0,IF(ISNA(MATCH(Tasks[[#This Row],[_Resource1]],res_Name,0)),0,N(Tasks[[#This Row],[Duration]])*HoursPerDay*IF(Tasks[[#This Row],[_Units1]]="",DefaultUnits,Tasks[[#This Row],[_Units1]])))</f>
        <v>0</v>
      </c>
      <c r="DV70" s="45" t="n">
        <f aca="false">IF(Tasks[[#This Row],[_LeafWork]]=0,0,Tasks[[#This Row],[_LeafWork]]*IFERROR(INDEX(res_Rate,MATCH(Tasks[[#This Row],[_Resource1]],res_Name,0)),0))</f>
        <v>0</v>
      </c>
      <c r="DW70" s="45" t="n">
        <f aca="false">Tasks[[#This Row],[_LeafWork]]+Tasks[[#This Row],[_Res2Work]]+Tasks[[#This Row],[_Res3Work]]+Tasks[[#This Row],[_Res4Work]]</f>
        <v>0</v>
      </c>
      <c r="DX70" s="45" t="n">
        <f aca="false">Tasks[[#This Row],[_LeafCost]]+Tasks[[#This Row],[_Res2Cost]]+Tasks[[#This Row],[_Res3Cost]]+Tasks[[#This Row],[_Res4Cost]]</f>
        <v>0</v>
      </c>
      <c r="DY70" s="45" t="n">
        <f aca="false">IF(Tasks[[#This Row],[_LeafTotalCost]]=0,Tasks[[#This Row],[_LeafAC]],Tasks[[#This Row],[_LeafAC]]*Tasks[[#This Row],[_LeafCost]]/Tasks[[#This Row],[_LeafTotalCost]])</f>
        <v>0</v>
      </c>
      <c r="DZ7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7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7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7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7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7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7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7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70" s="45" t="n">
        <f aca="false">IF(NOT(Tasks[[#This Row],[_IsLeaf]]=1),0,MAX(_xlfn.MAXIFS(Tasks[_Row],Tasks[_Pred1UID],Tasks[[#This Row],[UID]]),_xlfn.MAXIFS(Tasks[_Row],Tasks[_Pred2UID],Tasks[[#This Row],[UID]]),_xlfn.MAXIFS(Tasks[_Row],Tasks[_Pred3UID],Tasks[[#This Row],[UID]]),_xlfn.MAXIFS(Tasks[_Row],Tasks[_Pred4UID],Tasks[[#This Row],[UID]])))</f>
        <v>0</v>
      </c>
      <c r="EI7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7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70" s="74" t="str">
        <f aca="false">IF(NOT(Tasks[[#This Row],[_IsLeaf]]=1),"",IF(N(Tasks[[#This Row],[Duration]])&lt;=0,Tasks[[#This Row],[_LeafLateFinish]],WORKDAY.INTL(Tasks[[#This Row],[_LeafLateFinish]],-(Tasks[[#This Row],[Duration]]-1),WorkWeek,Holidays)))</f>
        <v/>
      </c>
      <c r="EL7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70" s="73" t="b">
        <f aca="false">AND(Tasks[[#This Row],[_IsLeaf]]=1,Tasks[[#This Row],[_LeafProgress]]&lt;1,N(Tasks[[#This Row],[_LeafTotalSlack]])&lt;=CriticalSlackDays)</f>
        <v>0</v>
      </c>
      <c r="EN70" s="45" t="n">
        <f aca="false">IF(AND(Tasks[[#This Row],[_IsLeaf]]=1,Tasks[[#This Row],[_ConstraintCode]]=1,Tasks[[#This Row],[Mode]]&lt;&gt;"Manual",N(Tasks[[#This Row],[Actual Start]])=0),MAX(0,N(Tasks[[#This Row],[Free Slack]])),0)</f>
        <v>0</v>
      </c>
      <c r="EO70" s="74" t="str">
        <f aca="false">IF(NOT(Tasks[[#This Row],[_IsLeaf]]=1),"",IF(Tasks[[#This Row],[_AlapShift]]=0,Tasks[[#This Row],[_LeafCalcStart]],WORKDAY.INTL(Tasks[[#This Row],[_LeafCalcStart]],Tasks[[#This Row],[_AlapShift]],WorkWeek,Holidays)))</f>
        <v/>
      </c>
      <c r="EP70" s="74" t="str">
        <f aca="false">IF(NOT(Tasks[[#This Row],[_IsLeaf]]=1),"",IF(Tasks[[#This Row],[_AlapShift]]=0,Tasks[[#This Row],[_LeafCalcFinish]],WORKDAY.INTL(Tasks[[#This Row],[_LeafCalcFinish]],Tasks[[#This Row],[_AlapShift]],WorkWeek,Holidays)))</f>
        <v/>
      </c>
      <c r="EQ70" s="74" t="str">
        <f aca="false">IF(NOT(Tasks[[#This Row],[_IsLeaf]]=1),"",IF(Tasks[[#This Row],[_AlapShift]]=0,Tasks[[#This Row],[_LeafFcstStart]],WORKDAY.INTL(Tasks[[#This Row],[_LeafFcstStart]],Tasks[[#This Row],[_AlapShift]],WorkWeek,Holidays)))</f>
        <v/>
      </c>
      <c r="ER70" s="74" t="str">
        <f aca="false">IF(NOT(Tasks[[#This Row],[_IsLeaf]]=1),"",IF(Tasks[[#This Row],[_AlapShift]]=0,Tasks[[#This Row],[_LeafFcstFinish]],WORKDAY.INTL(Tasks[[#This Row],[_LeafFcstFinish]],Tasks[[#This Row],[_AlapShift]],WorkWeek,Holidays)))</f>
        <v/>
      </c>
      <c r="ES70" s="74" t="str">
        <f aca="false">IF(Tasks[[#This Row],[Task Name]]="","",IF(Tasks[[#This Row],[_IsSummary]],MIN(INDEX(Tasks[_ShownCalcStart],Tasks[[#This Row],[_Row]]+1):INDEX(Tasks[_ShownCalcStart],Tasks[[#This Row],[_Row]]+Tasks[[#This Row],[_Descendants]])),Tasks[[#This Row],[_ShownCalcStart]]))</f>
        <v/>
      </c>
      <c r="ET70" s="74" t="str">
        <f aca="false">IF(Tasks[[#This Row],[Task Name]]="","",IF(Tasks[[#This Row],[_IsSummary]],MAX(INDEX(Tasks[_ShownCalcFinish],Tasks[[#This Row],[_Row]]+1):INDEX(Tasks[_ShownCalcFinish],Tasks[[#This Row],[_Row]]+Tasks[[#This Row],[_Descendants]])),Tasks[[#This Row],[_ShownCalcFinish]]))</f>
        <v/>
      </c>
      <c r="EU7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7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7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7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7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7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7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7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7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7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7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7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70" s="45" t="n">
        <f aca="false">IF(AND(Tasks[[#This Row],[_IsLeaf]]=1,Tasks[[#This Row],[_LeafTotalWork]]&gt;0),NETWORKDAYS.INTL(ProjectStart,Tasks[[#This Row],[_ShownFcstStart]],WorkWeek,Holidays),0)</f>
        <v>0</v>
      </c>
      <c r="FH70" s="45" t="n">
        <f aca="false">IF(AND(Tasks[[#This Row],[_IsLeaf]]=1,Tasks[[#This Row],[_LeafTotalWork]]&gt;0),MAX(Tasks[[#This Row],[_StartWorkday]],NETWORKDAYS.INTL(ProjectStart,Tasks[[#This Row],[_ShownFcstFinish]],WorkWeek,Holidays)),0)</f>
        <v>0</v>
      </c>
      <c r="FI70" s="45" t="n">
        <f aca="false">IF(AND(Tasks[[#This Row],[_IsLeaf]]=1,Tasks[[#This Row],[_LeafTotalWork]]&gt;0),Tasks[[#This Row],[_LeafWork]]/(Tasks[[#This Row],[_FinishWorkday]]-Tasks[[#This Row],[_StartWorkday]]+1),0)</f>
        <v>0</v>
      </c>
      <c r="FJ70" s="45" t="n">
        <f aca="false">Tasks[[#This Row],[_WorkPerWorkday]]*(Tasks[[#This Row],[_StartWorkday]]-1)</f>
        <v>-0</v>
      </c>
      <c r="FK70" s="45" t="n">
        <f aca="false">IF(Tasks[[#This Row],[_IsLeaf]]=1,MAX(N(Tasks[[#This Row],[Duration]]),0.1),0)</f>
        <v>0</v>
      </c>
      <c r="FL70" s="45" t="n">
        <f aca="false">Tasks[[#This Row],[_WeightDur]]*Tasks[[#This Row],[_LeafProgress]]</f>
        <v>0</v>
      </c>
      <c r="FM7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70" s="45" t="str">
        <f aca="false">IF(AND(Tasks[[#This Row],[_IsLeaf]]=1,N(Tasks[[#This Row],[Duration]])=0,Tasks[[#This Row],[_LeafProgress]]&lt;1),Tasks[[#This Row],[_ShownFcstFinish]]+Tasks[[#This Row],[_Row]]/100000,"")</f>
        <v/>
      </c>
      <c r="FO7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70" s="45" t="n">
        <f aca="false">IF(NOT(Tasks[[#This Row],[_IsLeaf]]=1),0,IF(Tasks[[#This Row],[Baseline Cost]]="",Tasks[[#This Row],[_LeafTotalCost]],N(Tasks[[#This Row],[Baseline Cost]])))</f>
        <v>0</v>
      </c>
      <c r="FQ70" s="45" t="n">
        <f aca="false">Tasks[[#This Row],[_LeafBudget]]*Tasks[[#This Row],[_PlannedPct]]</f>
        <v>0</v>
      </c>
      <c r="FR70" s="45" t="n">
        <f aca="false">Tasks[[#This Row],[_LeafBudget]]*Tasks[[#This Row],[_LeafProgress]]</f>
        <v>0</v>
      </c>
      <c r="FS70" s="45" t="n">
        <f aca="false">IF(NOT(Tasks[[#This Row],[_IsLeaf]]=1),0,IF(Tasks[[#This Row],[Actual Cost]]="",Tasks[[#This Row],[_LeafTotalCost]]*Tasks[[#This Row],[_LeafProgress]],N(Tasks[[#This Row],[Actual Cost]])))</f>
        <v>0</v>
      </c>
      <c r="FT70" s="45" t="str">
        <f aca="false">IF(Tasks[[#This Row],[Task Name]]="","",LEFT(Tasks[[#This Row],[WBS]],FIND(".",Tasks[[#This Row],[WBS]]&amp;".")-1))</f>
        <v/>
      </c>
      <c r="FU70" s="45" t="str">
        <f aca="false">IF(AND(Tasks[[#This Row],[Task Name]]&lt;&gt;"",Tasks[[#This Row],[_Level]]=1),Tasks[[#This Row],[_Row]],"")</f>
        <v/>
      </c>
      <c r="FV70" s="45" t="str">
        <f aca="false">IF(AND(Tasks[[#This Row],[_IsLeaf]]=1,N(Tasks[[#This Row],[Duration]])=0),Tasks[[#This Row],[Planned Finish]]+Tasks[[#This Row],[_Row]]/100000,"")</f>
        <v/>
      </c>
      <c r="FW70" s="45" t="str">
        <f aca="false">IF(AND(Tasks[[#This Row],[_IsLeaf]]=1,Tasks[[#This Row],[_LeafProgress]]&lt;1,OR(N(Tasks[[#This Row],[Finish Var]])&gt;0,Tasks[[#This Row],[Status]]="Late Start")),MAX(0,Tasks[[#This Row],[Finish Var]])+1-Tasks[[#This Row],[_Row]]/1000000,"")</f>
        <v/>
      </c>
      <c r="FX70" s="45" t="str">
        <f aca="false">IF(AND(Tasks[[#This Row],[_IsLeaf]]=1,N(Tasks[[#This Row],[Actual Start]])=0,Tasks[[#This Row],[_ShownFcstStart]]&gt;=StatusDate,Tasks[[#This Row],[_ShownFcstStart]]&lt;=LookaheadEnd),Tasks[[#This Row],[_ShownFcstStart]]+Tasks[[#This Row],[_Row]]/100000,"")</f>
        <v/>
      </c>
      <c r="FY70" s="45" t="str">
        <f aca="false">IF(AND(Tasks[[#This Row],[_IsLeaf]]=1,Tasks[[#This Row],[_LeafProgress]]&lt;1,Tasks[[#This Row],[_ShownFcstFinish]]&gt;=StatusDate,Tasks[[#This Row],[_ShownFcstFinish]]&lt;=LookaheadEnd),Tasks[[#This Row],[_ShownFcstFinish]]+Tasks[[#This Row],[_Row]]/100000,"")</f>
        <v/>
      </c>
      <c r="FZ70" s="45" t="str">
        <f aca="false">IF(Tasks[[#This Row],[_LeafCritical]],Tasks[[#This Row],[_ShownFcstStart]]+Tasks[[#This Row],[_Row]]/100000,"")</f>
        <v/>
      </c>
      <c r="GA70" s="45" t="n">
        <f aca="false">Tasks[[#This Row],[_LeafWork]]*Tasks[[#This Row],[_LeafProgress]]</f>
        <v>0</v>
      </c>
      <c r="GB70" s="74" t="str">
        <f aca="false">IF(AND(Tasks[[#This Row],[_IsLeaf]]=1,Tasks[[#This Row],[_LeafProgress]]&gt;=1),IF(N(Tasks[[#This Row],[Actual Finish]])&gt;0,Tasks[[#This Row],[Actual Finish]],Tasks[[#This Row],[_ShownFcstFinish]]),"")</f>
        <v/>
      </c>
    </row>
    <row r="71" customFormat="false" ht="15" hidden="false" customHeight="false" outlineLevel="0" collapsed="false">
      <c r="A71" s="67" t="str">
        <f aca="false">IF(Tasks[[#This Row],[Task Name]]="","",COUNTA(Tasks[[#Headers],[Task Name]]:Tasks[[#This Row],[Task Name]])-1)</f>
        <v/>
      </c>
      <c r="B71" s="21" t="n">
        <v>66</v>
      </c>
      <c r="C7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21"/>
      <c r="E71" s="22"/>
      <c r="F71" s="21"/>
      <c r="G71" s="22"/>
      <c r="H71" s="22"/>
      <c r="I71" s="22"/>
      <c r="J71" s="7"/>
      <c r="K71" s="7"/>
      <c r="L71" s="22"/>
      <c r="M71" s="58" t="str">
        <f aca="false">IF(Tasks[[#This Row],[Task Name]]="","",IF(Tasks[[#This Row],[_IsSummary]],MIN(INDEX(Tasks[_ShownFcstStart],Tasks[[#This Row],[_Row]]+1):INDEX(Tasks[_ShownFcstStart],Tasks[[#This Row],[_Row]]+Tasks[[#This Row],[_Descendants]])),Tasks[[#This Row],[_ShownFcstStart]]))</f>
        <v/>
      </c>
      <c r="N71" s="58" t="str">
        <f aca="false">IF(Tasks[[#This Row],[Task Name]]="","",IF(Tasks[[#This Row],[_IsSummary]],MAX(INDEX(Tasks[_ShownFcstFinish],Tasks[[#This Row],[_Row]]+1):INDEX(Tasks[_ShownFcstFinish],Tasks[[#This Row],[_Row]]+Tasks[[#This Row],[_Descendants]])),Tasks[[#This Row],[_ShownFcstFinish]]))</f>
        <v/>
      </c>
      <c r="O71" s="20" t="str">
        <f aca="false">IF(Tasks[[#This Row],[Task Name]]="","",IF(Tasks[[#This Row],[Progress]]&gt;=1,"Complete",IF(OR(N(Tasks[[#This Row],[Actual Start]])&gt;0,Tasks[[#This Row],[Progress]]&gt;0),IF(Tasks[[#This Row],[Finish Var]]&gt;0,"Behind","In Progress"),IF(Tasks[[#This Row],[Planned Start]]&lt;StatusDate,"Late Start","Not Started"))))</f>
        <v/>
      </c>
      <c r="P71" s="20" t="str">
        <f aca="false">IF(Tasks[[#This Row],[Task Name]]="","",IF(IF(Tasks[[#This Row],[_IsSummary]],COUNTIF(INDEX(Tasks[_LeafCritical],Tasks[[#This Row],[_Row]]+1):INDEX(Tasks[_LeafCritical],Tasks[[#This Row],[_Row]]+Tasks[[#This Row],[_Descendants]]),TRUE())&gt;0,Tasks[[#This Row],[_LeafCritical]]),"Yes",""))</f>
        <v/>
      </c>
      <c r="Q7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71" s="67" t="str">
        <f aca="false">IF(Tasks[[#This Row],[Task Name]]="","",IF(Tasks[[#This Row],[_Level]]&lt;=OutlineShowLevel,"Yes","No"))</f>
        <v/>
      </c>
      <c r="S71" s="7"/>
      <c r="T71" s="21"/>
      <c r="U71" s="22"/>
      <c r="V71" s="7"/>
      <c r="W71" s="67" t="str">
        <f aca="false">IF(Tasks[[#This Row],[Task Name]]="","",IF(Tasks[[#This Row],[Finish]]&gt;=Tasks[[#This Row],[Planned Finish]],NETWORKDAYS.INTL(Tasks[[#This Row],[Planned Finish]],Tasks[[#This Row],[Finish]],WorkWeek,Holidays)-1,1-NETWORKDAYS.INTL(Tasks[[#This Row],[Finish]],Tasks[[#This Row],[Planned Finish]],WorkWeek,Holidays)))</f>
        <v/>
      </c>
      <c r="X71" s="58" t="str">
        <f aca="false">IF(Tasks[[#This Row],[Task Name]]="","",IF(N(Tasks[[#This Row],[Baseline Start]])&gt;0,Tasks[[#This Row],[Baseline Start]],Tasks[[#This Row],[_CalcStart]]))</f>
        <v/>
      </c>
      <c r="Y71" s="58" t="str">
        <f aca="false">IF(Tasks[[#This Row],[Task Name]]="","",IF(N(Tasks[[#This Row],[Baseline Finish]])&gt;0,Tasks[[#This Row],[Baseline Finish]],Tasks[[#This Row],[_CalcFinish]]))</f>
        <v/>
      </c>
      <c r="Z71" s="67" t="str">
        <f aca="false">IF(Tasks[[#This Row],[Task Name]]="","",IF(Tasks[[#This Row],[Start]]&gt;=Tasks[[#This Row],[Planned Start]],NETWORKDAYS.INTL(Tasks[[#This Row],[Planned Start]],Tasks[[#This Row],[Start]],WorkWeek,Holidays)-1,1-NETWORKDAYS.INTL(Tasks[[#This Row],[Start]],Tasks[[#This Row],[Planned Start]],WorkWeek,Holidays)))</f>
        <v/>
      </c>
      <c r="AA71" s="58" t="str">
        <f aca="false">IF(Tasks[[#This Row],[Task Name]]="","",IF(Tasks[[#This Row],[_IsSummary]],MIN(INDEX(Tasks[_LeafLateStart],Tasks[[#This Row],[_Row]]+1):INDEX(Tasks[_LeafLateStart],Tasks[[#This Row],[_Row]]+Tasks[[#This Row],[_Descendants]])),Tasks[[#This Row],[_LeafLateStart]]))</f>
        <v/>
      </c>
      <c r="AB71" s="58" t="str">
        <f aca="false">IF(Tasks[[#This Row],[Task Name]]="","",IF(Tasks[[#This Row],[_IsSummary]],MAX(INDEX(Tasks[_LeafLateFinish],Tasks[[#This Row],[_Row]]+1):INDEX(Tasks[_LeafLateFinish],Tasks[[#This Row],[_Row]]+Tasks[[#This Row],[_Descendants]])),Tasks[[#This Row],[_LeafLateFinish]]))</f>
        <v/>
      </c>
      <c r="AC71" s="67" t="str">
        <f aca="false">IF(Tasks[[#This Row],[Task Name]]="","",IF(Tasks[[#This Row],[_IsSummary]],MIN(INDEX(Tasks[_LeafTotalSlack],Tasks[[#This Row],[_Row]]+1):INDEX(Tasks[_LeafTotalSlack],Tasks[[#This Row],[_Row]]+Tasks[[#This Row],[_Descendants]])),Tasks[[#This Row],[_LeafTotalSlack]]))</f>
        <v/>
      </c>
      <c r="AD7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7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7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71" s="60"/>
      <c r="AH7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7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71" s="69" t="str">
        <f aca="false">IF(Tasks[[#This Row],[Task Name]]="","",IF(Tasks[[#This Row],[_IsSummary]],SUM(INDEX(Tasks[_LeafTotalWork],Tasks[[#This Row],[_Row]]+1):INDEX(Tasks[_LeafTotalWork],Tasks[[#This Row],[_Row]]+Tasks[[#This Row],[_Descendants]])),Tasks[[#This Row],[_LeafTotalWork]]))</f>
        <v/>
      </c>
      <c r="AK7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71" s="70" t="str">
        <f aca="false">IF(Tasks[[#This Row],[Task Name]]="","",IF(Tasks[[#This Row],[_IsSummary]],SUM(INDEX(Tasks[_LeafTotalCost],Tasks[[#This Row],[_Row]]+1):INDEX(Tasks[_LeafTotalCost],Tasks[[#This Row],[_Row]]+Tasks[[#This Row],[_Descendants]])),Tasks[[#This Row],[_LeafTotalCost]]))</f>
        <v/>
      </c>
      <c r="AM71" s="71"/>
      <c r="AN71" s="20" t="str">
        <f aca="false">IF(OR(Tasks[[#This Row],[Task Name]]="",Tasks[[#This Row],[Baseline Duration]]=""),"",Tasks[[#This Row],[BL Source Duration]]-N(Tasks[[#This Row],[Baseline Duration]]))</f>
        <v/>
      </c>
      <c r="AO71" s="69" t="str">
        <f aca="false">IF(OR(Tasks[[#This Row],[Task Name]]="",Tasks[[#This Row],[Baseline Work]]=""),"",Tasks[[#This Row],[Work]]-N(Tasks[[#This Row],[Baseline Work]]))</f>
        <v/>
      </c>
      <c r="AP71" s="70" t="str">
        <f aca="false">IF(OR(Tasks[[#This Row],[Task Name]]="",Tasks[[#This Row],[Baseline Cost]]=""),"",Tasks[[#This Row],[Cost]]-N(Tasks[[#This Row],[Baseline Cost]]))</f>
        <v/>
      </c>
      <c r="AQ71" s="58" t="str">
        <f aca="false">IF(Tasks[[#This Row],[Task Name]]="","",Tasks[[#This Row],[Start]])</f>
        <v/>
      </c>
      <c r="AR71" s="58" t="str">
        <f aca="false">IF(Tasks[[#This Row],[Task Name]]="","",Tasks[[#This Row],[Finish]])</f>
        <v/>
      </c>
      <c r="AS71" s="67" t="str">
        <f aca="false">IF(Tasks[[#This Row],[Task Name]]="","",IF(Tasks[[#This Row],[_IsSummary]],NETWORKDAYS.INTL(Tasks[[#This Row],[Start]],Tasks[[#This Row],[Finish]],WorkWeek,Holidays),N(Tasks[[#This Row],[Duration]])))</f>
        <v/>
      </c>
      <c r="AT71" s="69" t="str">
        <f aca="false">IF(Tasks[[#This Row],[Task Name]]="","",Tasks[[#This Row],[Work]])</f>
        <v/>
      </c>
      <c r="AU71" s="70" t="str">
        <f aca="false">IF(Tasks[[#This Row],[Task Name]]="","",Tasks[[#This Row],[Cost]])</f>
        <v/>
      </c>
      <c r="AV71" s="7"/>
      <c r="AW71" s="7"/>
      <c r="AX71" s="21"/>
      <c r="AY71" s="72"/>
      <c r="AZ71" s="71"/>
      <c r="BA71" s="70" t="str">
        <f aca="false">IF(Tasks[[#This Row],[Task Name]]="","",IF(Tasks[[#This Row],[_IsSummary]],SUM(INDEX(Tasks[_LeafEV],Tasks[[#This Row],[_Row]]+1):INDEX(Tasks[_LeafEV],Tasks[[#This Row],[_Row]]+Tasks[[#This Row],[_Descendants]])),Tasks[[#This Row],[_LeafEV]]))</f>
        <v/>
      </c>
      <c r="BB71" s="70" t="str">
        <f aca="false">IF(Tasks[[#This Row],[Task Name]]="","",IF(Tasks[[#This Row],[_IsSummary]],SUM(INDEX(Tasks[_LeafBudget],Tasks[[#This Row],[_Row]]+1):INDEX(Tasks[_LeafBudget],Tasks[[#This Row],[_Row]]+Tasks[[#This Row],[_Descendants]])),Tasks[[#This Row],[_LeafBudget]]))</f>
        <v/>
      </c>
      <c r="BC71" s="70" t="str">
        <f aca="false">IF(Tasks[[#This Row],[Task Name]]="","",IF(Tasks[[#This Row],[_IsSummary]],SUM(INDEX(Tasks[_LeafPV],Tasks[[#This Row],[_Row]]+1):INDEX(Tasks[_LeafPV],Tasks[[#This Row],[_Row]]+Tasks[[#This Row],[_Descendants]])),Tasks[[#This Row],[_LeafPV]]))</f>
        <v/>
      </c>
      <c r="BD71" s="70" t="str">
        <f aca="false">IF(Tasks[[#This Row],[Task Name]]="","",IF(Tasks[[#This Row],[_IsSummary]],SUM(INDEX(Tasks[_LeafAC],Tasks[[#This Row],[_Row]]+1):INDEX(Tasks[_LeafAC],Tasks[[#This Row],[_Row]]+Tasks[[#This Row],[_Descendants]])),Tasks[[#This Row],[_LeafAC]]))</f>
        <v/>
      </c>
      <c r="BE71" s="45" t="str">
        <f aca="false">IF(Tasks[[#This Row],[Task Name]]="","",MAX(1,N(Tasks[[#This Row],[Level]])))</f>
        <v/>
      </c>
      <c r="BF71" s="45" t="n">
        <f aca="false">ROW()-ROW(Tasks[[#Headers],[ID]])</f>
        <v>66</v>
      </c>
      <c r="BG71" s="45" t="n">
        <f aca="false">IF(OR(Tasks[[#This Row],[Task Name]]="",Tasks[[#This Row],[_Level]]&lt;=1),0,IFERROR(LOOKUP(2,1/(Tasks[[#Headers],[_Level]]:Tasks[[#This Row],[_Level]]=Tasks[[#This Row],[_Level]]-1),ROW(Tasks[[#Headers],[_Level]]:Tasks[[#This Row],[_Level]])),0))</f>
        <v>0</v>
      </c>
      <c r="BH71" s="45" t="n">
        <f aca="false">IFERROR(N(INDEX(Tasks[_Level],Tasks[[#This Row],[_Row]]+1)),0)</f>
        <v>0</v>
      </c>
      <c r="BI71" s="73" t="b">
        <f aca="false">AND(Tasks[[#This Row],[Task Name]]&lt;&gt;"",Tasks[[#This Row],[_NextLevel]]&gt;Tasks[[#This Row],[_Level]])</f>
        <v>0</v>
      </c>
      <c r="BJ71" s="45" t="n">
        <f aca="false">IF(Tasks[[#This Row],[_IsSummary]],COUNTIF(Tasks[WBS],Tasks[[#This Row],[WBS]]&amp;".*"),0)</f>
        <v>0</v>
      </c>
      <c r="BK71" s="45" t="n">
        <f aca="false">IF(AND(Tasks[[#This Row],[Task Name]]&lt;&gt;"",NOT(Tasks[[#This Row],[_IsSummary]])),1,0)</f>
        <v>0</v>
      </c>
      <c r="BL71" s="45" t="n">
        <f aca="false">IF(N(Tasks[[#This Row],[_Pred1UID]])=0,0,IFERROR(MATCH(Tasks[[#This Row],[_Pred1UID]],Tasks[UID],0),-1))</f>
        <v>0</v>
      </c>
      <c r="BM71" s="45" t="n">
        <f aca="false">IF(N(Tasks[[#This Row],[_Pred2UID]])=0,0,IFERROR(MATCH(Tasks[[#This Row],[_Pred2UID]],Tasks[UID],0),-1))</f>
        <v>0</v>
      </c>
      <c r="BN71" s="45" t="n">
        <f aca="false">IF(N(Tasks[[#This Row],[_Pred3UID]])=0,0,IFERROR(MATCH(Tasks[[#This Row],[_Pred3UID]],Tasks[UID],0),-1))</f>
        <v>0</v>
      </c>
      <c r="BO71" s="45" t="n">
        <f aca="false">IF(N(Tasks[[#This Row],[_Pred4UID]])=0,0,IFERROR(MATCH(Tasks[[#This Row],[_Pred4UID]],Tasks[UID],0),-1))</f>
        <v>0</v>
      </c>
      <c r="BP7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7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71" s="74" t="n">
        <f aca="false">IF(OR(Tasks[[#This Row],[_ConstraintCode]]=2,Tasks[[#This Row],[_ConstraintCode]]=3,Tasks[[#This Row],[_ConstraintCode]]=4,Tasks[[#This Row],[_ConstraintCode]]=6),Tasks[[#This Row],[_ConstraintStart]],0)</f>
        <v>0</v>
      </c>
      <c r="BS71" s="74" t="n">
        <f aca="false">IF(OR(Tasks[[#This Row],[_ConstraintCode]]=2,Tasks[[#This Row],[_ConstraintCode]]=3,Tasks[[#This Row],[_ConstraintCode]]=5,Tasks[[#This Row],[_ConstraintCode]]=7),Tasks[[#This Row],[_ConstraintStart]],2958465)</f>
        <v>2958465</v>
      </c>
      <c r="BT7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71" s="74" t="str">
        <f aca="false">IF(NOT(Tasks[[#This Row],[_IsLeaf]]=1),"",IF(N(Tasks[[#This Row],[Duration]])&lt;=0,Tasks[[#This Row],[_LeafCalcStart]],WORKDAY.INTL(Tasks[[#This Row],[_LeafCalcStart]],Tasks[[#This Row],[Duration]]-1,WorkWeek,Holidays)))</f>
        <v/>
      </c>
      <c r="BV7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7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71" s="45" t="str">
        <f aca="false">IF(Tasks[[#This Row],[Predecessors]]="","",TRIM(MID(SUBSTITUTE(SUBSTITUTE(SUBSTITUTE(UPPER(Tasks[[#This Row],[Predecessors]]),";",",")," ",""),",",REPT(" ",99)),1,99)))</f>
        <v/>
      </c>
      <c r="BY71" s="45" t="str">
        <f aca="false">IF(Tasks[[#This Row],[_Pred1Text]]="","",IFERROR(VALUE(LEFT(Tasks[[#This Row],[_Pred1Text]],MIN(FIND("F",Tasks[[#This Row],[_Pred1Text]]&amp;"F"),FIND("S",Tasks[[#This Row],[_Pred1Text]]&amp;"S"),FIND("+",Tasks[[#This Row],[_Pred1Text]]&amp;"+"),FIND("-",Tasks[[#This Row],[_Pred1Text]]&amp;"-"))-1)),""))</f>
        <v/>
      </c>
      <c r="BZ7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7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71" s="45" t="str">
        <f aca="false">IF(Tasks[[#This Row],[_Pred1Text]]="","",TRIM(MID(SUBSTITUTE(SUBSTITUTE(SUBSTITUTE(UPPER(Tasks[[#This Row],[Predecessors]]),";",",")," ",""),",",REPT(" ",99)),100,99)))</f>
        <v/>
      </c>
      <c r="CC71" s="45" t="str">
        <f aca="false">IF(Tasks[[#This Row],[_Pred2Text]]="","",IFERROR(VALUE(LEFT(Tasks[[#This Row],[_Pred2Text]],MIN(FIND("F",Tasks[[#This Row],[_Pred2Text]]&amp;"F"),FIND("S",Tasks[[#This Row],[_Pred2Text]]&amp;"S"),FIND("+",Tasks[[#This Row],[_Pred2Text]]&amp;"+"),FIND("-",Tasks[[#This Row],[_Pred2Text]]&amp;"-"))-1)),""))</f>
        <v/>
      </c>
      <c r="CD7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7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71" s="45" t="str">
        <f aca="false">IF(Tasks[[#This Row],[_Pred2Text]]="","",TRIM(MID(SUBSTITUTE(SUBSTITUTE(SUBSTITUTE(UPPER(Tasks[[#This Row],[Predecessors]]),";",",")," ",""),",",REPT(" ",99)),199,99)))</f>
        <v/>
      </c>
      <c r="CG71" s="45" t="str">
        <f aca="false">IF(Tasks[[#This Row],[_Pred3Text]]="","",IFERROR(VALUE(LEFT(Tasks[[#This Row],[_Pred3Text]],MIN(FIND("F",Tasks[[#This Row],[_Pred3Text]]&amp;"F"),FIND("S",Tasks[[#This Row],[_Pred3Text]]&amp;"S"),FIND("+",Tasks[[#This Row],[_Pred3Text]]&amp;"+"),FIND("-",Tasks[[#This Row],[_Pred3Text]]&amp;"-"))-1)),""))</f>
        <v/>
      </c>
      <c r="CH7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7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71" s="45" t="str">
        <f aca="false">IF(Tasks[[#This Row],[_Pred3Text]]="","",TRIM(MID(SUBSTITUTE(SUBSTITUTE(SUBSTITUTE(UPPER(Tasks[[#This Row],[Predecessors]]),";",",")," ",""),",",REPT(" ",99)),298,99)))</f>
        <v/>
      </c>
      <c r="CK71" s="45" t="str">
        <f aca="false">IF(Tasks[[#This Row],[_Pred4Text]]="","",IFERROR(VALUE(LEFT(Tasks[[#This Row],[_Pred4Text]],MIN(FIND("F",Tasks[[#This Row],[_Pred4Text]]&amp;"F"),FIND("S",Tasks[[#This Row],[_Pred4Text]]&amp;"S"),FIND("+",Tasks[[#This Row],[_Pred4Text]]&amp;"+"),FIND("-",Tasks[[#This Row],[_Pred4Text]]&amp;"-"))-1)),""))</f>
        <v/>
      </c>
      <c r="CL7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7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71" s="45" t="str">
        <f aca="false">IF(OR(Tasks[[#This Row],[Task Name]]="",Tasks[[#This Row],[Resources]]=""),"",TRIM(MID(SUBSTITUTE(Tasks[[#This Row],[Resources]],",",REPT(" ",99)),1,99)))</f>
        <v/>
      </c>
      <c r="CO71" s="45" t="str">
        <f aca="false">IF(Tasks[[#This Row],[_Res1Text]]="","",TRIM(MID(SUBSTITUTE(Tasks[[#This Row],[Resources]],",",REPT(" ",99)),100,99)))</f>
        <v/>
      </c>
      <c r="CP71" s="45" t="str">
        <f aca="false">IF(Tasks[[#This Row],[_Res2Text]]="","",TRIM(MID(SUBSTITUTE(Tasks[[#This Row],[Resources]],",",REPT(" ",99)),199,99)))</f>
        <v/>
      </c>
      <c r="CQ71" s="45" t="str">
        <f aca="false">IF(Tasks[[#This Row],[_Res3Text]]="","",TRIM(MID(SUBSTITUTE(Tasks[[#This Row],[Resources]],",",REPT(" ",99)),298,99)))</f>
        <v/>
      </c>
      <c r="CR7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7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1" s="45" t="n">
        <f aca="false">IF(NOT(Tasks[[#This Row],[_IsLeaf]]=1),0,(Tasks[[#This Row],[_Resource1]]&lt;&gt;"")+(Tasks[[#This Row],[_Res2]]&lt;&gt;"")+(Tasks[[#This Row],[_Res3]]&lt;&gt;"")+(Tasks[[#This Row],[_Res4]]&lt;&gt;""))</f>
        <v>0</v>
      </c>
      <c r="CU7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7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1" s="45" t="n">
        <f aca="false">IF(OR(NOT(Tasks[[#This Row],[_IsLeaf]]=1),Tasks[[#This Row],[_Res2]]=""),0,IF(ISNA(MATCH(Tasks[[#This Row],[_Res2]],res_Name,0)),0,N(Tasks[[#This Row],[Duration]])*HoursPerDay*IF(Tasks[[#This Row],[_Res2Units]]="",DefaultUnits,Tasks[[#This Row],[_Res2Units]])))</f>
        <v>0</v>
      </c>
      <c r="CX71" s="45" t="n">
        <f aca="false">IF(Tasks[[#This Row],[_Res2Work]]=0,0,Tasks[[#This Row],[_Res2Work]]*IFERROR(INDEX(res_Rate,MATCH(Tasks[[#This Row],[_Res2]],res_Name,0)),0))</f>
        <v>0</v>
      </c>
      <c r="CY71" s="45" t="n">
        <f aca="false">IF(AND(AND(Tasks[[#This Row],[_IsLeaf]]=1,Tasks[[#This Row],[_LeafTotalWork]]&gt;0),Tasks[[#This Row],[_Res2Work]]&gt;0),Tasks[[#This Row],[_Res2Work]]/(Tasks[[#This Row],[_FinishWorkday]]-Tasks[[#This Row],[_StartWorkday]]+1),0)</f>
        <v>0</v>
      </c>
      <c r="CZ71" s="45" t="n">
        <f aca="false">Tasks[[#This Row],[_Res2WorkPerWD]]*MAX(0,Tasks[[#This Row],[_StartWorkday]]-1)</f>
        <v>0</v>
      </c>
      <c r="DA71" s="45" t="n">
        <f aca="false">Tasks[[#This Row],[_Res2Work]]*Tasks[[#This Row],[_LeafProgress]]</f>
        <v>0</v>
      </c>
      <c r="DB71" s="45" t="n">
        <f aca="false">IF(Tasks[[#This Row],[_LeafTotalCost]]=0,0,Tasks[[#This Row],[_LeafAC]]*Tasks[[#This Row],[_Res2Cost]]/Tasks[[#This Row],[_LeafTotalCost]])</f>
        <v>0</v>
      </c>
      <c r="DC7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7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71" s="45" t="n">
        <f aca="false">IF(OR(NOT(Tasks[[#This Row],[_IsLeaf]]=1),Tasks[[#This Row],[_Res3]]=""),0,IF(ISNA(MATCH(Tasks[[#This Row],[_Res3]],res_Name,0)),0,N(Tasks[[#This Row],[Duration]])*HoursPerDay*IF(Tasks[[#This Row],[_Res3Units]]="",DefaultUnits,Tasks[[#This Row],[_Res3Units]])))</f>
        <v>0</v>
      </c>
      <c r="DF71" s="45" t="n">
        <f aca="false">IF(Tasks[[#This Row],[_Res3Work]]=0,0,Tasks[[#This Row],[_Res3Work]]*IFERROR(INDEX(res_Rate,MATCH(Tasks[[#This Row],[_Res3]],res_Name,0)),0))</f>
        <v>0</v>
      </c>
      <c r="DG71" s="45" t="n">
        <f aca="false">IF(AND(AND(Tasks[[#This Row],[_IsLeaf]]=1,Tasks[[#This Row],[_LeafTotalWork]]&gt;0),Tasks[[#This Row],[_Res3Work]]&gt;0),Tasks[[#This Row],[_Res3Work]]/(Tasks[[#This Row],[_FinishWorkday]]-Tasks[[#This Row],[_StartWorkday]]+1),0)</f>
        <v>0</v>
      </c>
      <c r="DH71" s="45" t="n">
        <f aca="false">Tasks[[#This Row],[_Res3WorkPerWD]]*MAX(0,Tasks[[#This Row],[_StartWorkday]]-1)</f>
        <v>0</v>
      </c>
      <c r="DI71" s="45" t="n">
        <f aca="false">Tasks[[#This Row],[_Res3Work]]*Tasks[[#This Row],[_LeafProgress]]</f>
        <v>0</v>
      </c>
      <c r="DJ71" s="45" t="n">
        <f aca="false">IF(Tasks[[#This Row],[_LeafTotalCost]]=0,0,Tasks[[#This Row],[_LeafAC]]*Tasks[[#This Row],[_Res3Cost]]/Tasks[[#This Row],[_LeafTotalCost]])</f>
        <v>0</v>
      </c>
      <c r="DK7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7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71" s="45" t="n">
        <f aca="false">IF(OR(NOT(Tasks[[#This Row],[_IsLeaf]]=1),Tasks[[#This Row],[_Res4]]=""),0,IF(ISNA(MATCH(Tasks[[#This Row],[_Res4]],res_Name,0)),0,N(Tasks[[#This Row],[Duration]])*HoursPerDay*IF(Tasks[[#This Row],[_Res4Units]]="",DefaultUnits,Tasks[[#This Row],[_Res4Units]])))</f>
        <v>0</v>
      </c>
      <c r="DN71" s="45" t="n">
        <f aca="false">IF(Tasks[[#This Row],[_Res4Work]]=0,0,Tasks[[#This Row],[_Res4Work]]*IFERROR(INDEX(res_Rate,MATCH(Tasks[[#This Row],[_Res4]],res_Name,0)),0))</f>
        <v>0</v>
      </c>
      <c r="DO71" s="45" t="n">
        <f aca="false">IF(AND(AND(Tasks[[#This Row],[_IsLeaf]]=1,Tasks[[#This Row],[_LeafTotalWork]]&gt;0),Tasks[[#This Row],[_Res4Work]]&gt;0),Tasks[[#This Row],[_Res4Work]]/(Tasks[[#This Row],[_FinishWorkday]]-Tasks[[#This Row],[_StartWorkday]]+1),0)</f>
        <v>0</v>
      </c>
      <c r="DP71" s="45" t="n">
        <f aca="false">Tasks[[#This Row],[_Res4WorkPerWD]]*MAX(0,Tasks[[#This Row],[_StartWorkday]]-1)</f>
        <v>0</v>
      </c>
      <c r="DQ71" s="45" t="n">
        <f aca="false">Tasks[[#This Row],[_Res4Work]]*Tasks[[#This Row],[_LeafProgress]]</f>
        <v>0</v>
      </c>
      <c r="DR71" s="45" t="n">
        <f aca="false">IF(Tasks[[#This Row],[_LeafTotalCost]]=0,0,Tasks[[#This Row],[_LeafAC]]*Tasks[[#This Row],[_Res4Cost]]/Tasks[[#This Row],[_LeafTotalCost]])</f>
        <v>0</v>
      </c>
      <c r="DS71" s="45" t="n">
        <f aca="false">IF(ISNUMBER(Tasks[[#This Row],[% Complete]]),Tasks[[#This Row],[% Complete]],IF(Tasks[[#This Row],[Stage]]="",0,IFERROR(INDEX(stg_Pct,MATCH(Tasks[[#This Row],[Stage]],stg_Name,0)),0)))</f>
        <v>0</v>
      </c>
      <c r="DT71" s="45" t="n">
        <f aca="false">IF(NOT(Tasks[[#This Row],[_IsLeaf]]=1),0,IF(N(Tasks[[#This Row],[Actual Finish]])&gt;0,1,MIN(1,Tasks[[#This Row],[_Pct]])))</f>
        <v>0</v>
      </c>
      <c r="DU71" s="45" t="n">
        <f aca="false">IF(OR(NOT(Tasks[[#This Row],[_IsLeaf]]=1),Tasks[[#This Row],[_Resource1]]=""),0,IF(ISNA(MATCH(Tasks[[#This Row],[_Resource1]],res_Name,0)),0,N(Tasks[[#This Row],[Duration]])*HoursPerDay*IF(Tasks[[#This Row],[_Units1]]="",DefaultUnits,Tasks[[#This Row],[_Units1]])))</f>
        <v>0</v>
      </c>
      <c r="DV71" s="45" t="n">
        <f aca="false">IF(Tasks[[#This Row],[_LeafWork]]=0,0,Tasks[[#This Row],[_LeafWork]]*IFERROR(INDEX(res_Rate,MATCH(Tasks[[#This Row],[_Resource1]],res_Name,0)),0))</f>
        <v>0</v>
      </c>
      <c r="DW71" s="45" t="n">
        <f aca="false">Tasks[[#This Row],[_LeafWork]]+Tasks[[#This Row],[_Res2Work]]+Tasks[[#This Row],[_Res3Work]]+Tasks[[#This Row],[_Res4Work]]</f>
        <v>0</v>
      </c>
      <c r="DX71" s="45" t="n">
        <f aca="false">Tasks[[#This Row],[_LeafCost]]+Tasks[[#This Row],[_Res2Cost]]+Tasks[[#This Row],[_Res3Cost]]+Tasks[[#This Row],[_Res4Cost]]</f>
        <v>0</v>
      </c>
      <c r="DY71" s="45" t="n">
        <f aca="false">IF(Tasks[[#This Row],[_LeafTotalCost]]=0,Tasks[[#This Row],[_LeafAC]],Tasks[[#This Row],[_LeafAC]]*Tasks[[#This Row],[_LeafCost]]/Tasks[[#This Row],[_LeafTotalCost]])</f>
        <v>0</v>
      </c>
      <c r="DZ7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7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7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7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7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7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7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7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71" s="45" t="n">
        <f aca="false">IF(NOT(Tasks[[#This Row],[_IsLeaf]]=1),0,MAX(_xlfn.MAXIFS(Tasks[_Row],Tasks[_Pred1UID],Tasks[[#This Row],[UID]]),_xlfn.MAXIFS(Tasks[_Row],Tasks[_Pred2UID],Tasks[[#This Row],[UID]]),_xlfn.MAXIFS(Tasks[_Row],Tasks[_Pred3UID],Tasks[[#This Row],[UID]]),_xlfn.MAXIFS(Tasks[_Row],Tasks[_Pred4UID],Tasks[[#This Row],[UID]])))</f>
        <v>0</v>
      </c>
      <c r="EI7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7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71" s="74" t="str">
        <f aca="false">IF(NOT(Tasks[[#This Row],[_IsLeaf]]=1),"",IF(N(Tasks[[#This Row],[Duration]])&lt;=0,Tasks[[#This Row],[_LeafLateFinish]],WORKDAY.INTL(Tasks[[#This Row],[_LeafLateFinish]],-(Tasks[[#This Row],[Duration]]-1),WorkWeek,Holidays)))</f>
        <v/>
      </c>
      <c r="EL7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71" s="73" t="b">
        <f aca="false">AND(Tasks[[#This Row],[_IsLeaf]]=1,Tasks[[#This Row],[_LeafProgress]]&lt;1,N(Tasks[[#This Row],[_LeafTotalSlack]])&lt;=CriticalSlackDays)</f>
        <v>0</v>
      </c>
      <c r="EN71" s="45" t="n">
        <f aca="false">IF(AND(Tasks[[#This Row],[_IsLeaf]]=1,Tasks[[#This Row],[_ConstraintCode]]=1,Tasks[[#This Row],[Mode]]&lt;&gt;"Manual",N(Tasks[[#This Row],[Actual Start]])=0),MAX(0,N(Tasks[[#This Row],[Free Slack]])),0)</f>
        <v>0</v>
      </c>
      <c r="EO71" s="74" t="str">
        <f aca="false">IF(NOT(Tasks[[#This Row],[_IsLeaf]]=1),"",IF(Tasks[[#This Row],[_AlapShift]]=0,Tasks[[#This Row],[_LeafCalcStart]],WORKDAY.INTL(Tasks[[#This Row],[_LeafCalcStart]],Tasks[[#This Row],[_AlapShift]],WorkWeek,Holidays)))</f>
        <v/>
      </c>
      <c r="EP71" s="74" t="str">
        <f aca="false">IF(NOT(Tasks[[#This Row],[_IsLeaf]]=1),"",IF(Tasks[[#This Row],[_AlapShift]]=0,Tasks[[#This Row],[_LeafCalcFinish]],WORKDAY.INTL(Tasks[[#This Row],[_LeafCalcFinish]],Tasks[[#This Row],[_AlapShift]],WorkWeek,Holidays)))</f>
        <v/>
      </c>
      <c r="EQ71" s="74" t="str">
        <f aca="false">IF(NOT(Tasks[[#This Row],[_IsLeaf]]=1),"",IF(Tasks[[#This Row],[_AlapShift]]=0,Tasks[[#This Row],[_LeafFcstStart]],WORKDAY.INTL(Tasks[[#This Row],[_LeafFcstStart]],Tasks[[#This Row],[_AlapShift]],WorkWeek,Holidays)))</f>
        <v/>
      </c>
      <c r="ER71" s="74" t="str">
        <f aca="false">IF(NOT(Tasks[[#This Row],[_IsLeaf]]=1),"",IF(Tasks[[#This Row],[_AlapShift]]=0,Tasks[[#This Row],[_LeafFcstFinish]],WORKDAY.INTL(Tasks[[#This Row],[_LeafFcstFinish]],Tasks[[#This Row],[_AlapShift]],WorkWeek,Holidays)))</f>
        <v/>
      </c>
      <c r="ES71" s="74" t="str">
        <f aca="false">IF(Tasks[[#This Row],[Task Name]]="","",IF(Tasks[[#This Row],[_IsSummary]],MIN(INDEX(Tasks[_ShownCalcStart],Tasks[[#This Row],[_Row]]+1):INDEX(Tasks[_ShownCalcStart],Tasks[[#This Row],[_Row]]+Tasks[[#This Row],[_Descendants]])),Tasks[[#This Row],[_ShownCalcStart]]))</f>
        <v/>
      </c>
      <c r="ET71" s="74" t="str">
        <f aca="false">IF(Tasks[[#This Row],[Task Name]]="","",IF(Tasks[[#This Row],[_IsSummary]],MAX(INDEX(Tasks[_ShownCalcFinish],Tasks[[#This Row],[_Row]]+1):INDEX(Tasks[_ShownCalcFinish],Tasks[[#This Row],[_Row]]+Tasks[[#This Row],[_Descendants]])),Tasks[[#This Row],[_ShownCalcFinish]]))</f>
        <v/>
      </c>
      <c r="EU7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7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7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7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7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7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7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7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7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7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7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7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71" s="45" t="n">
        <f aca="false">IF(AND(Tasks[[#This Row],[_IsLeaf]]=1,Tasks[[#This Row],[_LeafTotalWork]]&gt;0),NETWORKDAYS.INTL(ProjectStart,Tasks[[#This Row],[_ShownFcstStart]],WorkWeek,Holidays),0)</f>
        <v>0</v>
      </c>
      <c r="FH71" s="45" t="n">
        <f aca="false">IF(AND(Tasks[[#This Row],[_IsLeaf]]=1,Tasks[[#This Row],[_LeafTotalWork]]&gt;0),MAX(Tasks[[#This Row],[_StartWorkday]],NETWORKDAYS.INTL(ProjectStart,Tasks[[#This Row],[_ShownFcstFinish]],WorkWeek,Holidays)),0)</f>
        <v>0</v>
      </c>
      <c r="FI71" s="45" t="n">
        <f aca="false">IF(AND(Tasks[[#This Row],[_IsLeaf]]=1,Tasks[[#This Row],[_LeafTotalWork]]&gt;0),Tasks[[#This Row],[_LeafWork]]/(Tasks[[#This Row],[_FinishWorkday]]-Tasks[[#This Row],[_StartWorkday]]+1),0)</f>
        <v>0</v>
      </c>
      <c r="FJ71" s="45" t="n">
        <f aca="false">Tasks[[#This Row],[_WorkPerWorkday]]*(Tasks[[#This Row],[_StartWorkday]]-1)</f>
        <v>-0</v>
      </c>
      <c r="FK71" s="45" t="n">
        <f aca="false">IF(Tasks[[#This Row],[_IsLeaf]]=1,MAX(N(Tasks[[#This Row],[Duration]]),0.1),0)</f>
        <v>0</v>
      </c>
      <c r="FL71" s="45" t="n">
        <f aca="false">Tasks[[#This Row],[_WeightDur]]*Tasks[[#This Row],[_LeafProgress]]</f>
        <v>0</v>
      </c>
      <c r="FM7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71" s="45" t="str">
        <f aca="false">IF(AND(Tasks[[#This Row],[_IsLeaf]]=1,N(Tasks[[#This Row],[Duration]])=0,Tasks[[#This Row],[_LeafProgress]]&lt;1),Tasks[[#This Row],[_ShownFcstFinish]]+Tasks[[#This Row],[_Row]]/100000,"")</f>
        <v/>
      </c>
      <c r="FO7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71" s="45" t="n">
        <f aca="false">IF(NOT(Tasks[[#This Row],[_IsLeaf]]=1),0,IF(Tasks[[#This Row],[Baseline Cost]]="",Tasks[[#This Row],[_LeafTotalCost]],N(Tasks[[#This Row],[Baseline Cost]])))</f>
        <v>0</v>
      </c>
      <c r="FQ71" s="45" t="n">
        <f aca="false">Tasks[[#This Row],[_LeafBudget]]*Tasks[[#This Row],[_PlannedPct]]</f>
        <v>0</v>
      </c>
      <c r="FR71" s="45" t="n">
        <f aca="false">Tasks[[#This Row],[_LeafBudget]]*Tasks[[#This Row],[_LeafProgress]]</f>
        <v>0</v>
      </c>
      <c r="FS71" s="45" t="n">
        <f aca="false">IF(NOT(Tasks[[#This Row],[_IsLeaf]]=1),0,IF(Tasks[[#This Row],[Actual Cost]]="",Tasks[[#This Row],[_LeafTotalCost]]*Tasks[[#This Row],[_LeafProgress]],N(Tasks[[#This Row],[Actual Cost]])))</f>
        <v>0</v>
      </c>
      <c r="FT71" s="45" t="str">
        <f aca="false">IF(Tasks[[#This Row],[Task Name]]="","",LEFT(Tasks[[#This Row],[WBS]],FIND(".",Tasks[[#This Row],[WBS]]&amp;".")-1))</f>
        <v/>
      </c>
      <c r="FU71" s="45" t="str">
        <f aca="false">IF(AND(Tasks[[#This Row],[Task Name]]&lt;&gt;"",Tasks[[#This Row],[_Level]]=1),Tasks[[#This Row],[_Row]],"")</f>
        <v/>
      </c>
      <c r="FV71" s="45" t="str">
        <f aca="false">IF(AND(Tasks[[#This Row],[_IsLeaf]]=1,N(Tasks[[#This Row],[Duration]])=0),Tasks[[#This Row],[Planned Finish]]+Tasks[[#This Row],[_Row]]/100000,"")</f>
        <v/>
      </c>
      <c r="FW71" s="45" t="str">
        <f aca="false">IF(AND(Tasks[[#This Row],[_IsLeaf]]=1,Tasks[[#This Row],[_LeafProgress]]&lt;1,OR(N(Tasks[[#This Row],[Finish Var]])&gt;0,Tasks[[#This Row],[Status]]="Late Start")),MAX(0,Tasks[[#This Row],[Finish Var]])+1-Tasks[[#This Row],[_Row]]/1000000,"")</f>
        <v/>
      </c>
      <c r="FX71" s="45" t="str">
        <f aca="false">IF(AND(Tasks[[#This Row],[_IsLeaf]]=1,N(Tasks[[#This Row],[Actual Start]])=0,Tasks[[#This Row],[_ShownFcstStart]]&gt;=StatusDate,Tasks[[#This Row],[_ShownFcstStart]]&lt;=LookaheadEnd),Tasks[[#This Row],[_ShownFcstStart]]+Tasks[[#This Row],[_Row]]/100000,"")</f>
        <v/>
      </c>
      <c r="FY71" s="45" t="str">
        <f aca="false">IF(AND(Tasks[[#This Row],[_IsLeaf]]=1,Tasks[[#This Row],[_LeafProgress]]&lt;1,Tasks[[#This Row],[_ShownFcstFinish]]&gt;=StatusDate,Tasks[[#This Row],[_ShownFcstFinish]]&lt;=LookaheadEnd),Tasks[[#This Row],[_ShownFcstFinish]]+Tasks[[#This Row],[_Row]]/100000,"")</f>
        <v/>
      </c>
      <c r="FZ71" s="45" t="str">
        <f aca="false">IF(Tasks[[#This Row],[_LeafCritical]],Tasks[[#This Row],[_ShownFcstStart]]+Tasks[[#This Row],[_Row]]/100000,"")</f>
        <v/>
      </c>
      <c r="GA71" s="45" t="n">
        <f aca="false">Tasks[[#This Row],[_LeafWork]]*Tasks[[#This Row],[_LeafProgress]]</f>
        <v>0</v>
      </c>
      <c r="GB71" s="74" t="str">
        <f aca="false">IF(AND(Tasks[[#This Row],[_IsLeaf]]=1,Tasks[[#This Row],[_LeafProgress]]&gt;=1),IF(N(Tasks[[#This Row],[Actual Finish]])&gt;0,Tasks[[#This Row],[Actual Finish]],Tasks[[#This Row],[_ShownFcstFinish]]),"")</f>
        <v/>
      </c>
    </row>
    <row r="72" customFormat="false" ht="15" hidden="false" customHeight="false" outlineLevel="0" collapsed="false">
      <c r="A72" s="67" t="str">
        <f aca="false">IF(Tasks[[#This Row],[Task Name]]="","",COUNTA(Tasks[[#Headers],[Task Name]]:Tasks[[#This Row],[Task Name]])-1)</f>
        <v/>
      </c>
      <c r="B72" s="21" t="n">
        <v>67</v>
      </c>
      <c r="C7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21"/>
      <c r="E72" s="22"/>
      <c r="F72" s="21"/>
      <c r="G72" s="22"/>
      <c r="H72" s="22"/>
      <c r="I72" s="22"/>
      <c r="J72" s="7"/>
      <c r="K72" s="7"/>
      <c r="L72" s="22"/>
      <c r="M72" s="58" t="str">
        <f aca="false">IF(Tasks[[#This Row],[Task Name]]="","",IF(Tasks[[#This Row],[_IsSummary]],MIN(INDEX(Tasks[_ShownFcstStart],Tasks[[#This Row],[_Row]]+1):INDEX(Tasks[_ShownFcstStart],Tasks[[#This Row],[_Row]]+Tasks[[#This Row],[_Descendants]])),Tasks[[#This Row],[_ShownFcstStart]]))</f>
        <v/>
      </c>
      <c r="N72" s="58" t="str">
        <f aca="false">IF(Tasks[[#This Row],[Task Name]]="","",IF(Tasks[[#This Row],[_IsSummary]],MAX(INDEX(Tasks[_ShownFcstFinish],Tasks[[#This Row],[_Row]]+1):INDEX(Tasks[_ShownFcstFinish],Tasks[[#This Row],[_Row]]+Tasks[[#This Row],[_Descendants]])),Tasks[[#This Row],[_ShownFcstFinish]]))</f>
        <v/>
      </c>
      <c r="O72" s="20" t="str">
        <f aca="false">IF(Tasks[[#This Row],[Task Name]]="","",IF(Tasks[[#This Row],[Progress]]&gt;=1,"Complete",IF(OR(N(Tasks[[#This Row],[Actual Start]])&gt;0,Tasks[[#This Row],[Progress]]&gt;0),IF(Tasks[[#This Row],[Finish Var]]&gt;0,"Behind","In Progress"),IF(Tasks[[#This Row],[Planned Start]]&lt;StatusDate,"Late Start","Not Started"))))</f>
        <v/>
      </c>
      <c r="P72" s="20" t="str">
        <f aca="false">IF(Tasks[[#This Row],[Task Name]]="","",IF(IF(Tasks[[#This Row],[_IsSummary]],COUNTIF(INDEX(Tasks[_LeafCritical],Tasks[[#This Row],[_Row]]+1):INDEX(Tasks[_LeafCritical],Tasks[[#This Row],[_Row]]+Tasks[[#This Row],[_Descendants]]),TRUE())&gt;0,Tasks[[#This Row],[_LeafCritical]]),"Yes",""))</f>
        <v/>
      </c>
      <c r="Q7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72" s="67" t="str">
        <f aca="false">IF(Tasks[[#This Row],[Task Name]]="","",IF(Tasks[[#This Row],[_Level]]&lt;=OutlineShowLevel,"Yes","No"))</f>
        <v/>
      </c>
      <c r="S72" s="7"/>
      <c r="T72" s="21"/>
      <c r="U72" s="22"/>
      <c r="V72" s="7"/>
      <c r="W72" s="67" t="str">
        <f aca="false">IF(Tasks[[#This Row],[Task Name]]="","",IF(Tasks[[#This Row],[Finish]]&gt;=Tasks[[#This Row],[Planned Finish]],NETWORKDAYS.INTL(Tasks[[#This Row],[Planned Finish]],Tasks[[#This Row],[Finish]],WorkWeek,Holidays)-1,1-NETWORKDAYS.INTL(Tasks[[#This Row],[Finish]],Tasks[[#This Row],[Planned Finish]],WorkWeek,Holidays)))</f>
        <v/>
      </c>
      <c r="X72" s="58" t="str">
        <f aca="false">IF(Tasks[[#This Row],[Task Name]]="","",IF(N(Tasks[[#This Row],[Baseline Start]])&gt;0,Tasks[[#This Row],[Baseline Start]],Tasks[[#This Row],[_CalcStart]]))</f>
        <v/>
      </c>
      <c r="Y72" s="58" t="str">
        <f aca="false">IF(Tasks[[#This Row],[Task Name]]="","",IF(N(Tasks[[#This Row],[Baseline Finish]])&gt;0,Tasks[[#This Row],[Baseline Finish]],Tasks[[#This Row],[_CalcFinish]]))</f>
        <v/>
      </c>
      <c r="Z72" s="67" t="str">
        <f aca="false">IF(Tasks[[#This Row],[Task Name]]="","",IF(Tasks[[#This Row],[Start]]&gt;=Tasks[[#This Row],[Planned Start]],NETWORKDAYS.INTL(Tasks[[#This Row],[Planned Start]],Tasks[[#This Row],[Start]],WorkWeek,Holidays)-1,1-NETWORKDAYS.INTL(Tasks[[#This Row],[Start]],Tasks[[#This Row],[Planned Start]],WorkWeek,Holidays)))</f>
        <v/>
      </c>
      <c r="AA72" s="58" t="str">
        <f aca="false">IF(Tasks[[#This Row],[Task Name]]="","",IF(Tasks[[#This Row],[_IsSummary]],MIN(INDEX(Tasks[_LeafLateStart],Tasks[[#This Row],[_Row]]+1):INDEX(Tasks[_LeafLateStart],Tasks[[#This Row],[_Row]]+Tasks[[#This Row],[_Descendants]])),Tasks[[#This Row],[_LeafLateStart]]))</f>
        <v/>
      </c>
      <c r="AB72" s="58" t="str">
        <f aca="false">IF(Tasks[[#This Row],[Task Name]]="","",IF(Tasks[[#This Row],[_IsSummary]],MAX(INDEX(Tasks[_LeafLateFinish],Tasks[[#This Row],[_Row]]+1):INDEX(Tasks[_LeafLateFinish],Tasks[[#This Row],[_Row]]+Tasks[[#This Row],[_Descendants]])),Tasks[[#This Row],[_LeafLateFinish]]))</f>
        <v/>
      </c>
      <c r="AC72" s="67" t="str">
        <f aca="false">IF(Tasks[[#This Row],[Task Name]]="","",IF(Tasks[[#This Row],[_IsSummary]],MIN(INDEX(Tasks[_LeafTotalSlack],Tasks[[#This Row],[_Row]]+1):INDEX(Tasks[_LeafTotalSlack],Tasks[[#This Row],[_Row]]+Tasks[[#This Row],[_Descendants]])),Tasks[[#This Row],[_LeafTotalSlack]]))</f>
        <v/>
      </c>
      <c r="AD7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7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7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72" s="60"/>
      <c r="AH7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7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72" s="69" t="str">
        <f aca="false">IF(Tasks[[#This Row],[Task Name]]="","",IF(Tasks[[#This Row],[_IsSummary]],SUM(INDEX(Tasks[_LeafTotalWork],Tasks[[#This Row],[_Row]]+1):INDEX(Tasks[_LeafTotalWork],Tasks[[#This Row],[_Row]]+Tasks[[#This Row],[_Descendants]])),Tasks[[#This Row],[_LeafTotalWork]]))</f>
        <v/>
      </c>
      <c r="AK7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72" s="70" t="str">
        <f aca="false">IF(Tasks[[#This Row],[Task Name]]="","",IF(Tasks[[#This Row],[_IsSummary]],SUM(INDEX(Tasks[_LeafTotalCost],Tasks[[#This Row],[_Row]]+1):INDEX(Tasks[_LeafTotalCost],Tasks[[#This Row],[_Row]]+Tasks[[#This Row],[_Descendants]])),Tasks[[#This Row],[_LeafTotalCost]]))</f>
        <v/>
      </c>
      <c r="AM72" s="71"/>
      <c r="AN72" s="20" t="str">
        <f aca="false">IF(OR(Tasks[[#This Row],[Task Name]]="",Tasks[[#This Row],[Baseline Duration]]=""),"",Tasks[[#This Row],[BL Source Duration]]-N(Tasks[[#This Row],[Baseline Duration]]))</f>
        <v/>
      </c>
      <c r="AO72" s="69" t="str">
        <f aca="false">IF(OR(Tasks[[#This Row],[Task Name]]="",Tasks[[#This Row],[Baseline Work]]=""),"",Tasks[[#This Row],[Work]]-N(Tasks[[#This Row],[Baseline Work]]))</f>
        <v/>
      </c>
      <c r="AP72" s="70" t="str">
        <f aca="false">IF(OR(Tasks[[#This Row],[Task Name]]="",Tasks[[#This Row],[Baseline Cost]]=""),"",Tasks[[#This Row],[Cost]]-N(Tasks[[#This Row],[Baseline Cost]]))</f>
        <v/>
      </c>
      <c r="AQ72" s="58" t="str">
        <f aca="false">IF(Tasks[[#This Row],[Task Name]]="","",Tasks[[#This Row],[Start]])</f>
        <v/>
      </c>
      <c r="AR72" s="58" t="str">
        <f aca="false">IF(Tasks[[#This Row],[Task Name]]="","",Tasks[[#This Row],[Finish]])</f>
        <v/>
      </c>
      <c r="AS72" s="67" t="str">
        <f aca="false">IF(Tasks[[#This Row],[Task Name]]="","",IF(Tasks[[#This Row],[_IsSummary]],NETWORKDAYS.INTL(Tasks[[#This Row],[Start]],Tasks[[#This Row],[Finish]],WorkWeek,Holidays),N(Tasks[[#This Row],[Duration]])))</f>
        <v/>
      </c>
      <c r="AT72" s="69" t="str">
        <f aca="false">IF(Tasks[[#This Row],[Task Name]]="","",Tasks[[#This Row],[Work]])</f>
        <v/>
      </c>
      <c r="AU72" s="70" t="str">
        <f aca="false">IF(Tasks[[#This Row],[Task Name]]="","",Tasks[[#This Row],[Cost]])</f>
        <v/>
      </c>
      <c r="AV72" s="7"/>
      <c r="AW72" s="7"/>
      <c r="AX72" s="21"/>
      <c r="AY72" s="72"/>
      <c r="AZ72" s="71"/>
      <c r="BA72" s="70" t="str">
        <f aca="false">IF(Tasks[[#This Row],[Task Name]]="","",IF(Tasks[[#This Row],[_IsSummary]],SUM(INDEX(Tasks[_LeafEV],Tasks[[#This Row],[_Row]]+1):INDEX(Tasks[_LeafEV],Tasks[[#This Row],[_Row]]+Tasks[[#This Row],[_Descendants]])),Tasks[[#This Row],[_LeafEV]]))</f>
        <v/>
      </c>
      <c r="BB72" s="70" t="str">
        <f aca="false">IF(Tasks[[#This Row],[Task Name]]="","",IF(Tasks[[#This Row],[_IsSummary]],SUM(INDEX(Tasks[_LeafBudget],Tasks[[#This Row],[_Row]]+1):INDEX(Tasks[_LeafBudget],Tasks[[#This Row],[_Row]]+Tasks[[#This Row],[_Descendants]])),Tasks[[#This Row],[_LeafBudget]]))</f>
        <v/>
      </c>
      <c r="BC72" s="70" t="str">
        <f aca="false">IF(Tasks[[#This Row],[Task Name]]="","",IF(Tasks[[#This Row],[_IsSummary]],SUM(INDEX(Tasks[_LeafPV],Tasks[[#This Row],[_Row]]+1):INDEX(Tasks[_LeafPV],Tasks[[#This Row],[_Row]]+Tasks[[#This Row],[_Descendants]])),Tasks[[#This Row],[_LeafPV]]))</f>
        <v/>
      </c>
      <c r="BD72" s="70" t="str">
        <f aca="false">IF(Tasks[[#This Row],[Task Name]]="","",IF(Tasks[[#This Row],[_IsSummary]],SUM(INDEX(Tasks[_LeafAC],Tasks[[#This Row],[_Row]]+1):INDEX(Tasks[_LeafAC],Tasks[[#This Row],[_Row]]+Tasks[[#This Row],[_Descendants]])),Tasks[[#This Row],[_LeafAC]]))</f>
        <v/>
      </c>
      <c r="BE72" s="45" t="str">
        <f aca="false">IF(Tasks[[#This Row],[Task Name]]="","",MAX(1,N(Tasks[[#This Row],[Level]])))</f>
        <v/>
      </c>
      <c r="BF72" s="45" t="n">
        <f aca="false">ROW()-ROW(Tasks[[#Headers],[ID]])</f>
        <v>67</v>
      </c>
      <c r="BG72" s="45" t="n">
        <f aca="false">IF(OR(Tasks[[#This Row],[Task Name]]="",Tasks[[#This Row],[_Level]]&lt;=1),0,IFERROR(LOOKUP(2,1/(Tasks[[#Headers],[_Level]]:Tasks[[#This Row],[_Level]]=Tasks[[#This Row],[_Level]]-1),ROW(Tasks[[#Headers],[_Level]]:Tasks[[#This Row],[_Level]])),0))</f>
        <v>0</v>
      </c>
      <c r="BH72" s="45" t="n">
        <f aca="false">IFERROR(N(INDEX(Tasks[_Level],Tasks[[#This Row],[_Row]]+1)),0)</f>
        <v>0</v>
      </c>
      <c r="BI72" s="73" t="b">
        <f aca="false">AND(Tasks[[#This Row],[Task Name]]&lt;&gt;"",Tasks[[#This Row],[_NextLevel]]&gt;Tasks[[#This Row],[_Level]])</f>
        <v>0</v>
      </c>
      <c r="BJ72" s="45" t="n">
        <f aca="false">IF(Tasks[[#This Row],[_IsSummary]],COUNTIF(Tasks[WBS],Tasks[[#This Row],[WBS]]&amp;".*"),0)</f>
        <v>0</v>
      </c>
      <c r="BK72" s="45" t="n">
        <f aca="false">IF(AND(Tasks[[#This Row],[Task Name]]&lt;&gt;"",NOT(Tasks[[#This Row],[_IsSummary]])),1,0)</f>
        <v>0</v>
      </c>
      <c r="BL72" s="45" t="n">
        <f aca="false">IF(N(Tasks[[#This Row],[_Pred1UID]])=0,0,IFERROR(MATCH(Tasks[[#This Row],[_Pred1UID]],Tasks[UID],0),-1))</f>
        <v>0</v>
      </c>
      <c r="BM72" s="45" t="n">
        <f aca="false">IF(N(Tasks[[#This Row],[_Pred2UID]])=0,0,IFERROR(MATCH(Tasks[[#This Row],[_Pred2UID]],Tasks[UID],0),-1))</f>
        <v>0</v>
      </c>
      <c r="BN72" s="45" t="n">
        <f aca="false">IF(N(Tasks[[#This Row],[_Pred3UID]])=0,0,IFERROR(MATCH(Tasks[[#This Row],[_Pred3UID]],Tasks[UID],0),-1))</f>
        <v>0</v>
      </c>
      <c r="BO72" s="45" t="n">
        <f aca="false">IF(N(Tasks[[#This Row],[_Pred4UID]])=0,0,IFERROR(MATCH(Tasks[[#This Row],[_Pred4UID]],Tasks[UID],0),-1))</f>
        <v>0</v>
      </c>
      <c r="BP7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7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72" s="74" t="n">
        <f aca="false">IF(OR(Tasks[[#This Row],[_ConstraintCode]]=2,Tasks[[#This Row],[_ConstraintCode]]=3,Tasks[[#This Row],[_ConstraintCode]]=4,Tasks[[#This Row],[_ConstraintCode]]=6),Tasks[[#This Row],[_ConstraintStart]],0)</f>
        <v>0</v>
      </c>
      <c r="BS72" s="74" t="n">
        <f aca="false">IF(OR(Tasks[[#This Row],[_ConstraintCode]]=2,Tasks[[#This Row],[_ConstraintCode]]=3,Tasks[[#This Row],[_ConstraintCode]]=5,Tasks[[#This Row],[_ConstraintCode]]=7),Tasks[[#This Row],[_ConstraintStart]],2958465)</f>
        <v>2958465</v>
      </c>
      <c r="BT7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72" s="74" t="str">
        <f aca="false">IF(NOT(Tasks[[#This Row],[_IsLeaf]]=1),"",IF(N(Tasks[[#This Row],[Duration]])&lt;=0,Tasks[[#This Row],[_LeafCalcStart]],WORKDAY.INTL(Tasks[[#This Row],[_LeafCalcStart]],Tasks[[#This Row],[Duration]]-1,WorkWeek,Holidays)))</f>
        <v/>
      </c>
      <c r="BV7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7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72" s="45" t="str">
        <f aca="false">IF(Tasks[[#This Row],[Predecessors]]="","",TRIM(MID(SUBSTITUTE(SUBSTITUTE(SUBSTITUTE(UPPER(Tasks[[#This Row],[Predecessors]]),";",",")," ",""),",",REPT(" ",99)),1,99)))</f>
        <v/>
      </c>
      <c r="BY72" s="45" t="str">
        <f aca="false">IF(Tasks[[#This Row],[_Pred1Text]]="","",IFERROR(VALUE(LEFT(Tasks[[#This Row],[_Pred1Text]],MIN(FIND("F",Tasks[[#This Row],[_Pred1Text]]&amp;"F"),FIND("S",Tasks[[#This Row],[_Pred1Text]]&amp;"S"),FIND("+",Tasks[[#This Row],[_Pred1Text]]&amp;"+"),FIND("-",Tasks[[#This Row],[_Pred1Text]]&amp;"-"))-1)),""))</f>
        <v/>
      </c>
      <c r="BZ7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7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72" s="45" t="str">
        <f aca="false">IF(Tasks[[#This Row],[_Pred1Text]]="","",TRIM(MID(SUBSTITUTE(SUBSTITUTE(SUBSTITUTE(UPPER(Tasks[[#This Row],[Predecessors]]),";",",")," ",""),",",REPT(" ",99)),100,99)))</f>
        <v/>
      </c>
      <c r="CC72" s="45" t="str">
        <f aca="false">IF(Tasks[[#This Row],[_Pred2Text]]="","",IFERROR(VALUE(LEFT(Tasks[[#This Row],[_Pred2Text]],MIN(FIND("F",Tasks[[#This Row],[_Pred2Text]]&amp;"F"),FIND("S",Tasks[[#This Row],[_Pred2Text]]&amp;"S"),FIND("+",Tasks[[#This Row],[_Pred2Text]]&amp;"+"),FIND("-",Tasks[[#This Row],[_Pred2Text]]&amp;"-"))-1)),""))</f>
        <v/>
      </c>
      <c r="CD7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7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72" s="45" t="str">
        <f aca="false">IF(Tasks[[#This Row],[_Pred2Text]]="","",TRIM(MID(SUBSTITUTE(SUBSTITUTE(SUBSTITUTE(UPPER(Tasks[[#This Row],[Predecessors]]),";",",")," ",""),",",REPT(" ",99)),199,99)))</f>
        <v/>
      </c>
      <c r="CG72" s="45" t="str">
        <f aca="false">IF(Tasks[[#This Row],[_Pred3Text]]="","",IFERROR(VALUE(LEFT(Tasks[[#This Row],[_Pred3Text]],MIN(FIND("F",Tasks[[#This Row],[_Pred3Text]]&amp;"F"),FIND("S",Tasks[[#This Row],[_Pred3Text]]&amp;"S"),FIND("+",Tasks[[#This Row],[_Pred3Text]]&amp;"+"),FIND("-",Tasks[[#This Row],[_Pred3Text]]&amp;"-"))-1)),""))</f>
        <v/>
      </c>
      <c r="CH7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7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72" s="45" t="str">
        <f aca="false">IF(Tasks[[#This Row],[_Pred3Text]]="","",TRIM(MID(SUBSTITUTE(SUBSTITUTE(SUBSTITUTE(UPPER(Tasks[[#This Row],[Predecessors]]),";",",")," ",""),",",REPT(" ",99)),298,99)))</f>
        <v/>
      </c>
      <c r="CK72" s="45" t="str">
        <f aca="false">IF(Tasks[[#This Row],[_Pred4Text]]="","",IFERROR(VALUE(LEFT(Tasks[[#This Row],[_Pred4Text]],MIN(FIND("F",Tasks[[#This Row],[_Pred4Text]]&amp;"F"),FIND("S",Tasks[[#This Row],[_Pred4Text]]&amp;"S"),FIND("+",Tasks[[#This Row],[_Pred4Text]]&amp;"+"),FIND("-",Tasks[[#This Row],[_Pred4Text]]&amp;"-"))-1)),""))</f>
        <v/>
      </c>
      <c r="CL7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7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72" s="45" t="str">
        <f aca="false">IF(OR(Tasks[[#This Row],[Task Name]]="",Tasks[[#This Row],[Resources]]=""),"",TRIM(MID(SUBSTITUTE(Tasks[[#This Row],[Resources]],",",REPT(" ",99)),1,99)))</f>
        <v/>
      </c>
      <c r="CO72" s="45" t="str">
        <f aca="false">IF(Tasks[[#This Row],[_Res1Text]]="","",TRIM(MID(SUBSTITUTE(Tasks[[#This Row],[Resources]],",",REPT(" ",99)),100,99)))</f>
        <v/>
      </c>
      <c r="CP72" s="45" t="str">
        <f aca="false">IF(Tasks[[#This Row],[_Res2Text]]="","",TRIM(MID(SUBSTITUTE(Tasks[[#This Row],[Resources]],",",REPT(" ",99)),199,99)))</f>
        <v/>
      </c>
      <c r="CQ72" s="45" t="str">
        <f aca="false">IF(Tasks[[#This Row],[_Res3Text]]="","",TRIM(MID(SUBSTITUTE(Tasks[[#This Row],[Resources]],",",REPT(" ",99)),298,99)))</f>
        <v/>
      </c>
      <c r="CR7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7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2" s="45" t="n">
        <f aca="false">IF(NOT(Tasks[[#This Row],[_IsLeaf]]=1),0,(Tasks[[#This Row],[_Resource1]]&lt;&gt;"")+(Tasks[[#This Row],[_Res2]]&lt;&gt;"")+(Tasks[[#This Row],[_Res3]]&lt;&gt;"")+(Tasks[[#This Row],[_Res4]]&lt;&gt;""))</f>
        <v>0</v>
      </c>
      <c r="CU7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7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2" s="45" t="n">
        <f aca="false">IF(OR(NOT(Tasks[[#This Row],[_IsLeaf]]=1),Tasks[[#This Row],[_Res2]]=""),0,IF(ISNA(MATCH(Tasks[[#This Row],[_Res2]],res_Name,0)),0,N(Tasks[[#This Row],[Duration]])*HoursPerDay*IF(Tasks[[#This Row],[_Res2Units]]="",DefaultUnits,Tasks[[#This Row],[_Res2Units]])))</f>
        <v>0</v>
      </c>
      <c r="CX72" s="45" t="n">
        <f aca="false">IF(Tasks[[#This Row],[_Res2Work]]=0,0,Tasks[[#This Row],[_Res2Work]]*IFERROR(INDEX(res_Rate,MATCH(Tasks[[#This Row],[_Res2]],res_Name,0)),0))</f>
        <v>0</v>
      </c>
      <c r="CY72" s="45" t="n">
        <f aca="false">IF(AND(AND(Tasks[[#This Row],[_IsLeaf]]=1,Tasks[[#This Row],[_LeafTotalWork]]&gt;0),Tasks[[#This Row],[_Res2Work]]&gt;0),Tasks[[#This Row],[_Res2Work]]/(Tasks[[#This Row],[_FinishWorkday]]-Tasks[[#This Row],[_StartWorkday]]+1),0)</f>
        <v>0</v>
      </c>
      <c r="CZ72" s="45" t="n">
        <f aca="false">Tasks[[#This Row],[_Res2WorkPerWD]]*MAX(0,Tasks[[#This Row],[_StartWorkday]]-1)</f>
        <v>0</v>
      </c>
      <c r="DA72" s="45" t="n">
        <f aca="false">Tasks[[#This Row],[_Res2Work]]*Tasks[[#This Row],[_LeafProgress]]</f>
        <v>0</v>
      </c>
      <c r="DB72" s="45" t="n">
        <f aca="false">IF(Tasks[[#This Row],[_LeafTotalCost]]=0,0,Tasks[[#This Row],[_LeafAC]]*Tasks[[#This Row],[_Res2Cost]]/Tasks[[#This Row],[_LeafTotalCost]])</f>
        <v>0</v>
      </c>
      <c r="DC7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7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72" s="45" t="n">
        <f aca="false">IF(OR(NOT(Tasks[[#This Row],[_IsLeaf]]=1),Tasks[[#This Row],[_Res3]]=""),0,IF(ISNA(MATCH(Tasks[[#This Row],[_Res3]],res_Name,0)),0,N(Tasks[[#This Row],[Duration]])*HoursPerDay*IF(Tasks[[#This Row],[_Res3Units]]="",DefaultUnits,Tasks[[#This Row],[_Res3Units]])))</f>
        <v>0</v>
      </c>
      <c r="DF72" s="45" t="n">
        <f aca="false">IF(Tasks[[#This Row],[_Res3Work]]=0,0,Tasks[[#This Row],[_Res3Work]]*IFERROR(INDEX(res_Rate,MATCH(Tasks[[#This Row],[_Res3]],res_Name,0)),0))</f>
        <v>0</v>
      </c>
      <c r="DG72" s="45" t="n">
        <f aca="false">IF(AND(AND(Tasks[[#This Row],[_IsLeaf]]=1,Tasks[[#This Row],[_LeafTotalWork]]&gt;0),Tasks[[#This Row],[_Res3Work]]&gt;0),Tasks[[#This Row],[_Res3Work]]/(Tasks[[#This Row],[_FinishWorkday]]-Tasks[[#This Row],[_StartWorkday]]+1),0)</f>
        <v>0</v>
      </c>
      <c r="DH72" s="45" t="n">
        <f aca="false">Tasks[[#This Row],[_Res3WorkPerWD]]*MAX(0,Tasks[[#This Row],[_StartWorkday]]-1)</f>
        <v>0</v>
      </c>
      <c r="DI72" s="45" t="n">
        <f aca="false">Tasks[[#This Row],[_Res3Work]]*Tasks[[#This Row],[_LeafProgress]]</f>
        <v>0</v>
      </c>
      <c r="DJ72" s="45" t="n">
        <f aca="false">IF(Tasks[[#This Row],[_LeafTotalCost]]=0,0,Tasks[[#This Row],[_LeafAC]]*Tasks[[#This Row],[_Res3Cost]]/Tasks[[#This Row],[_LeafTotalCost]])</f>
        <v>0</v>
      </c>
      <c r="DK7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7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72" s="45" t="n">
        <f aca="false">IF(OR(NOT(Tasks[[#This Row],[_IsLeaf]]=1),Tasks[[#This Row],[_Res4]]=""),0,IF(ISNA(MATCH(Tasks[[#This Row],[_Res4]],res_Name,0)),0,N(Tasks[[#This Row],[Duration]])*HoursPerDay*IF(Tasks[[#This Row],[_Res4Units]]="",DefaultUnits,Tasks[[#This Row],[_Res4Units]])))</f>
        <v>0</v>
      </c>
      <c r="DN72" s="45" t="n">
        <f aca="false">IF(Tasks[[#This Row],[_Res4Work]]=0,0,Tasks[[#This Row],[_Res4Work]]*IFERROR(INDEX(res_Rate,MATCH(Tasks[[#This Row],[_Res4]],res_Name,0)),0))</f>
        <v>0</v>
      </c>
      <c r="DO72" s="45" t="n">
        <f aca="false">IF(AND(AND(Tasks[[#This Row],[_IsLeaf]]=1,Tasks[[#This Row],[_LeafTotalWork]]&gt;0),Tasks[[#This Row],[_Res4Work]]&gt;0),Tasks[[#This Row],[_Res4Work]]/(Tasks[[#This Row],[_FinishWorkday]]-Tasks[[#This Row],[_StartWorkday]]+1),0)</f>
        <v>0</v>
      </c>
      <c r="DP72" s="45" t="n">
        <f aca="false">Tasks[[#This Row],[_Res4WorkPerWD]]*MAX(0,Tasks[[#This Row],[_StartWorkday]]-1)</f>
        <v>0</v>
      </c>
      <c r="DQ72" s="45" t="n">
        <f aca="false">Tasks[[#This Row],[_Res4Work]]*Tasks[[#This Row],[_LeafProgress]]</f>
        <v>0</v>
      </c>
      <c r="DR72" s="45" t="n">
        <f aca="false">IF(Tasks[[#This Row],[_LeafTotalCost]]=0,0,Tasks[[#This Row],[_LeafAC]]*Tasks[[#This Row],[_Res4Cost]]/Tasks[[#This Row],[_LeafTotalCost]])</f>
        <v>0</v>
      </c>
      <c r="DS72" s="45" t="n">
        <f aca="false">IF(ISNUMBER(Tasks[[#This Row],[% Complete]]),Tasks[[#This Row],[% Complete]],IF(Tasks[[#This Row],[Stage]]="",0,IFERROR(INDEX(stg_Pct,MATCH(Tasks[[#This Row],[Stage]],stg_Name,0)),0)))</f>
        <v>0</v>
      </c>
      <c r="DT72" s="45" t="n">
        <f aca="false">IF(NOT(Tasks[[#This Row],[_IsLeaf]]=1),0,IF(N(Tasks[[#This Row],[Actual Finish]])&gt;0,1,MIN(1,Tasks[[#This Row],[_Pct]])))</f>
        <v>0</v>
      </c>
      <c r="DU72" s="45" t="n">
        <f aca="false">IF(OR(NOT(Tasks[[#This Row],[_IsLeaf]]=1),Tasks[[#This Row],[_Resource1]]=""),0,IF(ISNA(MATCH(Tasks[[#This Row],[_Resource1]],res_Name,0)),0,N(Tasks[[#This Row],[Duration]])*HoursPerDay*IF(Tasks[[#This Row],[_Units1]]="",DefaultUnits,Tasks[[#This Row],[_Units1]])))</f>
        <v>0</v>
      </c>
      <c r="DV72" s="45" t="n">
        <f aca="false">IF(Tasks[[#This Row],[_LeafWork]]=0,0,Tasks[[#This Row],[_LeafWork]]*IFERROR(INDEX(res_Rate,MATCH(Tasks[[#This Row],[_Resource1]],res_Name,0)),0))</f>
        <v>0</v>
      </c>
      <c r="DW72" s="45" t="n">
        <f aca="false">Tasks[[#This Row],[_LeafWork]]+Tasks[[#This Row],[_Res2Work]]+Tasks[[#This Row],[_Res3Work]]+Tasks[[#This Row],[_Res4Work]]</f>
        <v>0</v>
      </c>
      <c r="DX72" s="45" t="n">
        <f aca="false">Tasks[[#This Row],[_LeafCost]]+Tasks[[#This Row],[_Res2Cost]]+Tasks[[#This Row],[_Res3Cost]]+Tasks[[#This Row],[_Res4Cost]]</f>
        <v>0</v>
      </c>
      <c r="DY72" s="45" t="n">
        <f aca="false">IF(Tasks[[#This Row],[_LeafTotalCost]]=0,Tasks[[#This Row],[_LeafAC]],Tasks[[#This Row],[_LeafAC]]*Tasks[[#This Row],[_LeafCost]]/Tasks[[#This Row],[_LeafTotalCost]])</f>
        <v>0</v>
      </c>
      <c r="DZ7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7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7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7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7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7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7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7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72" s="45" t="n">
        <f aca="false">IF(NOT(Tasks[[#This Row],[_IsLeaf]]=1),0,MAX(_xlfn.MAXIFS(Tasks[_Row],Tasks[_Pred1UID],Tasks[[#This Row],[UID]]),_xlfn.MAXIFS(Tasks[_Row],Tasks[_Pred2UID],Tasks[[#This Row],[UID]]),_xlfn.MAXIFS(Tasks[_Row],Tasks[_Pred3UID],Tasks[[#This Row],[UID]]),_xlfn.MAXIFS(Tasks[_Row],Tasks[_Pred4UID],Tasks[[#This Row],[UID]])))</f>
        <v>0</v>
      </c>
      <c r="EI7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7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72" s="74" t="str">
        <f aca="false">IF(NOT(Tasks[[#This Row],[_IsLeaf]]=1),"",IF(N(Tasks[[#This Row],[Duration]])&lt;=0,Tasks[[#This Row],[_LeafLateFinish]],WORKDAY.INTL(Tasks[[#This Row],[_LeafLateFinish]],-(Tasks[[#This Row],[Duration]]-1),WorkWeek,Holidays)))</f>
        <v/>
      </c>
      <c r="EL7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72" s="73" t="b">
        <f aca="false">AND(Tasks[[#This Row],[_IsLeaf]]=1,Tasks[[#This Row],[_LeafProgress]]&lt;1,N(Tasks[[#This Row],[_LeafTotalSlack]])&lt;=CriticalSlackDays)</f>
        <v>0</v>
      </c>
      <c r="EN72" s="45" t="n">
        <f aca="false">IF(AND(Tasks[[#This Row],[_IsLeaf]]=1,Tasks[[#This Row],[_ConstraintCode]]=1,Tasks[[#This Row],[Mode]]&lt;&gt;"Manual",N(Tasks[[#This Row],[Actual Start]])=0),MAX(0,N(Tasks[[#This Row],[Free Slack]])),0)</f>
        <v>0</v>
      </c>
      <c r="EO72" s="74" t="str">
        <f aca="false">IF(NOT(Tasks[[#This Row],[_IsLeaf]]=1),"",IF(Tasks[[#This Row],[_AlapShift]]=0,Tasks[[#This Row],[_LeafCalcStart]],WORKDAY.INTL(Tasks[[#This Row],[_LeafCalcStart]],Tasks[[#This Row],[_AlapShift]],WorkWeek,Holidays)))</f>
        <v/>
      </c>
      <c r="EP72" s="74" t="str">
        <f aca="false">IF(NOT(Tasks[[#This Row],[_IsLeaf]]=1),"",IF(Tasks[[#This Row],[_AlapShift]]=0,Tasks[[#This Row],[_LeafCalcFinish]],WORKDAY.INTL(Tasks[[#This Row],[_LeafCalcFinish]],Tasks[[#This Row],[_AlapShift]],WorkWeek,Holidays)))</f>
        <v/>
      </c>
      <c r="EQ72" s="74" t="str">
        <f aca="false">IF(NOT(Tasks[[#This Row],[_IsLeaf]]=1),"",IF(Tasks[[#This Row],[_AlapShift]]=0,Tasks[[#This Row],[_LeafFcstStart]],WORKDAY.INTL(Tasks[[#This Row],[_LeafFcstStart]],Tasks[[#This Row],[_AlapShift]],WorkWeek,Holidays)))</f>
        <v/>
      </c>
      <c r="ER72" s="74" t="str">
        <f aca="false">IF(NOT(Tasks[[#This Row],[_IsLeaf]]=1),"",IF(Tasks[[#This Row],[_AlapShift]]=0,Tasks[[#This Row],[_LeafFcstFinish]],WORKDAY.INTL(Tasks[[#This Row],[_LeafFcstFinish]],Tasks[[#This Row],[_AlapShift]],WorkWeek,Holidays)))</f>
        <v/>
      </c>
      <c r="ES72" s="74" t="str">
        <f aca="false">IF(Tasks[[#This Row],[Task Name]]="","",IF(Tasks[[#This Row],[_IsSummary]],MIN(INDEX(Tasks[_ShownCalcStart],Tasks[[#This Row],[_Row]]+1):INDEX(Tasks[_ShownCalcStart],Tasks[[#This Row],[_Row]]+Tasks[[#This Row],[_Descendants]])),Tasks[[#This Row],[_ShownCalcStart]]))</f>
        <v/>
      </c>
      <c r="ET72" s="74" t="str">
        <f aca="false">IF(Tasks[[#This Row],[Task Name]]="","",IF(Tasks[[#This Row],[_IsSummary]],MAX(INDEX(Tasks[_ShownCalcFinish],Tasks[[#This Row],[_Row]]+1):INDEX(Tasks[_ShownCalcFinish],Tasks[[#This Row],[_Row]]+Tasks[[#This Row],[_Descendants]])),Tasks[[#This Row],[_ShownCalcFinish]]))</f>
        <v/>
      </c>
      <c r="EU7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7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7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7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7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7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7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7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7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7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7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7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72" s="45" t="n">
        <f aca="false">IF(AND(Tasks[[#This Row],[_IsLeaf]]=1,Tasks[[#This Row],[_LeafTotalWork]]&gt;0),NETWORKDAYS.INTL(ProjectStart,Tasks[[#This Row],[_ShownFcstStart]],WorkWeek,Holidays),0)</f>
        <v>0</v>
      </c>
      <c r="FH72" s="45" t="n">
        <f aca="false">IF(AND(Tasks[[#This Row],[_IsLeaf]]=1,Tasks[[#This Row],[_LeafTotalWork]]&gt;0),MAX(Tasks[[#This Row],[_StartWorkday]],NETWORKDAYS.INTL(ProjectStart,Tasks[[#This Row],[_ShownFcstFinish]],WorkWeek,Holidays)),0)</f>
        <v>0</v>
      </c>
      <c r="FI72" s="45" t="n">
        <f aca="false">IF(AND(Tasks[[#This Row],[_IsLeaf]]=1,Tasks[[#This Row],[_LeafTotalWork]]&gt;0),Tasks[[#This Row],[_LeafWork]]/(Tasks[[#This Row],[_FinishWorkday]]-Tasks[[#This Row],[_StartWorkday]]+1),0)</f>
        <v>0</v>
      </c>
      <c r="FJ72" s="45" t="n">
        <f aca="false">Tasks[[#This Row],[_WorkPerWorkday]]*(Tasks[[#This Row],[_StartWorkday]]-1)</f>
        <v>-0</v>
      </c>
      <c r="FK72" s="45" t="n">
        <f aca="false">IF(Tasks[[#This Row],[_IsLeaf]]=1,MAX(N(Tasks[[#This Row],[Duration]]),0.1),0)</f>
        <v>0</v>
      </c>
      <c r="FL72" s="45" t="n">
        <f aca="false">Tasks[[#This Row],[_WeightDur]]*Tasks[[#This Row],[_LeafProgress]]</f>
        <v>0</v>
      </c>
      <c r="FM7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72" s="45" t="str">
        <f aca="false">IF(AND(Tasks[[#This Row],[_IsLeaf]]=1,N(Tasks[[#This Row],[Duration]])=0,Tasks[[#This Row],[_LeafProgress]]&lt;1),Tasks[[#This Row],[_ShownFcstFinish]]+Tasks[[#This Row],[_Row]]/100000,"")</f>
        <v/>
      </c>
      <c r="FO7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72" s="45" t="n">
        <f aca="false">IF(NOT(Tasks[[#This Row],[_IsLeaf]]=1),0,IF(Tasks[[#This Row],[Baseline Cost]]="",Tasks[[#This Row],[_LeafTotalCost]],N(Tasks[[#This Row],[Baseline Cost]])))</f>
        <v>0</v>
      </c>
      <c r="FQ72" s="45" t="n">
        <f aca="false">Tasks[[#This Row],[_LeafBudget]]*Tasks[[#This Row],[_PlannedPct]]</f>
        <v>0</v>
      </c>
      <c r="FR72" s="45" t="n">
        <f aca="false">Tasks[[#This Row],[_LeafBudget]]*Tasks[[#This Row],[_LeafProgress]]</f>
        <v>0</v>
      </c>
      <c r="FS72" s="45" t="n">
        <f aca="false">IF(NOT(Tasks[[#This Row],[_IsLeaf]]=1),0,IF(Tasks[[#This Row],[Actual Cost]]="",Tasks[[#This Row],[_LeafTotalCost]]*Tasks[[#This Row],[_LeafProgress]],N(Tasks[[#This Row],[Actual Cost]])))</f>
        <v>0</v>
      </c>
      <c r="FT72" s="45" t="str">
        <f aca="false">IF(Tasks[[#This Row],[Task Name]]="","",LEFT(Tasks[[#This Row],[WBS]],FIND(".",Tasks[[#This Row],[WBS]]&amp;".")-1))</f>
        <v/>
      </c>
      <c r="FU72" s="45" t="str">
        <f aca="false">IF(AND(Tasks[[#This Row],[Task Name]]&lt;&gt;"",Tasks[[#This Row],[_Level]]=1),Tasks[[#This Row],[_Row]],"")</f>
        <v/>
      </c>
      <c r="FV72" s="45" t="str">
        <f aca="false">IF(AND(Tasks[[#This Row],[_IsLeaf]]=1,N(Tasks[[#This Row],[Duration]])=0),Tasks[[#This Row],[Planned Finish]]+Tasks[[#This Row],[_Row]]/100000,"")</f>
        <v/>
      </c>
      <c r="FW72" s="45" t="str">
        <f aca="false">IF(AND(Tasks[[#This Row],[_IsLeaf]]=1,Tasks[[#This Row],[_LeafProgress]]&lt;1,OR(N(Tasks[[#This Row],[Finish Var]])&gt;0,Tasks[[#This Row],[Status]]="Late Start")),MAX(0,Tasks[[#This Row],[Finish Var]])+1-Tasks[[#This Row],[_Row]]/1000000,"")</f>
        <v/>
      </c>
      <c r="FX72" s="45" t="str">
        <f aca="false">IF(AND(Tasks[[#This Row],[_IsLeaf]]=1,N(Tasks[[#This Row],[Actual Start]])=0,Tasks[[#This Row],[_ShownFcstStart]]&gt;=StatusDate,Tasks[[#This Row],[_ShownFcstStart]]&lt;=LookaheadEnd),Tasks[[#This Row],[_ShownFcstStart]]+Tasks[[#This Row],[_Row]]/100000,"")</f>
        <v/>
      </c>
      <c r="FY72" s="45" t="str">
        <f aca="false">IF(AND(Tasks[[#This Row],[_IsLeaf]]=1,Tasks[[#This Row],[_LeafProgress]]&lt;1,Tasks[[#This Row],[_ShownFcstFinish]]&gt;=StatusDate,Tasks[[#This Row],[_ShownFcstFinish]]&lt;=LookaheadEnd),Tasks[[#This Row],[_ShownFcstFinish]]+Tasks[[#This Row],[_Row]]/100000,"")</f>
        <v/>
      </c>
      <c r="FZ72" s="45" t="str">
        <f aca="false">IF(Tasks[[#This Row],[_LeafCritical]],Tasks[[#This Row],[_ShownFcstStart]]+Tasks[[#This Row],[_Row]]/100000,"")</f>
        <v/>
      </c>
      <c r="GA72" s="45" t="n">
        <f aca="false">Tasks[[#This Row],[_LeafWork]]*Tasks[[#This Row],[_LeafProgress]]</f>
        <v>0</v>
      </c>
      <c r="GB72" s="74" t="str">
        <f aca="false">IF(AND(Tasks[[#This Row],[_IsLeaf]]=1,Tasks[[#This Row],[_LeafProgress]]&gt;=1),IF(N(Tasks[[#This Row],[Actual Finish]])&gt;0,Tasks[[#This Row],[Actual Finish]],Tasks[[#This Row],[_ShownFcstFinish]]),"")</f>
        <v/>
      </c>
    </row>
    <row r="73" customFormat="false" ht="15" hidden="false" customHeight="false" outlineLevel="0" collapsed="false">
      <c r="A73" s="67" t="str">
        <f aca="false">IF(Tasks[[#This Row],[Task Name]]="","",COUNTA(Tasks[[#Headers],[Task Name]]:Tasks[[#This Row],[Task Name]])-1)</f>
        <v/>
      </c>
      <c r="B73" s="21" t="n">
        <v>68</v>
      </c>
      <c r="C7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21"/>
      <c r="E73" s="22"/>
      <c r="F73" s="21"/>
      <c r="G73" s="22"/>
      <c r="H73" s="22"/>
      <c r="I73" s="22"/>
      <c r="J73" s="7"/>
      <c r="K73" s="7"/>
      <c r="L73" s="22"/>
      <c r="M73" s="58" t="str">
        <f aca="false">IF(Tasks[[#This Row],[Task Name]]="","",IF(Tasks[[#This Row],[_IsSummary]],MIN(INDEX(Tasks[_ShownFcstStart],Tasks[[#This Row],[_Row]]+1):INDEX(Tasks[_ShownFcstStart],Tasks[[#This Row],[_Row]]+Tasks[[#This Row],[_Descendants]])),Tasks[[#This Row],[_ShownFcstStart]]))</f>
        <v/>
      </c>
      <c r="N73" s="58" t="str">
        <f aca="false">IF(Tasks[[#This Row],[Task Name]]="","",IF(Tasks[[#This Row],[_IsSummary]],MAX(INDEX(Tasks[_ShownFcstFinish],Tasks[[#This Row],[_Row]]+1):INDEX(Tasks[_ShownFcstFinish],Tasks[[#This Row],[_Row]]+Tasks[[#This Row],[_Descendants]])),Tasks[[#This Row],[_ShownFcstFinish]]))</f>
        <v/>
      </c>
      <c r="O73" s="20" t="str">
        <f aca="false">IF(Tasks[[#This Row],[Task Name]]="","",IF(Tasks[[#This Row],[Progress]]&gt;=1,"Complete",IF(OR(N(Tasks[[#This Row],[Actual Start]])&gt;0,Tasks[[#This Row],[Progress]]&gt;0),IF(Tasks[[#This Row],[Finish Var]]&gt;0,"Behind","In Progress"),IF(Tasks[[#This Row],[Planned Start]]&lt;StatusDate,"Late Start","Not Started"))))</f>
        <v/>
      </c>
      <c r="P73" s="20" t="str">
        <f aca="false">IF(Tasks[[#This Row],[Task Name]]="","",IF(IF(Tasks[[#This Row],[_IsSummary]],COUNTIF(INDEX(Tasks[_LeafCritical],Tasks[[#This Row],[_Row]]+1):INDEX(Tasks[_LeafCritical],Tasks[[#This Row],[_Row]]+Tasks[[#This Row],[_Descendants]]),TRUE())&gt;0,Tasks[[#This Row],[_LeafCritical]]),"Yes",""))</f>
        <v/>
      </c>
      <c r="Q7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73" s="67" t="str">
        <f aca="false">IF(Tasks[[#This Row],[Task Name]]="","",IF(Tasks[[#This Row],[_Level]]&lt;=OutlineShowLevel,"Yes","No"))</f>
        <v/>
      </c>
      <c r="S73" s="7"/>
      <c r="T73" s="21"/>
      <c r="U73" s="22"/>
      <c r="V73" s="7"/>
      <c r="W73" s="67" t="str">
        <f aca="false">IF(Tasks[[#This Row],[Task Name]]="","",IF(Tasks[[#This Row],[Finish]]&gt;=Tasks[[#This Row],[Planned Finish]],NETWORKDAYS.INTL(Tasks[[#This Row],[Planned Finish]],Tasks[[#This Row],[Finish]],WorkWeek,Holidays)-1,1-NETWORKDAYS.INTL(Tasks[[#This Row],[Finish]],Tasks[[#This Row],[Planned Finish]],WorkWeek,Holidays)))</f>
        <v/>
      </c>
      <c r="X73" s="58" t="str">
        <f aca="false">IF(Tasks[[#This Row],[Task Name]]="","",IF(N(Tasks[[#This Row],[Baseline Start]])&gt;0,Tasks[[#This Row],[Baseline Start]],Tasks[[#This Row],[_CalcStart]]))</f>
        <v/>
      </c>
      <c r="Y73" s="58" t="str">
        <f aca="false">IF(Tasks[[#This Row],[Task Name]]="","",IF(N(Tasks[[#This Row],[Baseline Finish]])&gt;0,Tasks[[#This Row],[Baseline Finish]],Tasks[[#This Row],[_CalcFinish]]))</f>
        <v/>
      </c>
      <c r="Z73" s="67" t="str">
        <f aca="false">IF(Tasks[[#This Row],[Task Name]]="","",IF(Tasks[[#This Row],[Start]]&gt;=Tasks[[#This Row],[Planned Start]],NETWORKDAYS.INTL(Tasks[[#This Row],[Planned Start]],Tasks[[#This Row],[Start]],WorkWeek,Holidays)-1,1-NETWORKDAYS.INTL(Tasks[[#This Row],[Start]],Tasks[[#This Row],[Planned Start]],WorkWeek,Holidays)))</f>
        <v/>
      </c>
      <c r="AA73" s="58" t="str">
        <f aca="false">IF(Tasks[[#This Row],[Task Name]]="","",IF(Tasks[[#This Row],[_IsSummary]],MIN(INDEX(Tasks[_LeafLateStart],Tasks[[#This Row],[_Row]]+1):INDEX(Tasks[_LeafLateStart],Tasks[[#This Row],[_Row]]+Tasks[[#This Row],[_Descendants]])),Tasks[[#This Row],[_LeafLateStart]]))</f>
        <v/>
      </c>
      <c r="AB73" s="58" t="str">
        <f aca="false">IF(Tasks[[#This Row],[Task Name]]="","",IF(Tasks[[#This Row],[_IsSummary]],MAX(INDEX(Tasks[_LeafLateFinish],Tasks[[#This Row],[_Row]]+1):INDEX(Tasks[_LeafLateFinish],Tasks[[#This Row],[_Row]]+Tasks[[#This Row],[_Descendants]])),Tasks[[#This Row],[_LeafLateFinish]]))</f>
        <v/>
      </c>
      <c r="AC73" s="67" t="str">
        <f aca="false">IF(Tasks[[#This Row],[Task Name]]="","",IF(Tasks[[#This Row],[_IsSummary]],MIN(INDEX(Tasks[_LeafTotalSlack],Tasks[[#This Row],[_Row]]+1):INDEX(Tasks[_LeafTotalSlack],Tasks[[#This Row],[_Row]]+Tasks[[#This Row],[_Descendants]])),Tasks[[#This Row],[_LeafTotalSlack]]))</f>
        <v/>
      </c>
      <c r="AD7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7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7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73" s="60"/>
      <c r="AH7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7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73" s="69" t="str">
        <f aca="false">IF(Tasks[[#This Row],[Task Name]]="","",IF(Tasks[[#This Row],[_IsSummary]],SUM(INDEX(Tasks[_LeafTotalWork],Tasks[[#This Row],[_Row]]+1):INDEX(Tasks[_LeafTotalWork],Tasks[[#This Row],[_Row]]+Tasks[[#This Row],[_Descendants]])),Tasks[[#This Row],[_LeafTotalWork]]))</f>
        <v/>
      </c>
      <c r="AK7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73" s="70" t="str">
        <f aca="false">IF(Tasks[[#This Row],[Task Name]]="","",IF(Tasks[[#This Row],[_IsSummary]],SUM(INDEX(Tasks[_LeafTotalCost],Tasks[[#This Row],[_Row]]+1):INDEX(Tasks[_LeafTotalCost],Tasks[[#This Row],[_Row]]+Tasks[[#This Row],[_Descendants]])),Tasks[[#This Row],[_LeafTotalCost]]))</f>
        <v/>
      </c>
      <c r="AM73" s="71"/>
      <c r="AN73" s="20" t="str">
        <f aca="false">IF(OR(Tasks[[#This Row],[Task Name]]="",Tasks[[#This Row],[Baseline Duration]]=""),"",Tasks[[#This Row],[BL Source Duration]]-N(Tasks[[#This Row],[Baseline Duration]]))</f>
        <v/>
      </c>
      <c r="AO73" s="69" t="str">
        <f aca="false">IF(OR(Tasks[[#This Row],[Task Name]]="",Tasks[[#This Row],[Baseline Work]]=""),"",Tasks[[#This Row],[Work]]-N(Tasks[[#This Row],[Baseline Work]]))</f>
        <v/>
      </c>
      <c r="AP73" s="70" t="str">
        <f aca="false">IF(OR(Tasks[[#This Row],[Task Name]]="",Tasks[[#This Row],[Baseline Cost]]=""),"",Tasks[[#This Row],[Cost]]-N(Tasks[[#This Row],[Baseline Cost]]))</f>
        <v/>
      </c>
      <c r="AQ73" s="58" t="str">
        <f aca="false">IF(Tasks[[#This Row],[Task Name]]="","",Tasks[[#This Row],[Start]])</f>
        <v/>
      </c>
      <c r="AR73" s="58" t="str">
        <f aca="false">IF(Tasks[[#This Row],[Task Name]]="","",Tasks[[#This Row],[Finish]])</f>
        <v/>
      </c>
      <c r="AS73" s="67" t="str">
        <f aca="false">IF(Tasks[[#This Row],[Task Name]]="","",IF(Tasks[[#This Row],[_IsSummary]],NETWORKDAYS.INTL(Tasks[[#This Row],[Start]],Tasks[[#This Row],[Finish]],WorkWeek,Holidays),N(Tasks[[#This Row],[Duration]])))</f>
        <v/>
      </c>
      <c r="AT73" s="69" t="str">
        <f aca="false">IF(Tasks[[#This Row],[Task Name]]="","",Tasks[[#This Row],[Work]])</f>
        <v/>
      </c>
      <c r="AU73" s="70" t="str">
        <f aca="false">IF(Tasks[[#This Row],[Task Name]]="","",Tasks[[#This Row],[Cost]])</f>
        <v/>
      </c>
      <c r="AV73" s="7"/>
      <c r="AW73" s="7"/>
      <c r="AX73" s="21"/>
      <c r="AY73" s="72"/>
      <c r="AZ73" s="71"/>
      <c r="BA73" s="70" t="str">
        <f aca="false">IF(Tasks[[#This Row],[Task Name]]="","",IF(Tasks[[#This Row],[_IsSummary]],SUM(INDEX(Tasks[_LeafEV],Tasks[[#This Row],[_Row]]+1):INDEX(Tasks[_LeafEV],Tasks[[#This Row],[_Row]]+Tasks[[#This Row],[_Descendants]])),Tasks[[#This Row],[_LeafEV]]))</f>
        <v/>
      </c>
      <c r="BB73" s="70" t="str">
        <f aca="false">IF(Tasks[[#This Row],[Task Name]]="","",IF(Tasks[[#This Row],[_IsSummary]],SUM(INDEX(Tasks[_LeafBudget],Tasks[[#This Row],[_Row]]+1):INDEX(Tasks[_LeafBudget],Tasks[[#This Row],[_Row]]+Tasks[[#This Row],[_Descendants]])),Tasks[[#This Row],[_LeafBudget]]))</f>
        <v/>
      </c>
      <c r="BC73" s="70" t="str">
        <f aca="false">IF(Tasks[[#This Row],[Task Name]]="","",IF(Tasks[[#This Row],[_IsSummary]],SUM(INDEX(Tasks[_LeafPV],Tasks[[#This Row],[_Row]]+1):INDEX(Tasks[_LeafPV],Tasks[[#This Row],[_Row]]+Tasks[[#This Row],[_Descendants]])),Tasks[[#This Row],[_LeafPV]]))</f>
        <v/>
      </c>
      <c r="BD73" s="70" t="str">
        <f aca="false">IF(Tasks[[#This Row],[Task Name]]="","",IF(Tasks[[#This Row],[_IsSummary]],SUM(INDEX(Tasks[_LeafAC],Tasks[[#This Row],[_Row]]+1):INDEX(Tasks[_LeafAC],Tasks[[#This Row],[_Row]]+Tasks[[#This Row],[_Descendants]])),Tasks[[#This Row],[_LeafAC]]))</f>
        <v/>
      </c>
      <c r="BE73" s="45" t="str">
        <f aca="false">IF(Tasks[[#This Row],[Task Name]]="","",MAX(1,N(Tasks[[#This Row],[Level]])))</f>
        <v/>
      </c>
      <c r="BF73" s="45" t="n">
        <f aca="false">ROW()-ROW(Tasks[[#Headers],[ID]])</f>
        <v>68</v>
      </c>
      <c r="BG73" s="45" t="n">
        <f aca="false">IF(OR(Tasks[[#This Row],[Task Name]]="",Tasks[[#This Row],[_Level]]&lt;=1),0,IFERROR(LOOKUP(2,1/(Tasks[[#Headers],[_Level]]:Tasks[[#This Row],[_Level]]=Tasks[[#This Row],[_Level]]-1),ROW(Tasks[[#Headers],[_Level]]:Tasks[[#This Row],[_Level]])),0))</f>
        <v>0</v>
      </c>
      <c r="BH73" s="45" t="n">
        <f aca="false">IFERROR(N(INDEX(Tasks[_Level],Tasks[[#This Row],[_Row]]+1)),0)</f>
        <v>0</v>
      </c>
      <c r="BI73" s="73" t="b">
        <f aca="false">AND(Tasks[[#This Row],[Task Name]]&lt;&gt;"",Tasks[[#This Row],[_NextLevel]]&gt;Tasks[[#This Row],[_Level]])</f>
        <v>0</v>
      </c>
      <c r="BJ73" s="45" t="n">
        <f aca="false">IF(Tasks[[#This Row],[_IsSummary]],COUNTIF(Tasks[WBS],Tasks[[#This Row],[WBS]]&amp;".*"),0)</f>
        <v>0</v>
      </c>
      <c r="BK73" s="45" t="n">
        <f aca="false">IF(AND(Tasks[[#This Row],[Task Name]]&lt;&gt;"",NOT(Tasks[[#This Row],[_IsSummary]])),1,0)</f>
        <v>0</v>
      </c>
      <c r="BL73" s="45" t="n">
        <f aca="false">IF(N(Tasks[[#This Row],[_Pred1UID]])=0,0,IFERROR(MATCH(Tasks[[#This Row],[_Pred1UID]],Tasks[UID],0),-1))</f>
        <v>0</v>
      </c>
      <c r="BM73" s="45" t="n">
        <f aca="false">IF(N(Tasks[[#This Row],[_Pred2UID]])=0,0,IFERROR(MATCH(Tasks[[#This Row],[_Pred2UID]],Tasks[UID],0),-1))</f>
        <v>0</v>
      </c>
      <c r="BN73" s="45" t="n">
        <f aca="false">IF(N(Tasks[[#This Row],[_Pred3UID]])=0,0,IFERROR(MATCH(Tasks[[#This Row],[_Pred3UID]],Tasks[UID],0),-1))</f>
        <v>0</v>
      </c>
      <c r="BO73" s="45" t="n">
        <f aca="false">IF(N(Tasks[[#This Row],[_Pred4UID]])=0,0,IFERROR(MATCH(Tasks[[#This Row],[_Pred4UID]],Tasks[UID],0),-1))</f>
        <v>0</v>
      </c>
      <c r="BP7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7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73" s="74" t="n">
        <f aca="false">IF(OR(Tasks[[#This Row],[_ConstraintCode]]=2,Tasks[[#This Row],[_ConstraintCode]]=3,Tasks[[#This Row],[_ConstraintCode]]=4,Tasks[[#This Row],[_ConstraintCode]]=6),Tasks[[#This Row],[_ConstraintStart]],0)</f>
        <v>0</v>
      </c>
      <c r="BS73" s="74" t="n">
        <f aca="false">IF(OR(Tasks[[#This Row],[_ConstraintCode]]=2,Tasks[[#This Row],[_ConstraintCode]]=3,Tasks[[#This Row],[_ConstraintCode]]=5,Tasks[[#This Row],[_ConstraintCode]]=7),Tasks[[#This Row],[_ConstraintStart]],2958465)</f>
        <v>2958465</v>
      </c>
      <c r="BT7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73" s="74" t="str">
        <f aca="false">IF(NOT(Tasks[[#This Row],[_IsLeaf]]=1),"",IF(N(Tasks[[#This Row],[Duration]])&lt;=0,Tasks[[#This Row],[_LeafCalcStart]],WORKDAY.INTL(Tasks[[#This Row],[_LeafCalcStart]],Tasks[[#This Row],[Duration]]-1,WorkWeek,Holidays)))</f>
        <v/>
      </c>
      <c r="BV7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7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73" s="45" t="str">
        <f aca="false">IF(Tasks[[#This Row],[Predecessors]]="","",TRIM(MID(SUBSTITUTE(SUBSTITUTE(SUBSTITUTE(UPPER(Tasks[[#This Row],[Predecessors]]),";",",")," ",""),",",REPT(" ",99)),1,99)))</f>
        <v/>
      </c>
      <c r="BY73" s="45" t="str">
        <f aca="false">IF(Tasks[[#This Row],[_Pred1Text]]="","",IFERROR(VALUE(LEFT(Tasks[[#This Row],[_Pred1Text]],MIN(FIND("F",Tasks[[#This Row],[_Pred1Text]]&amp;"F"),FIND("S",Tasks[[#This Row],[_Pred1Text]]&amp;"S"),FIND("+",Tasks[[#This Row],[_Pred1Text]]&amp;"+"),FIND("-",Tasks[[#This Row],[_Pred1Text]]&amp;"-"))-1)),""))</f>
        <v/>
      </c>
      <c r="BZ7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7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73" s="45" t="str">
        <f aca="false">IF(Tasks[[#This Row],[_Pred1Text]]="","",TRIM(MID(SUBSTITUTE(SUBSTITUTE(SUBSTITUTE(UPPER(Tasks[[#This Row],[Predecessors]]),";",",")," ",""),",",REPT(" ",99)),100,99)))</f>
        <v/>
      </c>
      <c r="CC73" s="45" t="str">
        <f aca="false">IF(Tasks[[#This Row],[_Pred2Text]]="","",IFERROR(VALUE(LEFT(Tasks[[#This Row],[_Pred2Text]],MIN(FIND("F",Tasks[[#This Row],[_Pred2Text]]&amp;"F"),FIND("S",Tasks[[#This Row],[_Pred2Text]]&amp;"S"),FIND("+",Tasks[[#This Row],[_Pred2Text]]&amp;"+"),FIND("-",Tasks[[#This Row],[_Pred2Text]]&amp;"-"))-1)),""))</f>
        <v/>
      </c>
      <c r="CD7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7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73" s="45" t="str">
        <f aca="false">IF(Tasks[[#This Row],[_Pred2Text]]="","",TRIM(MID(SUBSTITUTE(SUBSTITUTE(SUBSTITUTE(UPPER(Tasks[[#This Row],[Predecessors]]),";",",")," ",""),",",REPT(" ",99)),199,99)))</f>
        <v/>
      </c>
      <c r="CG73" s="45" t="str">
        <f aca="false">IF(Tasks[[#This Row],[_Pred3Text]]="","",IFERROR(VALUE(LEFT(Tasks[[#This Row],[_Pred3Text]],MIN(FIND("F",Tasks[[#This Row],[_Pred3Text]]&amp;"F"),FIND("S",Tasks[[#This Row],[_Pred3Text]]&amp;"S"),FIND("+",Tasks[[#This Row],[_Pred3Text]]&amp;"+"),FIND("-",Tasks[[#This Row],[_Pred3Text]]&amp;"-"))-1)),""))</f>
        <v/>
      </c>
      <c r="CH7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7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73" s="45" t="str">
        <f aca="false">IF(Tasks[[#This Row],[_Pred3Text]]="","",TRIM(MID(SUBSTITUTE(SUBSTITUTE(SUBSTITUTE(UPPER(Tasks[[#This Row],[Predecessors]]),";",",")," ",""),",",REPT(" ",99)),298,99)))</f>
        <v/>
      </c>
      <c r="CK73" s="45" t="str">
        <f aca="false">IF(Tasks[[#This Row],[_Pred4Text]]="","",IFERROR(VALUE(LEFT(Tasks[[#This Row],[_Pred4Text]],MIN(FIND("F",Tasks[[#This Row],[_Pred4Text]]&amp;"F"),FIND("S",Tasks[[#This Row],[_Pred4Text]]&amp;"S"),FIND("+",Tasks[[#This Row],[_Pred4Text]]&amp;"+"),FIND("-",Tasks[[#This Row],[_Pred4Text]]&amp;"-"))-1)),""))</f>
        <v/>
      </c>
      <c r="CL7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7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73" s="45" t="str">
        <f aca="false">IF(OR(Tasks[[#This Row],[Task Name]]="",Tasks[[#This Row],[Resources]]=""),"",TRIM(MID(SUBSTITUTE(Tasks[[#This Row],[Resources]],",",REPT(" ",99)),1,99)))</f>
        <v/>
      </c>
      <c r="CO73" s="45" t="str">
        <f aca="false">IF(Tasks[[#This Row],[_Res1Text]]="","",TRIM(MID(SUBSTITUTE(Tasks[[#This Row],[Resources]],",",REPT(" ",99)),100,99)))</f>
        <v/>
      </c>
      <c r="CP73" s="45" t="str">
        <f aca="false">IF(Tasks[[#This Row],[_Res2Text]]="","",TRIM(MID(SUBSTITUTE(Tasks[[#This Row],[Resources]],",",REPT(" ",99)),199,99)))</f>
        <v/>
      </c>
      <c r="CQ73" s="45" t="str">
        <f aca="false">IF(Tasks[[#This Row],[_Res3Text]]="","",TRIM(MID(SUBSTITUTE(Tasks[[#This Row],[Resources]],",",REPT(" ",99)),298,99)))</f>
        <v/>
      </c>
      <c r="CR7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7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3" s="45" t="n">
        <f aca="false">IF(NOT(Tasks[[#This Row],[_IsLeaf]]=1),0,(Tasks[[#This Row],[_Resource1]]&lt;&gt;"")+(Tasks[[#This Row],[_Res2]]&lt;&gt;"")+(Tasks[[#This Row],[_Res3]]&lt;&gt;"")+(Tasks[[#This Row],[_Res4]]&lt;&gt;""))</f>
        <v>0</v>
      </c>
      <c r="CU7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7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3" s="45" t="n">
        <f aca="false">IF(OR(NOT(Tasks[[#This Row],[_IsLeaf]]=1),Tasks[[#This Row],[_Res2]]=""),0,IF(ISNA(MATCH(Tasks[[#This Row],[_Res2]],res_Name,0)),0,N(Tasks[[#This Row],[Duration]])*HoursPerDay*IF(Tasks[[#This Row],[_Res2Units]]="",DefaultUnits,Tasks[[#This Row],[_Res2Units]])))</f>
        <v>0</v>
      </c>
      <c r="CX73" s="45" t="n">
        <f aca="false">IF(Tasks[[#This Row],[_Res2Work]]=0,0,Tasks[[#This Row],[_Res2Work]]*IFERROR(INDEX(res_Rate,MATCH(Tasks[[#This Row],[_Res2]],res_Name,0)),0))</f>
        <v>0</v>
      </c>
      <c r="CY73" s="45" t="n">
        <f aca="false">IF(AND(AND(Tasks[[#This Row],[_IsLeaf]]=1,Tasks[[#This Row],[_LeafTotalWork]]&gt;0),Tasks[[#This Row],[_Res2Work]]&gt;0),Tasks[[#This Row],[_Res2Work]]/(Tasks[[#This Row],[_FinishWorkday]]-Tasks[[#This Row],[_StartWorkday]]+1),0)</f>
        <v>0</v>
      </c>
      <c r="CZ73" s="45" t="n">
        <f aca="false">Tasks[[#This Row],[_Res2WorkPerWD]]*MAX(0,Tasks[[#This Row],[_StartWorkday]]-1)</f>
        <v>0</v>
      </c>
      <c r="DA73" s="45" t="n">
        <f aca="false">Tasks[[#This Row],[_Res2Work]]*Tasks[[#This Row],[_LeafProgress]]</f>
        <v>0</v>
      </c>
      <c r="DB73" s="45" t="n">
        <f aca="false">IF(Tasks[[#This Row],[_LeafTotalCost]]=0,0,Tasks[[#This Row],[_LeafAC]]*Tasks[[#This Row],[_Res2Cost]]/Tasks[[#This Row],[_LeafTotalCost]])</f>
        <v>0</v>
      </c>
      <c r="DC7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7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73" s="45" t="n">
        <f aca="false">IF(OR(NOT(Tasks[[#This Row],[_IsLeaf]]=1),Tasks[[#This Row],[_Res3]]=""),0,IF(ISNA(MATCH(Tasks[[#This Row],[_Res3]],res_Name,0)),0,N(Tasks[[#This Row],[Duration]])*HoursPerDay*IF(Tasks[[#This Row],[_Res3Units]]="",DefaultUnits,Tasks[[#This Row],[_Res3Units]])))</f>
        <v>0</v>
      </c>
      <c r="DF73" s="45" t="n">
        <f aca="false">IF(Tasks[[#This Row],[_Res3Work]]=0,0,Tasks[[#This Row],[_Res3Work]]*IFERROR(INDEX(res_Rate,MATCH(Tasks[[#This Row],[_Res3]],res_Name,0)),0))</f>
        <v>0</v>
      </c>
      <c r="DG73" s="45" t="n">
        <f aca="false">IF(AND(AND(Tasks[[#This Row],[_IsLeaf]]=1,Tasks[[#This Row],[_LeafTotalWork]]&gt;0),Tasks[[#This Row],[_Res3Work]]&gt;0),Tasks[[#This Row],[_Res3Work]]/(Tasks[[#This Row],[_FinishWorkday]]-Tasks[[#This Row],[_StartWorkday]]+1),0)</f>
        <v>0</v>
      </c>
      <c r="DH73" s="45" t="n">
        <f aca="false">Tasks[[#This Row],[_Res3WorkPerWD]]*MAX(0,Tasks[[#This Row],[_StartWorkday]]-1)</f>
        <v>0</v>
      </c>
      <c r="DI73" s="45" t="n">
        <f aca="false">Tasks[[#This Row],[_Res3Work]]*Tasks[[#This Row],[_LeafProgress]]</f>
        <v>0</v>
      </c>
      <c r="DJ73" s="45" t="n">
        <f aca="false">IF(Tasks[[#This Row],[_LeafTotalCost]]=0,0,Tasks[[#This Row],[_LeafAC]]*Tasks[[#This Row],[_Res3Cost]]/Tasks[[#This Row],[_LeafTotalCost]])</f>
        <v>0</v>
      </c>
      <c r="DK7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7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73" s="45" t="n">
        <f aca="false">IF(OR(NOT(Tasks[[#This Row],[_IsLeaf]]=1),Tasks[[#This Row],[_Res4]]=""),0,IF(ISNA(MATCH(Tasks[[#This Row],[_Res4]],res_Name,0)),0,N(Tasks[[#This Row],[Duration]])*HoursPerDay*IF(Tasks[[#This Row],[_Res4Units]]="",DefaultUnits,Tasks[[#This Row],[_Res4Units]])))</f>
        <v>0</v>
      </c>
      <c r="DN73" s="45" t="n">
        <f aca="false">IF(Tasks[[#This Row],[_Res4Work]]=0,0,Tasks[[#This Row],[_Res4Work]]*IFERROR(INDEX(res_Rate,MATCH(Tasks[[#This Row],[_Res4]],res_Name,0)),0))</f>
        <v>0</v>
      </c>
      <c r="DO73" s="45" t="n">
        <f aca="false">IF(AND(AND(Tasks[[#This Row],[_IsLeaf]]=1,Tasks[[#This Row],[_LeafTotalWork]]&gt;0),Tasks[[#This Row],[_Res4Work]]&gt;0),Tasks[[#This Row],[_Res4Work]]/(Tasks[[#This Row],[_FinishWorkday]]-Tasks[[#This Row],[_StartWorkday]]+1),0)</f>
        <v>0</v>
      </c>
      <c r="DP73" s="45" t="n">
        <f aca="false">Tasks[[#This Row],[_Res4WorkPerWD]]*MAX(0,Tasks[[#This Row],[_StartWorkday]]-1)</f>
        <v>0</v>
      </c>
      <c r="DQ73" s="45" t="n">
        <f aca="false">Tasks[[#This Row],[_Res4Work]]*Tasks[[#This Row],[_LeafProgress]]</f>
        <v>0</v>
      </c>
      <c r="DR73" s="45" t="n">
        <f aca="false">IF(Tasks[[#This Row],[_LeafTotalCost]]=0,0,Tasks[[#This Row],[_LeafAC]]*Tasks[[#This Row],[_Res4Cost]]/Tasks[[#This Row],[_LeafTotalCost]])</f>
        <v>0</v>
      </c>
      <c r="DS73" s="45" t="n">
        <f aca="false">IF(ISNUMBER(Tasks[[#This Row],[% Complete]]),Tasks[[#This Row],[% Complete]],IF(Tasks[[#This Row],[Stage]]="",0,IFERROR(INDEX(stg_Pct,MATCH(Tasks[[#This Row],[Stage]],stg_Name,0)),0)))</f>
        <v>0</v>
      </c>
      <c r="DT73" s="45" t="n">
        <f aca="false">IF(NOT(Tasks[[#This Row],[_IsLeaf]]=1),0,IF(N(Tasks[[#This Row],[Actual Finish]])&gt;0,1,MIN(1,Tasks[[#This Row],[_Pct]])))</f>
        <v>0</v>
      </c>
      <c r="DU73" s="45" t="n">
        <f aca="false">IF(OR(NOT(Tasks[[#This Row],[_IsLeaf]]=1),Tasks[[#This Row],[_Resource1]]=""),0,IF(ISNA(MATCH(Tasks[[#This Row],[_Resource1]],res_Name,0)),0,N(Tasks[[#This Row],[Duration]])*HoursPerDay*IF(Tasks[[#This Row],[_Units1]]="",DefaultUnits,Tasks[[#This Row],[_Units1]])))</f>
        <v>0</v>
      </c>
      <c r="DV73" s="45" t="n">
        <f aca="false">IF(Tasks[[#This Row],[_LeafWork]]=0,0,Tasks[[#This Row],[_LeafWork]]*IFERROR(INDEX(res_Rate,MATCH(Tasks[[#This Row],[_Resource1]],res_Name,0)),0))</f>
        <v>0</v>
      </c>
      <c r="DW73" s="45" t="n">
        <f aca="false">Tasks[[#This Row],[_LeafWork]]+Tasks[[#This Row],[_Res2Work]]+Tasks[[#This Row],[_Res3Work]]+Tasks[[#This Row],[_Res4Work]]</f>
        <v>0</v>
      </c>
      <c r="DX73" s="45" t="n">
        <f aca="false">Tasks[[#This Row],[_LeafCost]]+Tasks[[#This Row],[_Res2Cost]]+Tasks[[#This Row],[_Res3Cost]]+Tasks[[#This Row],[_Res4Cost]]</f>
        <v>0</v>
      </c>
      <c r="DY73" s="45" t="n">
        <f aca="false">IF(Tasks[[#This Row],[_LeafTotalCost]]=0,Tasks[[#This Row],[_LeafAC]],Tasks[[#This Row],[_LeafAC]]*Tasks[[#This Row],[_LeafCost]]/Tasks[[#This Row],[_LeafTotalCost]])</f>
        <v>0</v>
      </c>
      <c r="DZ7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7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7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7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7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7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7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7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73" s="45" t="n">
        <f aca="false">IF(NOT(Tasks[[#This Row],[_IsLeaf]]=1),0,MAX(_xlfn.MAXIFS(Tasks[_Row],Tasks[_Pred1UID],Tasks[[#This Row],[UID]]),_xlfn.MAXIFS(Tasks[_Row],Tasks[_Pred2UID],Tasks[[#This Row],[UID]]),_xlfn.MAXIFS(Tasks[_Row],Tasks[_Pred3UID],Tasks[[#This Row],[UID]]),_xlfn.MAXIFS(Tasks[_Row],Tasks[_Pred4UID],Tasks[[#This Row],[UID]])))</f>
        <v>0</v>
      </c>
      <c r="EI7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7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73" s="74" t="str">
        <f aca="false">IF(NOT(Tasks[[#This Row],[_IsLeaf]]=1),"",IF(N(Tasks[[#This Row],[Duration]])&lt;=0,Tasks[[#This Row],[_LeafLateFinish]],WORKDAY.INTL(Tasks[[#This Row],[_LeafLateFinish]],-(Tasks[[#This Row],[Duration]]-1),WorkWeek,Holidays)))</f>
        <v/>
      </c>
      <c r="EL7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73" s="73" t="b">
        <f aca="false">AND(Tasks[[#This Row],[_IsLeaf]]=1,Tasks[[#This Row],[_LeafProgress]]&lt;1,N(Tasks[[#This Row],[_LeafTotalSlack]])&lt;=CriticalSlackDays)</f>
        <v>0</v>
      </c>
      <c r="EN73" s="45" t="n">
        <f aca="false">IF(AND(Tasks[[#This Row],[_IsLeaf]]=1,Tasks[[#This Row],[_ConstraintCode]]=1,Tasks[[#This Row],[Mode]]&lt;&gt;"Manual",N(Tasks[[#This Row],[Actual Start]])=0),MAX(0,N(Tasks[[#This Row],[Free Slack]])),0)</f>
        <v>0</v>
      </c>
      <c r="EO73" s="74" t="str">
        <f aca="false">IF(NOT(Tasks[[#This Row],[_IsLeaf]]=1),"",IF(Tasks[[#This Row],[_AlapShift]]=0,Tasks[[#This Row],[_LeafCalcStart]],WORKDAY.INTL(Tasks[[#This Row],[_LeafCalcStart]],Tasks[[#This Row],[_AlapShift]],WorkWeek,Holidays)))</f>
        <v/>
      </c>
      <c r="EP73" s="74" t="str">
        <f aca="false">IF(NOT(Tasks[[#This Row],[_IsLeaf]]=1),"",IF(Tasks[[#This Row],[_AlapShift]]=0,Tasks[[#This Row],[_LeafCalcFinish]],WORKDAY.INTL(Tasks[[#This Row],[_LeafCalcFinish]],Tasks[[#This Row],[_AlapShift]],WorkWeek,Holidays)))</f>
        <v/>
      </c>
      <c r="EQ73" s="74" t="str">
        <f aca="false">IF(NOT(Tasks[[#This Row],[_IsLeaf]]=1),"",IF(Tasks[[#This Row],[_AlapShift]]=0,Tasks[[#This Row],[_LeafFcstStart]],WORKDAY.INTL(Tasks[[#This Row],[_LeafFcstStart]],Tasks[[#This Row],[_AlapShift]],WorkWeek,Holidays)))</f>
        <v/>
      </c>
      <c r="ER73" s="74" t="str">
        <f aca="false">IF(NOT(Tasks[[#This Row],[_IsLeaf]]=1),"",IF(Tasks[[#This Row],[_AlapShift]]=0,Tasks[[#This Row],[_LeafFcstFinish]],WORKDAY.INTL(Tasks[[#This Row],[_LeafFcstFinish]],Tasks[[#This Row],[_AlapShift]],WorkWeek,Holidays)))</f>
        <v/>
      </c>
      <c r="ES73" s="74" t="str">
        <f aca="false">IF(Tasks[[#This Row],[Task Name]]="","",IF(Tasks[[#This Row],[_IsSummary]],MIN(INDEX(Tasks[_ShownCalcStart],Tasks[[#This Row],[_Row]]+1):INDEX(Tasks[_ShownCalcStart],Tasks[[#This Row],[_Row]]+Tasks[[#This Row],[_Descendants]])),Tasks[[#This Row],[_ShownCalcStart]]))</f>
        <v/>
      </c>
      <c r="ET73" s="74" t="str">
        <f aca="false">IF(Tasks[[#This Row],[Task Name]]="","",IF(Tasks[[#This Row],[_IsSummary]],MAX(INDEX(Tasks[_ShownCalcFinish],Tasks[[#This Row],[_Row]]+1):INDEX(Tasks[_ShownCalcFinish],Tasks[[#This Row],[_Row]]+Tasks[[#This Row],[_Descendants]])),Tasks[[#This Row],[_ShownCalcFinish]]))</f>
        <v/>
      </c>
      <c r="EU7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7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7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7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7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7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7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7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7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7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7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7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73" s="45" t="n">
        <f aca="false">IF(AND(Tasks[[#This Row],[_IsLeaf]]=1,Tasks[[#This Row],[_LeafTotalWork]]&gt;0),NETWORKDAYS.INTL(ProjectStart,Tasks[[#This Row],[_ShownFcstStart]],WorkWeek,Holidays),0)</f>
        <v>0</v>
      </c>
      <c r="FH73" s="45" t="n">
        <f aca="false">IF(AND(Tasks[[#This Row],[_IsLeaf]]=1,Tasks[[#This Row],[_LeafTotalWork]]&gt;0),MAX(Tasks[[#This Row],[_StartWorkday]],NETWORKDAYS.INTL(ProjectStart,Tasks[[#This Row],[_ShownFcstFinish]],WorkWeek,Holidays)),0)</f>
        <v>0</v>
      </c>
      <c r="FI73" s="45" t="n">
        <f aca="false">IF(AND(Tasks[[#This Row],[_IsLeaf]]=1,Tasks[[#This Row],[_LeafTotalWork]]&gt;0),Tasks[[#This Row],[_LeafWork]]/(Tasks[[#This Row],[_FinishWorkday]]-Tasks[[#This Row],[_StartWorkday]]+1),0)</f>
        <v>0</v>
      </c>
      <c r="FJ73" s="45" t="n">
        <f aca="false">Tasks[[#This Row],[_WorkPerWorkday]]*(Tasks[[#This Row],[_StartWorkday]]-1)</f>
        <v>-0</v>
      </c>
      <c r="FK73" s="45" t="n">
        <f aca="false">IF(Tasks[[#This Row],[_IsLeaf]]=1,MAX(N(Tasks[[#This Row],[Duration]]),0.1),0)</f>
        <v>0</v>
      </c>
      <c r="FL73" s="45" t="n">
        <f aca="false">Tasks[[#This Row],[_WeightDur]]*Tasks[[#This Row],[_LeafProgress]]</f>
        <v>0</v>
      </c>
      <c r="FM7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73" s="45" t="str">
        <f aca="false">IF(AND(Tasks[[#This Row],[_IsLeaf]]=1,N(Tasks[[#This Row],[Duration]])=0,Tasks[[#This Row],[_LeafProgress]]&lt;1),Tasks[[#This Row],[_ShownFcstFinish]]+Tasks[[#This Row],[_Row]]/100000,"")</f>
        <v/>
      </c>
      <c r="FO7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73" s="45" t="n">
        <f aca="false">IF(NOT(Tasks[[#This Row],[_IsLeaf]]=1),0,IF(Tasks[[#This Row],[Baseline Cost]]="",Tasks[[#This Row],[_LeafTotalCost]],N(Tasks[[#This Row],[Baseline Cost]])))</f>
        <v>0</v>
      </c>
      <c r="FQ73" s="45" t="n">
        <f aca="false">Tasks[[#This Row],[_LeafBudget]]*Tasks[[#This Row],[_PlannedPct]]</f>
        <v>0</v>
      </c>
      <c r="FR73" s="45" t="n">
        <f aca="false">Tasks[[#This Row],[_LeafBudget]]*Tasks[[#This Row],[_LeafProgress]]</f>
        <v>0</v>
      </c>
      <c r="FS73" s="45" t="n">
        <f aca="false">IF(NOT(Tasks[[#This Row],[_IsLeaf]]=1),0,IF(Tasks[[#This Row],[Actual Cost]]="",Tasks[[#This Row],[_LeafTotalCost]]*Tasks[[#This Row],[_LeafProgress]],N(Tasks[[#This Row],[Actual Cost]])))</f>
        <v>0</v>
      </c>
      <c r="FT73" s="45" t="str">
        <f aca="false">IF(Tasks[[#This Row],[Task Name]]="","",LEFT(Tasks[[#This Row],[WBS]],FIND(".",Tasks[[#This Row],[WBS]]&amp;".")-1))</f>
        <v/>
      </c>
      <c r="FU73" s="45" t="str">
        <f aca="false">IF(AND(Tasks[[#This Row],[Task Name]]&lt;&gt;"",Tasks[[#This Row],[_Level]]=1),Tasks[[#This Row],[_Row]],"")</f>
        <v/>
      </c>
      <c r="FV73" s="45" t="str">
        <f aca="false">IF(AND(Tasks[[#This Row],[_IsLeaf]]=1,N(Tasks[[#This Row],[Duration]])=0),Tasks[[#This Row],[Planned Finish]]+Tasks[[#This Row],[_Row]]/100000,"")</f>
        <v/>
      </c>
      <c r="FW73" s="45" t="str">
        <f aca="false">IF(AND(Tasks[[#This Row],[_IsLeaf]]=1,Tasks[[#This Row],[_LeafProgress]]&lt;1,OR(N(Tasks[[#This Row],[Finish Var]])&gt;0,Tasks[[#This Row],[Status]]="Late Start")),MAX(0,Tasks[[#This Row],[Finish Var]])+1-Tasks[[#This Row],[_Row]]/1000000,"")</f>
        <v/>
      </c>
      <c r="FX73" s="45" t="str">
        <f aca="false">IF(AND(Tasks[[#This Row],[_IsLeaf]]=1,N(Tasks[[#This Row],[Actual Start]])=0,Tasks[[#This Row],[_ShownFcstStart]]&gt;=StatusDate,Tasks[[#This Row],[_ShownFcstStart]]&lt;=LookaheadEnd),Tasks[[#This Row],[_ShownFcstStart]]+Tasks[[#This Row],[_Row]]/100000,"")</f>
        <v/>
      </c>
      <c r="FY73" s="45" t="str">
        <f aca="false">IF(AND(Tasks[[#This Row],[_IsLeaf]]=1,Tasks[[#This Row],[_LeafProgress]]&lt;1,Tasks[[#This Row],[_ShownFcstFinish]]&gt;=StatusDate,Tasks[[#This Row],[_ShownFcstFinish]]&lt;=LookaheadEnd),Tasks[[#This Row],[_ShownFcstFinish]]+Tasks[[#This Row],[_Row]]/100000,"")</f>
        <v/>
      </c>
      <c r="FZ73" s="45" t="str">
        <f aca="false">IF(Tasks[[#This Row],[_LeafCritical]],Tasks[[#This Row],[_ShownFcstStart]]+Tasks[[#This Row],[_Row]]/100000,"")</f>
        <v/>
      </c>
      <c r="GA73" s="45" t="n">
        <f aca="false">Tasks[[#This Row],[_LeafWork]]*Tasks[[#This Row],[_LeafProgress]]</f>
        <v>0</v>
      </c>
      <c r="GB73" s="74" t="str">
        <f aca="false">IF(AND(Tasks[[#This Row],[_IsLeaf]]=1,Tasks[[#This Row],[_LeafProgress]]&gt;=1),IF(N(Tasks[[#This Row],[Actual Finish]])&gt;0,Tasks[[#This Row],[Actual Finish]],Tasks[[#This Row],[_ShownFcstFinish]]),"")</f>
        <v/>
      </c>
    </row>
    <row r="74" customFormat="false" ht="15" hidden="false" customHeight="false" outlineLevel="0" collapsed="false">
      <c r="A74" s="67" t="str">
        <f aca="false">IF(Tasks[[#This Row],[Task Name]]="","",COUNTA(Tasks[[#Headers],[Task Name]]:Tasks[[#This Row],[Task Name]])-1)</f>
        <v/>
      </c>
      <c r="B74" s="21" t="n">
        <v>69</v>
      </c>
      <c r="C7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21"/>
      <c r="E74" s="22"/>
      <c r="F74" s="21"/>
      <c r="G74" s="22"/>
      <c r="H74" s="22"/>
      <c r="I74" s="22"/>
      <c r="J74" s="7"/>
      <c r="K74" s="7"/>
      <c r="L74" s="22"/>
      <c r="M74" s="58" t="str">
        <f aca="false">IF(Tasks[[#This Row],[Task Name]]="","",IF(Tasks[[#This Row],[_IsSummary]],MIN(INDEX(Tasks[_ShownFcstStart],Tasks[[#This Row],[_Row]]+1):INDEX(Tasks[_ShownFcstStart],Tasks[[#This Row],[_Row]]+Tasks[[#This Row],[_Descendants]])),Tasks[[#This Row],[_ShownFcstStart]]))</f>
        <v/>
      </c>
      <c r="N74" s="58" t="str">
        <f aca="false">IF(Tasks[[#This Row],[Task Name]]="","",IF(Tasks[[#This Row],[_IsSummary]],MAX(INDEX(Tasks[_ShownFcstFinish],Tasks[[#This Row],[_Row]]+1):INDEX(Tasks[_ShownFcstFinish],Tasks[[#This Row],[_Row]]+Tasks[[#This Row],[_Descendants]])),Tasks[[#This Row],[_ShownFcstFinish]]))</f>
        <v/>
      </c>
      <c r="O74" s="20" t="str">
        <f aca="false">IF(Tasks[[#This Row],[Task Name]]="","",IF(Tasks[[#This Row],[Progress]]&gt;=1,"Complete",IF(OR(N(Tasks[[#This Row],[Actual Start]])&gt;0,Tasks[[#This Row],[Progress]]&gt;0),IF(Tasks[[#This Row],[Finish Var]]&gt;0,"Behind","In Progress"),IF(Tasks[[#This Row],[Planned Start]]&lt;StatusDate,"Late Start","Not Started"))))</f>
        <v/>
      </c>
      <c r="P74" s="20" t="str">
        <f aca="false">IF(Tasks[[#This Row],[Task Name]]="","",IF(IF(Tasks[[#This Row],[_IsSummary]],COUNTIF(INDEX(Tasks[_LeafCritical],Tasks[[#This Row],[_Row]]+1):INDEX(Tasks[_LeafCritical],Tasks[[#This Row],[_Row]]+Tasks[[#This Row],[_Descendants]]),TRUE())&gt;0,Tasks[[#This Row],[_LeafCritical]]),"Yes",""))</f>
        <v/>
      </c>
      <c r="Q7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74" s="67" t="str">
        <f aca="false">IF(Tasks[[#This Row],[Task Name]]="","",IF(Tasks[[#This Row],[_Level]]&lt;=OutlineShowLevel,"Yes","No"))</f>
        <v/>
      </c>
      <c r="S74" s="7"/>
      <c r="T74" s="21"/>
      <c r="U74" s="22"/>
      <c r="V74" s="7"/>
      <c r="W74" s="67" t="str">
        <f aca="false">IF(Tasks[[#This Row],[Task Name]]="","",IF(Tasks[[#This Row],[Finish]]&gt;=Tasks[[#This Row],[Planned Finish]],NETWORKDAYS.INTL(Tasks[[#This Row],[Planned Finish]],Tasks[[#This Row],[Finish]],WorkWeek,Holidays)-1,1-NETWORKDAYS.INTL(Tasks[[#This Row],[Finish]],Tasks[[#This Row],[Planned Finish]],WorkWeek,Holidays)))</f>
        <v/>
      </c>
      <c r="X74" s="58" t="str">
        <f aca="false">IF(Tasks[[#This Row],[Task Name]]="","",IF(N(Tasks[[#This Row],[Baseline Start]])&gt;0,Tasks[[#This Row],[Baseline Start]],Tasks[[#This Row],[_CalcStart]]))</f>
        <v/>
      </c>
      <c r="Y74" s="58" t="str">
        <f aca="false">IF(Tasks[[#This Row],[Task Name]]="","",IF(N(Tasks[[#This Row],[Baseline Finish]])&gt;0,Tasks[[#This Row],[Baseline Finish]],Tasks[[#This Row],[_CalcFinish]]))</f>
        <v/>
      </c>
      <c r="Z74" s="67" t="str">
        <f aca="false">IF(Tasks[[#This Row],[Task Name]]="","",IF(Tasks[[#This Row],[Start]]&gt;=Tasks[[#This Row],[Planned Start]],NETWORKDAYS.INTL(Tasks[[#This Row],[Planned Start]],Tasks[[#This Row],[Start]],WorkWeek,Holidays)-1,1-NETWORKDAYS.INTL(Tasks[[#This Row],[Start]],Tasks[[#This Row],[Planned Start]],WorkWeek,Holidays)))</f>
        <v/>
      </c>
      <c r="AA74" s="58" t="str">
        <f aca="false">IF(Tasks[[#This Row],[Task Name]]="","",IF(Tasks[[#This Row],[_IsSummary]],MIN(INDEX(Tasks[_LeafLateStart],Tasks[[#This Row],[_Row]]+1):INDEX(Tasks[_LeafLateStart],Tasks[[#This Row],[_Row]]+Tasks[[#This Row],[_Descendants]])),Tasks[[#This Row],[_LeafLateStart]]))</f>
        <v/>
      </c>
      <c r="AB74" s="58" t="str">
        <f aca="false">IF(Tasks[[#This Row],[Task Name]]="","",IF(Tasks[[#This Row],[_IsSummary]],MAX(INDEX(Tasks[_LeafLateFinish],Tasks[[#This Row],[_Row]]+1):INDEX(Tasks[_LeafLateFinish],Tasks[[#This Row],[_Row]]+Tasks[[#This Row],[_Descendants]])),Tasks[[#This Row],[_LeafLateFinish]]))</f>
        <v/>
      </c>
      <c r="AC74" s="67" t="str">
        <f aca="false">IF(Tasks[[#This Row],[Task Name]]="","",IF(Tasks[[#This Row],[_IsSummary]],MIN(INDEX(Tasks[_LeafTotalSlack],Tasks[[#This Row],[_Row]]+1):INDEX(Tasks[_LeafTotalSlack],Tasks[[#This Row],[_Row]]+Tasks[[#This Row],[_Descendants]])),Tasks[[#This Row],[_LeafTotalSlack]]))</f>
        <v/>
      </c>
      <c r="AD7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7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7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74" s="60"/>
      <c r="AH7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7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74" s="69" t="str">
        <f aca="false">IF(Tasks[[#This Row],[Task Name]]="","",IF(Tasks[[#This Row],[_IsSummary]],SUM(INDEX(Tasks[_LeafTotalWork],Tasks[[#This Row],[_Row]]+1):INDEX(Tasks[_LeafTotalWork],Tasks[[#This Row],[_Row]]+Tasks[[#This Row],[_Descendants]])),Tasks[[#This Row],[_LeafTotalWork]]))</f>
        <v/>
      </c>
      <c r="AK7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74" s="70" t="str">
        <f aca="false">IF(Tasks[[#This Row],[Task Name]]="","",IF(Tasks[[#This Row],[_IsSummary]],SUM(INDEX(Tasks[_LeafTotalCost],Tasks[[#This Row],[_Row]]+1):INDEX(Tasks[_LeafTotalCost],Tasks[[#This Row],[_Row]]+Tasks[[#This Row],[_Descendants]])),Tasks[[#This Row],[_LeafTotalCost]]))</f>
        <v/>
      </c>
      <c r="AM74" s="71"/>
      <c r="AN74" s="20" t="str">
        <f aca="false">IF(OR(Tasks[[#This Row],[Task Name]]="",Tasks[[#This Row],[Baseline Duration]]=""),"",Tasks[[#This Row],[BL Source Duration]]-N(Tasks[[#This Row],[Baseline Duration]]))</f>
        <v/>
      </c>
      <c r="AO74" s="69" t="str">
        <f aca="false">IF(OR(Tasks[[#This Row],[Task Name]]="",Tasks[[#This Row],[Baseline Work]]=""),"",Tasks[[#This Row],[Work]]-N(Tasks[[#This Row],[Baseline Work]]))</f>
        <v/>
      </c>
      <c r="AP74" s="70" t="str">
        <f aca="false">IF(OR(Tasks[[#This Row],[Task Name]]="",Tasks[[#This Row],[Baseline Cost]]=""),"",Tasks[[#This Row],[Cost]]-N(Tasks[[#This Row],[Baseline Cost]]))</f>
        <v/>
      </c>
      <c r="AQ74" s="58" t="str">
        <f aca="false">IF(Tasks[[#This Row],[Task Name]]="","",Tasks[[#This Row],[Start]])</f>
        <v/>
      </c>
      <c r="AR74" s="58" t="str">
        <f aca="false">IF(Tasks[[#This Row],[Task Name]]="","",Tasks[[#This Row],[Finish]])</f>
        <v/>
      </c>
      <c r="AS74" s="67" t="str">
        <f aca="false">IF(Tasks[[#This Row],[Task Name]]="","",IF(Tasks[[#This Row],[_IsSummary]],NETWORKDAYS.INTL(Tasks[[#This Row],[Start]],Tasks[[#This Row],[Finish]],WorkWeek,Holidays),N(Tasks[[#This Row],[Duration]])))</f>
        <v/>
      </c>
      <c r="AT74" s="69" t="str">
        <f aca="false">IF(Tasks[[#This Row],[Task Name]]="","",Tasks[[#This Row],[Work]])</f>
        <v/>
      </c>
      <c r="AU74" s="70" t="str">
        <f aca="false">IF(Tasks[[#This Row],[Task Name]]="","",Tasks[[#This Row],[Cost]])</f>
        <v/>
      </c>
      <c r="AV74" s="7"/>
      <c r="AW74" s="7"/>
      <c r="AX74" s="21"/>
      <c r="AY74" s="72"/>
      <c r="AZ74" s="71"/>
      <c r="BA74" s="70" t="str">
        <f aca="false">IF(Tasks[[#This Row],[Task Name]]="","",IF(Tasks[[#This Row],[_IsSummary]],SUM(INDEX(Tasks[_LeafEV],Tasks[[#This Row],[_Row]]+1):INDEX(Tasks[_LeafEV],Tasks[[#This Row],[_Row]]+Tasks[[#This Row],[_Descendants]])),Tasks[[#This Row],[_LeafEV]]))</f>
        <v/>
      </c>
      <c r="BB74" s="70" t="str">
        <f aca="false">IF(Tasks[[#This Row],[Task Name]]="","",IF(Tasks[[#This Row],[_IsSummary]],SUM(INDEX(Tasks[_LeafBudget],Tasks[[#This Row],[_Row]]+1):INDEX(Tasks[_LeafBudget],Tasks[[#This Row],[_Row]]+Tasks[[#This Row],[_Descendants]])),Tasks[[#This Row],[_LeafBudget]]))</f>
        <v/>
      </c>
      <c r="BC74" s="70" t="str">
        <f aca="false">IF(Tasks[[#This Row],[Task Name]]="","",IF(Tasks[[#This Row],[_IsSummary]],SUM(INDEX(Tasks[_LeafPV],Tasks[[#This Row],[_Row]]+1):INDEX(Tasks[_LeafPV],Tasks[[#This Row],[_Row]]+Tasks[[#This Row],[_Descendants]])),Tasks[[#This Row],[_LeafPV]]))</f>
        <v/>
      </c>
      <c r="BD74" s="70" t="str">
        <f aca="false">IF(Tasks[[#This Row],[Task Name]]="","",IF(Tasks[[#This Row],[_IsSummary]],SUM(INDEX(Tasks[_LeafAC],Tasks[[#This Row],[_Row]]+1):INDEX(Tasks[_LeafAC],Tasks[[#This Row],[_Row]]+Tasks[[#This Row],[_Descendants]])),Tasks[[#This Row],[_LeafAC]]))</f>
        <v/>
      </c>
      <c r="BE74" s="45" t="str">
        <f aca="false">IF(Tasks[[#This Row],[Task Name]]="","",MAX(1,N(Tasks[[#This Row],[Level]])))</f>
        <v/>
      </c>
      <c r="BF74" s="45" t="n">
        <f aca="false">ROW()-ROW(Tasks[[#Headers],[ID]])</f>
        <v>69</v>
      </c>
      <c r="BG74" s="45" t="n">
        <f aca="false">IF(OR(Tasks[[#This Row],[Task Name]]="",Tasks[[#This Row],[_Level]]&lt;=1),0,IFERROR(LOOKUP(2,1/(Tasks[[#Headers],[_Level]]:Tasks[[#This Row],[_Level]]=Tasks[[#This Row],[_Level]]-1),ROW(Tasks[[#Headers],[_Level]]:Tasks[[#This Row],[_Level]])),0))</f>
        <v>0</v>
      </c>
      <c r="BH74" s="45" t="n">
        <f aca="false">IFERROR(N(INDEX(Tasks[_Level],Tasks[[#This Row],[_Row]]+1)),0)</f>
        <v>0</v>
      </c>
      <c r="BI74" s="73" t="b">
        <f aca="false">AND(Tasks[[#This Row],[Task Name]]&lt;&gt;"",Tasks[[#This Row],[_NextLevel]]&gt;Tasks[[#This Row],[_Level]])</f>
        <v>0</v>
      </c>
      <c r="BJ74" s="45" t="n">
        <f aca="false">IF(Tasks[[#This Row],[_IsSummary]],COUNTIF(Tasks[WBS],Tasks[[#This Row],[WBS]]&amp;".*"),0)</f>
        <v>0</v>
      </c>
      <c r="BK74" s="45" t="n">
        <f aca="false">IF(AND(Tasks[[#This Row],[Task Name]]&lt;&gt;"",NOT(Tasks[[#This Row],[_IsSummary]])),1,0)</f>
        <v>0</v>
      </c>
      <c r="BL74" s="45" t="n">
        <f aca="false">IF(N(Tasks[[#This Row],[_Pred1UID]])=0,0,IFERROR(MATCH(Tasks[[#This Row],[_Pred1UID]],Tasks[UID],0),-1))</f>
        <v>0</v>
      </c>
      <c r="BM74" s="45" t="n">
        <f aca="false">IF(N(Tasks[[#This Row],[_Pred2UID]])=0,0,IFERROR(MATCH(Tasks[[#This Row],[_Pred2UID]],Tasks[UID],0),-1))</f>
        <v>0</v>
      </c>
      <c r="BN74" s="45" t="n">
        <f aca="false">IF(N(Tasks[[#This Row],[_Pred3UID]])=0,0,IFERROR(MATCH(Tasks[[#This Row],[_Pred3UID]],Tasks[UID],0),-1))</f>
        <v>0</v>
      </c>
      <c r="BO74" s="45" t="n">
        <f aca="false">IF(N(Tasks[[#This Row],[_Pred4UID]])=0,0,IFERROR(MATCH(Tasks[[#This Row],[_Pred4UID]],Tasks[UID],0),-1))</f>
        <v>0</v>
      </c>
      <c r="BP7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7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74" s="74" t="n">
        <f aca="false">IF(OR(Tasks[[#This Row],[_ConstraintCode]]=2,Tasks[[#This Row],[_ConstraintCode]]=3,Tasks[[#This Row],[_ConstraintCode]]=4,Tasks[[#This Row],[_ConstraintCode]]=6),Tasks[[#This Row],[_ConstraintStart]],0)</f>
        <v>0</v>
      </c>
      <c r="BS74" s="74" t="n">
        <f aca="false">IF(OR(Tasks[[#This Row],[_ConstraintCode]]=2,Tasks[[#This Row],[_ConstraintCode]]=3,Tasks[[#This Row],[_ConstraintCode]]=5,Tasks[[#This Row],[_ConstraintCode]]=7),Tasks[[#This Row],[_ConstraintStart]],2958465)</f>
        <v>2958465</v>
      </c>
      <c r="BT7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74" s="74" t="str">
        <f aca="false">IF(NOT(Tasks[[#This Row],[_IsLeaf]]=1),"",IF(N(Tasks[[#This Row],[Duration]])&lt;=0,Tasks[[#This Row],[_LeafCalcStart]],WORKDAY.INTL(Tasks[[#This Row],[_LeafCalcStart]],Tasks[[#This Row],[Duration]]-1,WorkWeek,Holidays)))</f>
        <v/>
      </c>
      <c r="BV7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7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74" s="45" t="str">
        <f aca="false">IF(Tasks[[#This Row],[Predecessors]]="","",TRIM(MID(SUBSTITUTE(SUBSTITUTE(SUBSTITUTE(UPPER(Tasks[[#This Row],[Predecessors]]),";",",")," ",""),",",REPT(" ",99)),1,99)))</f>
        <v/>
      </c>
      <c r="BY74" s="45" t="str">
        <f aca="false">IF(Tasks[[#This Row],[_Pred1Text]]="","",IFERROR(VALUE(LEFT(Tasks[[#This Row],[_Pred1Text]],MIN(FIND("F",Tasks[[#This Row],[_Pred1Text]]&amp;"F"),FIND("S",Tasks[[#This Row],[_Pred1Text]]&amp;"S"),FIND("+",Tasks[[#This Row],[_Pred1Text]]&amp;"+"),FIND("-",Tasks[[#This Row],[_Pred1Text]]&amp;"-"))-1)),""))</f>
        <v/>
      </c>
      <c r="BZ7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7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74" s="45" t="str">
        <f aca="false">IF(Tasks[[#This Row],[_Pred1Text]]="","",TRIM(MID(SUBSTITUTE(SUBSTITUTE(SUBSTITUTE(UPPER(Tasks[[#This Row],[Predecessors]]),";",",")," ",""),",",REPT(" ",99)),100,99)))</f>
        <v/>
      </c>
      <c r="CC74" s="45" t="str">
        <f aca="false">IF(Tasks[[#This Row],[_Pred2Text]]="","",IFERROR(VALUE(LEFT(Tasks[[#This Row],[_Pred2Text]],MIN(FIND("F",Tasks[[#This Row],[_Pred2Text]]&amp;"F"),FIND("S",Tasks[[#This Row],[_Pred2Text]]&amp;"S"),FIND("+",Tasks[[#This Row],[_Pred2Text]]&amp;"+"),FIND("-",Tasks[[#This Row],[_Pred2Text]]&amp;"-"))-1)),""))</f>
        <v/>
      </c>
      <c r="CD7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7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74" s="45" t="str">
        <f aca="false">IF(Tasks[[#This Row],[_Pred2Text]]="","",TRIM(MID(SUBSTITUTE(SUBSTITUTE(SUBSTITUTE(UPPER(Tasks[[#This Row],[Predecessors]]),";",",")," ",""),",",REPT(" ",99)),199,99)))</f>
        <v/>
      </c>
      <c r="CG74" s="45" t="str">
        <f aca="false">IF(Tasks[[#This Row],[_Pred3Text]]="","",IFERROR(VALUE(LEFT(Tasks[[#This Row],[_Pred3Text]],MIN(FIND("F",Tasks[[#This Row],[_Pred3Text]]&amp;"F"),FIND("S",Tasks[[#This Row],[_Pred3Text]]&amp;"S"),FIND("+",Tasks[[#This Row],[_Pred3Text]]&amp;"+"),FIND("-",Tasks[[#This Row],[_Pred3Text]]&amp;"-"))-1)),""))</f>
        <v/>
      </c>
      <c r="CH7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7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74" s="45" t="str">
        <f aca="false">IF(Tasks[[#This Row],[_Pred3Text]]="","",TRIM(MID(SUBSTITUTE(SUBSTITUTE(SUBSTITUTE(UPPER(Tasks[[#This Row],[Predecessors]]),";",",")," ",""),",",REPT(" ",99)),298,99)))</f>
        <v/>
      </c>
      <c r="CK74" s="45" t="str">
        <f aca="false">IF(Tasks[[#This Row],[_Pred4Text]]="","",IFERROR(VALUE(LEFT(Tasks[[#This Row],[_Pred4Text]],MIN(FIND("F",Tasks[[#This Row],[_Pred4Text]]&amp;"F"),FIND("S",Tasks[[#This Row],[_Pred4Text]]&amp;"S"),FIND("+",Tasks[[#This Row],[_Pred4Text]]&amp;"+"),FIND("-",Tasks[[#This Row],[_Pred4Text]]&amp;"-"))-1)),""))</f>
        <v/>
      </c>
      <c r="CL7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7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74" s="45" t="str">
        <f aca="false">IF(OR(Tasks[[#This Row],[Task Name]]="",Tasks[[#This Row],[Resources]]=""),"",TRIM(MID(SUBSTITUTE(Tasks[[#This Row],[Resources]],",",REPT(" ",99)),1,99)))</f>
        <v/>
      </c>
      <c r="CO74" s="45" t="str">
        <f aca="false">IF(Tasks[[#This Row],[_Res1Text]]="","",TRIM(MID(SUBSTITUTE(Tasks[[#This Row],[Resources]],",",REPT(" ",99)),100,99)))</f>
        <v/>
      </c>
      <c r="CP74" s="45" t="str">
        <f aca="false">IF(Tasks[[#This Row],[_Res2Text]]="","",TRIM(MID(SUBSTITUTE(Tasks[[#This Row],[Resources]],",",REPT(" ",99)),199,99)))</f>
        <v/>
      </c>
      <c r="CQ74" s="45" t="str">
        <f aca="false">IF(Tasks[[#This Row],[_Res3Text]]="","",TRIM(MID(SUBSTITUTE(Tasks[[#This Row],[Resources]],",",REPT(" ",99)),298,99)))</f>
        <v/>
      </c>
      <c r="CR7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7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4" s="45" t="n">
        <f aca="false">IF(NOT(Tasks[[#This Row],[_IsLeaf]]=1),0,(Tasks[[#This Row],[_Resource1]]&lt;&gt;"")+(Tasks[[#This Row],[_Res2]]&lt;&gt;"")+(Tasks[[#This Row],[_Res3]]&lt;&gt;"")+(Tasks[[#This Row],[_Res4]]&lt;&gt;""))</f>
        <v>0</v>
      </c>
      <c r="CU7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7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4" s="45" t="n">
        <f aca="false">IF(OR(NOT(Tasks[[#This Row],[_IsLeaf]]=1),Tasks[[#This Row],[_Res2]]=""),0,IF(ISNA(MATCH(Tasks[[#This Row],[_Res2]],res_Name,0)),0,N(Tasks[[#This Row],[Duration]])*HoursPerDay*IF(Tasks[[#This Row],[_Res2Units]]="",DefaultUnits,Tasks[[#This Row],[_Res2Units]])))</f>
        <v>0</v>
      </c>
      <c r="CX74" s="45" t="n">
        <f aca="false">IF(Tasks[[#This Row],[_Res2Work]]=0,0,Tasks[[#This Row],[_Res2Work]]*IFERROR(INDEX(res_Rate,MATCH(Tasks[[#This Row],[_Res2]],res_Name,0)),0))</f>
        <v>0</v>
      </c>
      <c r="CY74" s="45" t="n">
        <f aca="false">IF(AND(AND(Tasks[[#This Row],[_IsLeaf]]=1,Tasks[[#This Row],[_LeafTotalWork]]&gt;0),Tasks[[#This Row],[_Res2Work]]&gt;0),Tasks[[#This Row],[_Res2Work]]/(Tasks[[#This Row],[_FinishWorkday]]-Tasks[[#This Row],[_StartWorkday]]+1),0)</f>
        <v>0</v>
      </c>
      <c r="CZ74" s="45" t="n">
        <f aca="false">Tasks[[#This Row],[_Res2WorkPerWD]]*MAX(0,Tasks[[#This Row],[_StartWorkday]]-1)</f>
        <v>0</v>
      </c>
      <c r="DA74" s="45" t="n">
        <f aca="false">Tasks[[#This Row],[_Res2Work]]*Tasks[[#This Row],[_LeafProgress]]</f>
        <v>0</v>
      </c>
      <c r="DB74" s="45" t="n">
        <f aca="false">IF(Tasks[[#This Row],[_LeafTotalCost]]=0,0,Tasks[[#This Row],[_LeafAC]]*Tasks[[#This Row],[_Res2Cost]]/Tasks[[#This Row],[_LeafTotalCost]])</f>
        <v>0</v>
      </c>
      <c r="DC7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7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74" s="45" t="n">
        <f aca="false">IF(OR(NOT(Tasks[[#This Row],[_IsLeaf]]=1),Tasks[[#This Row],[_Res3]]=""),0,IF(ISNA(MATCH(Tasks[[#This Row],[_Res3]],res_Name,0)),0,N(Tasks[[#This Row],[Duration]])*HoursPerDay*IF(Tasks[[#This Row],[_Res3Units]]="",DefaultUnits,Tasks[[#This Row],[_Res3Units]])))</f>
        <v>0</v>
      </c>
      <c r="DF74" s="45" t="n">
        <f aca="false">IF(Tasks[[#This Row],[_Res3Work]]=0,0,Tasks[[#This Row],[_Res3Work]]*IFERROR(INDEX(res_Rate,MATCH(Tasks[[#This Row],[_Res3]],res_Name,0)),0))</f>
        <v>0</v>
      </c>
      <c r="DG74" s="45" t="n">
        <f aca="false">IF(AND(AND(Tasks[[#This Row],[_IsLeaf]]=1,Tasks[[#This Row],[_LeafTotalWork]]&gt;0),Tasks[[#This Row],[_Res3Work]]&gt;0),Tasks[[#This Row],[_Res3Work]]/(Tasks[[#This Row],[_FinishWorkday]]-Tasks[[#This Row],[_StartWorkday]]+1),0)</f>
        <v>0</v>
      </c>
      <c r="DH74" s="45" t="n">
        <f aca="false">Tasks[[#This Row],[_Res3WorkPerWD]]*MAX(0,Tasks[[#This Row],[_StartWorkday]]-1)</f>
        <v>0</v>
      </c>
      <c r="DI74" s="45" t="n">
        <f aca="false">Tasks[[#This Row],[_Res3Work]]*Tasks[[#This Row],[_LeafProgress]]</f>
        <v>0</v>
      </c>
      <c r="DJ74" s="45" t="n">
        <f aca="false">IF(Tasks[[#This Row],[_LeafTotalCost]]=0,0,Tasks[[#This Row],[_LeafAC]]*Tasks[[#This Row],[_Res3Cost]]/Tasks[[#This Row],[_LeafTotalCost]])</f>
        <v>0</v>
      </c>
      <c r="DK7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7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74" s="45" t="n">
        <f aca="false">IF(OR(NOT(Tasks[[#This Row],[_IsLeaf]]=1),Tasks[[#This Row],[_Res4]]=""),0,IF(ISNA(MATCH(Tasks[[#This Row],[_Res4]],res_Name,0)),0,N(Tasks[[#This Row],[Duration]])*HoursPerDay*IF(Tasks[[#This Row],[_Res4Units]]="",DefaultUnits,Tasks[[#This Row],[_Res4Units]])))</f>
        <v>0</v>
      </c>
      <c r="DN74" s="45" t="n">
        <f aca="false">IF(Tasks[[#This Row],[_Res4Work]]=0,0,Tasks[[#This Row],[_Res4Work]]*IFERROR(INDEX(res_Rate,MATCH(Tasks[[#This Row],[_Res4]],res_Name,0)),0))</f>
        <v>0</v>
      </c>
      <c r="DO74" s="45" t="n">
        <f aca="false">IF(AND(AND(Tasks[[#This Row],[_IsLeaf]]=1,Tasks[[#This Row],[_LeafTotalWork]]&gt;0),Tasks[[#This Row],[_Res4Work]]&gt;0),Tasks[[#This Row],[_Res4Work]]/(Tasks[[#This Row],[_FinishWorkday]]-Tasks[[#This Row],[_StartWorkday]]+1),0)</f>
        <v>0</v>
      </c>
      <c r="DP74" s="45" t="n">
        <f aca="false">Tasks[[#This Row],[_Res4WorkPerWD]]*MAX(0,Tasks[[#This Row],[_StartWorkday]]-1)</f>
        <v>0</v>
      </c>
      <c r="DQ74" s="45" t="n">
        <f aca="false">Tasks[[#This Row],[_Res4Work]]*Tasks[[#This Row],[_LeafProgress]]</f>
        <v>0</v>
      </c>
      <c r="DR74" s="45" t="n">
        <f aca="false">IF(Tasks[[#This Row],[_LeafTotalCost]]=0,0,Tasks[[#This Row],[_LeafAC]]*Tasks[[#This Row],[_Res4Cost]]/Tasks[[#This Row],[_LeafTotalCost]])</f>
        <v>0</v>
      </c>
      <c r="DS74" s="45" t="n">
        <f aca="false">IF(ISNUMBER(Tasks[[#This Row],[% Complete]]),Tasks[[#This Row],[% Complete]],IF(Tasks[[#This Row],[Stage]]="",0,IFERROR(INDEX(stg_Pct,MATCH(Tasks[[#This Row],[Stage]],stg_Name,0)),0)))</f>
        <v>0</v>
      </c>
      <c r="DT74" s="45" t="n">
        <f aca="false">IF(NOT(Tasks[[#This Row],[_IsLeaf]]=1),0,IF(N(Tasks[[#This Row],[Actual Finish]])&gt;0,1,MIN(1,Tasks[[#This Row],[_Pct]])))</f>
        <v>0</v>
      </c>
      <c r="DU74" s="45" t="n">
        <f aca="false">IF(OR(NOT(Tasks[[#This Row],[_IsLeaf]]=1),Tasks[[#This Row],[_Resource1]]=""),0,IF(ISNA(MATCH(Tasks[[#This Row],[_Resource1]],res_Name,0)),0,N(Tasks[[#This Row],[Duration]])*HoursPerDay*IF(Tasks[[#This Row],[_Units1]]="",DefaultUnits,Tasks[[#This Row],[_Units1]])))</f>
        <v>0</v>
      </c>
      <c r="DV74" s="45" t="n">
        <f aca="false">IF(Tasks[[#This Row],[_LeafWork]]=0,0,Tasks[[#This Row],[_LeafWork]]*IFERROR(INDEX(res_Rate,MATCH(Tasks[[#This Row],[_Resource1]],res_Name,0)),0))</f>
        <v>0</v>
      </c>
      <c r="DW74" s="45" t="n">
        <f aca="false">Tasks[[#This Row],[_LeafWork]]+Tasks[[#This Row],[_Res2Work]]+Tasks[[#This Row],[_Res3Work]]+Tasks[[#This Row],[_Res4Work]]</f>
        <v>0</v>
      </c>
      <c r="DX74" s="45" t="n">
        <f aca="false">Tasks[[#This Row],[_LeafCost]]+Tasks[[#This Row],[_Res2Cost]]+Tasks[[#This Row],[_Res3Cost]]+Tasks[[#This Row],[_Res4Cost]]</f>
        <v>0</v>
      </c>
      <c r="DY74" s="45" t="n">
        <f aca="false">IF(Tasks[[#This Row],[_LeafTotalCost]]=0,Tasks[[#This Row],[_LeafAC]],Tasks[[#This Row],[_LeafAC]]*Tasks[[#This Row],[_LeafCost]]/Tasks[[#This Row],[_LeafTotalCost]])</f>
        <v>0</v>
      </c>
      <c r="DZ7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7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7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7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7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7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7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7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74" s="45" t="n">
        <f aca="false">IF(NOT(Tasks[[#This Row],[_IsLeaf]]=1),0,MAX(_xlfn.MAXIFS(Tasks[_Row],Tasks[_Pred1UID],Tasks[[#This Row],[UID]]),_xlfn.MAXIFS(Tasks[_Row],Tasks[_Pred2UID],Tasks[[#This Row],[UID]]),_xlfn.MAXIFS(Tasks[_Row],Tasks[_Pred3UID],Tasks[[#This Row],[UID]]),_xlfn.MAXIFS(Tasks[_Row],Tasks[_Pred4UID],Tasks[[#This Row],[UID]])))</f>
        <v>0</v>
      </c>
      <c r="EI7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7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74" s="74" t="str">
        <f aca="false">IF(NOT(Tasks[[#This Row],[_IsLeaf]]=1),"",IF(N(Tasks[[#This Row],[Duration]])&lt;=0,Tasks[[#This Row],[_LeafLateFinish]],WORKDAY.INTL(Tasks[[#This Row],[_LeafLateFinish]],-(Tasks[[#This Row],[Duration]]-1),WorkWeek,Holidays)))</f>
        <v/>
      </c>
      <c r="EL7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74" s="73" t="b">
        <f aca="false">AND(Tasks[[#This Row],[_IsLeaf]]=1,Tasks[[#This Row],[_LeafProgress]]&lt;1,N(Tasks[[#This Row],[_LeafTotalSlack]])&lt;=CriticalSlackDays)</f>
        <v>0</v>
      </c>
      <c r="EN74" s="45" t="n">
        <f aca="false">IF(AND(Tasks[[#This Row],[_IsLeaf]]=1,Tasks[[#This Row],[_ConstraintCode]]=1,Tasks[[#This Row],[Mode]]&lt;&gt;"Manual",N(Tasks[[#This Row],[Actual Start]])=0),MAX(0,N(Tasks[[#This Row],[Free Slack]])),0)</f>
        <v>0</v>
      </c>
      <c r="EO74" s="74" t="str">
        <f aca="false">IF(NOT(Tasks[[#This Row],[_IsLeaf]]=1),"",IF(Tasks[[#This Row],[_AlapShift]]=0,Tasks[[#This Row],[_LeafCalcStart]],WORKDAY.INTL(Tasks[[#This Row],[_LeafCalcStart]],Tasks[[#This Row],[_AlapShift]],WorkWeek,Holidays)))</f>
        <v/>
      </c>
      <c r="EP74" s="74" t="str">
        <f aca="false">IF(NOT(Tasks[[#This Row],[_IsLeaf]]=1),"",IF(Tasks[[#This Row],[_AlapShift]]=0,Tasks[[#This Row],[_LeafCalcFinish]],WORKDAY.INTL(Tasks[[#This Row],[_LeafCalcFinish]],Tasks[[#This Row],[_AlapShift]],WorkWeek,Holidays)))</f>
        <v/>
      </c>
      <c r="EQ74" s="74" t="str">
        <f aca="false">IF(NOT(Tasks[[#This Row],[_IsLeaf]]=1),"",IF(Tasks[[#This Row],[_AlapShift]]=0,Tasks[[#This Row],[_LeafFcstStart]],WORKDAY.INTL(Tasks[[#This Row],[_LeafFcstStart]],Tasks[[#This Row],[_AlapShift]],WorkWeek,Holidays)))</f>
        <v/>
      </c>
      <c r="ER74" s="74" t="str">
        <f aca="false">IF(NOT(Tasks[[#This Row],[_IsLeaf]]=1),"",IF(Tasks[[#This Row],[_AlapShift]]=0,Tasks[[#This Row],[_LeafFcstFinish]],WORKDAY.INTL(Tasks[[#This Row],[_LeafFcstFinish]],Tasks[[#This Row],[_AlapShift]],WorkWeek,Holidays)))</f>
        <v/>
      </c>
      <c r="ES74" s="74" t="str">
        <f aca="false">IF(Tasks[[#This Row],[Task Name]]="","",IF(Tasks[[#This Row],[_IsSummary]],MIN(INDEX(Tasks[_ShownCalcStart],Tasks[[#This Row],[_Row]]+1):INDEX(Tasks[_ShownCalcStart],Tasks[[#This Row],[_Row]]+Tasks[[#This Row],[_Descendants]])),Tasks[[#This Row],[_ShownCalcStart]]))</f>
        <v/>
      </c>
      <c r="ET74" s="74" t="str">
        <f aca="false">IF(Tasks[[#This Row],[Task Name]]="","",IF(Tasks[[#This Row],[_IsSummary]],MAX(INDEX(Tasks[_ShownCalcFinish],Tasks[[#This Row],[_Row]]+1):INDEX(Tasks[_ShownCalcFinish],Tasks[[#This Row],[_Row]]+Tasks[[#This Row],[_Descendants]])),Tasks[[#This Row],[_ShownCalcFinish]]))</f>
        <v/>
      </c>
      <c r="EU7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7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7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7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7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7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7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7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7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7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7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7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74" s="45" t="n">
        <f aca="false">IF(AND(Tasks[[#This Row],[_IsLeaf]]=1,Tasks[[#This Row],[_LeafTotalWork]]&gt;0),NETWORKDAYS.INTL(ProjectStart,Tasks[[#This Row],[_ShownFcstStart]],WorkWeek,Holidays),0)</f>
        <v>0</v>
      </c>
      <c r="FH74" s="45" t="n">
        <f aca="false">IF(AND(Tasks[[#This Row],[_IsLeaf]]=1,Tasks[[#This Row],[_LeafTotalWork]]&gt;0),MAX(Tasks[[#This Row],[_StartWorkday]],NETWORKDAYS.INTL(ProjectStart,Tasks[[#This Row],[_ShownFcstFinish]],WorkWeek,Holidays)),0)</f>
        <v>0</v>
      </c>
      <c r="FI74" s="45" t="n">
        <f aca="false">IF(AND(Tasks[[#This Row],[_IsLeaf]]=1,Tasks[[#This Row],[_LeafTotalWork]]&gt;0),Tasks[[#This Row],[_LeafWork]]/(Tasks[[#This Row],[_FinishWorkday]]-Tasks[[#This Row],[_StartWorkday]]+1),0)</f>
        <v>0</v>
      </c>
      <c r="FJ74" s="45" t="n">
        <f aca="false">Tasks[[#This Row],[_WorkPerWorkday]]*(Tasks[[#This Row],[_StartWorkday]]-1)</f>
        <v>-0</v>
      </c>
      <c r="FK74" s="45" t="n">
        <f aca="false">IF(Tasks[[#This Row],[_IsLeaf]]=1,MAX(N(Tasks[[#This Row],[Duration]]),0.1),0)</f>
        <v>0</v>
      </c>
      <c r="FL74" s="45" t="n">
        <f aca="false">Tasks[[#This Row],[_WeightDur]]*Tasks[[#This Row],[_LeafProgress]]</f>
        <v>0</v>
      </c>
      <c r="FM7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74" s="45" t="str">
        <f aca="false">IF(AND(Tasks[[#This Row],[_IsLeaf]]=1,N(Tasks[[#This Row],[Duration]])=0,Tasks[[#This Row],[_LeafProgress]]&lt;1),Tasks[[#This Row],[_ShownFcstFinish]]+Tasks[[#This Row],[_Row]]/100000,"")</f>
        <v/>
      </c>
      <c r="FO7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74" s="45" t="n">
        <f aca="false">IF(NOT(Tasks[[#This Row],[_IsLeaf]]=1),0,IF(Tasks[[#This Row],[Baseline Cost]]="",Tasks[[#This Row],[_LeafTotalCost]],N(Tasks[[#This Row],[Baseline Cost]])))</f>
        <v>0</v>
      </c>
      <c r="FQ74" s="45" t="n">
        <f aca="false">Tasks[[#This Row],[_LeafBudget]]*Tasks[[#This Row],[_PlannedPct]]</f>
        <v>0</v>
      </c>
      <c r="FR74" s="45" t="n">
        <f aca="false">Tasks[[#This Row],[_LeafBudget]]*Tasks[[#This Row],[_LeafProgress]]</f>
        <v>0</v>
      </c>
      <c r="FS74" s="45" t="n">
        <f aca="false">IF(NOT(Tasks[[#This Row],[_IsLeaf]]=1),0,IF(Tasks[[#This Row],[Actual Cost]]="",Tasks[[#This Row],[_LeafTotalCost]]*Tasks[[#This Row],[_LeafProgress]],N(Tasks[[#This Row],[Actual Cost]])))</f>
        <v>0</v>
      </c>
      <c r="FT74" s="45" t="str">
        <f aca="false">IF(Tasks[[#This Row],[Task Name]]="","",LEFT(Tasks[[#This Row],[WBS]],FIND(".",Tasks[[#This Row],[WBS]]&amp;".")-1))</f>
        <v/>
      </c>
      <c r="FU74" s="45" t="str">
        <f aca="false">IF(AND(Tasks[[#This Row],[Task Name]]&lt;&gt;"",Tasks[[#This Row],[_Level]]=1),Tasks[[#This Row],[_Row]],"")</f>
        <v/>
      </c>
      <c r="FV74" s="45" t="str">
        <f aca="false">IF(AND(Tasks[[#This Row],[_IsLeaf]]=1,N(Tasks[[#This Row],[Duration]])=0),Tasks[[#This Row],[Planned Finish]]+Tasks[[#This Row],[_Row]]/100000,"")</f>
        <v/>
      </c>
      <c r="FW74" s="45" t="str">
        <f aca="false">IF(AND(Tasks[[#This Row],[_IsLeaf]]=1,Tasks[[#This Row],[_LeafProgress]]&lt;1,OR(N(Tasks[[#This Row],[Finish Var]])&gt;0,Tasks[[#This Row],[Status]]="Late Start")),MAX(0,Tasks[[#This Row],[Finish Var]])+1-Tasks[[#This Row],[_Row]]/1000000,"")</f>
        <v/>
      </c>
      <c r="FX74" s="45" t="str">
        <f aca="false">IF(AND(Tasks[[#This Row],[_IsLeaf]]=1,N(Tasks[[#This Row],[Actual Start]])=0,Tasks[[#This Row],[_ShownFcstStart]]&gt;=StatusDate,Tasks[[#This Row],[_ShownFcstStart]]&lt;=LookaheadEnd),Tasks[[#This Row],[_ShownFcstStart]]+Tasks[[#This Row],[_Row]]/100000,"")</f>
        <v/>
      </c>
      <c r="FY74" s="45" t="str">
        <f aca="false">IF(AND(Tasks[[#This Row],[_IsLeaf]]=1,Tasks[[#This Row],[_LeafProgress]]&lt;1,Tasks[[#This Row],[_ShownFcstFinish]]&gt;=StatusDate,Tasks[[#This Row],[_ShownFcstFinish]]&lt;=LookaheadEnd),Tasks[[#This Row],[_ShownFcstFinish]]+Tasks[[#This Row],[_Row]]/100000,"")</f>
        <v/>
      </c>
      <c r="FZ74" s="45" t="str">
        <f aca="false">IF(Tasks[[#This Row],[_LeafCritical]],Tasks[[#This Row],[_ShownFcstStart]]+Tasks[[#This Row],[_Row]]/100000,"")</f>
        <v/>
      </c>
      <c r="GA74" s="45" t="n">
        <f aca="false">Tasks[[#This Row],[_LeafWork]]*Tasks[[#This Row],[_LeafProgress]]</f>
        <v>0</v>
      </c>
      <c r="GB74" s="74" t="str">
        <f aca="false">IF(AND(Tasks[[#This Row],[_IsLeaf]]=1,Tasks[[#This Row],[_LeafProgress]]&gt;=1),IF(N(Tasks[[#This Row],[Actual Finish]])&gt;0,Tasks[[#This Row],[Actual Finish]],Tasks[[#This Row],[_ShownFcstFinish]]),"")</f>
        <v/>
      </c>
    </row>
    <row r="75" customFormat="false" ht="15" hidden="false" customHeight="false" outlineLevel="0" collapsed="false">
      <c r="A75" s="67" t="str">
        <f aca="false">IF(Tasks[[#This Row],[Task Name]]="","",COUNTA(Tasks[[#Headers],[Task Name]]:Tasks[[#This Row],[Task Name]])-1)</f>
        <v/>
      </c>
      <c r="B75" s="21" t="n">
        <v>70</v>
      </c>
      <c r="C7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21"/>
      <c r="E75" s="22"/>
      <c r="F75" s="21"/>
      <c r="G75" s="22"/>
      <c r="H75" s="22"/>
      <c r="I75" s="22"/>
      <c r="J75" s="7"/>
      <c r="K75" s="7"/>
      <c r="L75" s="22"/>
      <c r="M75" s="58" t="str">
        <f aca="false">IF(Tasks[[#This Row],[Task Name]]="","",IF(Tasks[[#This Row],[_IsSummary]],MIN(INDEX(Tasks[_ShownFcstStart],Tasks[[#This Row],[_Row]]+1):INDEX(Tasks[_ShownFcstStart],Tasks[[#This Row],[_Row]]+Tasks[[#This Row],[_Descendants]])),Tasks[[#This Row],[_ShownFcstStart]]))</f>
        <v/>
      </c>
      <c r="N75" s="58" t="str">
        <f aca="false">IF(Tasks[[#This Row],[Task Name]]="","",IF(Tasks[[#This Row],[_IsSummary]],MAX(INDEX(Tasks[_ShownFcstFinish],Tasks[[#This Row],[_Row]]+1):INDEX(Tasks[_ShownFcstFinish],Tasks[[#This Row],[_Row]]+Tasks[[#This Row],[_Descendants]])),Tasks[[#This Row],[_ShownFcstFinish]]))</f>
        <v/>
      </c>
      <c r="O75" s="20" t="str">
        <f aca="false">IF(Tasks[[#This Row],[Task Name]]="","",IF(Tasks[[#This Row],[Progress]]&gt;=1,"Complete",IF(OR(N(Tasks[[#This Row],[Actual Start]])&gt;0,Tasks[[#This Row],[Progress]]&gt;0),IF(Tasks[[#This Row],[Finish Var]]&gt;0,"Behind","In Progress"),IF(Tasks[[#This Row],[Planned Start]]&lt;StatusDate,"Late Start","Not Started"))))</f>
        <v/>
      </c>
      <c r="P75" s="20" t="str">
        <f aca="false">IF(Tasks[[#This Row],[Task Name]]="","",IF(IF(Tasks[[#This Row],[_IsSummary]],COUNTIF(INDEX(Tasks[_LeafCritical],Tasks[[#This Row],[_Row]]+1):INDEX(Tasks[_LeafCritical],Tasks[[#This Row],[_Row]]+Tasks[[#This Row],[_Descendants]]),TRUE())&gt;0,Tasks[[#This Row],[_LeafCritical]]),"Yes",""))</f>
        <v/>
      </c>
      <c r="Q7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75" s="67" t="str">
        <f aca="false">IF(Tasks[[#This Row],[Task Name]]="","",IF(Tasks[[#This Row],[_Level]]&lt;=OutlineShowLevel,"Yes","No"))</f>
        <v/>
      </c>
      <c r="S75" s="7"/>
      <c r="T75" s="21"/>
      <c r="U75" s="22"/>
      <c r="V75" s="7"/>
      <c r="W75" s="67" t="str">
        <f aca="false">IF(Tasks[[#This Row],[Task Name]]="","",IF(Tasks[[#This Row],[Finish]]&gt;=Tasks[[#This Row],[Planned Finish]],NETWORKDAYS.INTL(Tasks[[#This Row],[Planned Finish]],Tasks[[#This Row],[Finish]],WorkWeek,Holidays)-1,1-NETWORKDAYS.INTL(Tasks[[#This Row],[Finish]],Tasks[[#This Row],[Planned Finish]],WorkWeek,Holidays)))</f>
        <v/>
      </c>
      <c r="X75" s="58" t="str">
        <f aca="false">IF(Tasks[[#This Row],[Task Name]]="","",IF(N(Tasks[[#This Row],[Baseline Start]])&gt;0,Tasks[[#This Row],[Baseline Start]],Tasks[[#This Row],[_CalcStart]]))</f>
        <v/>
      </c>
      <c r="Y75" s="58" t="str">
        <f aca="false">IF(Tasks[[#This Row],[Task Name]]="","",IF(N(Tasks[[#This Row],[Baseline Finish]])&gt;0,Tasks[[#This Row],[Baseline Finish]],Tasks[[#This Row],[_CalcFinish]]))</f>
        <v/>
      </c>
      <c r="Z75" s="67" t="str">
        <f aca="false">IF(Tasks[[#This Row],[Task Name]]="","",IF(Tasks[[#This Row],[Start]]&gt;=Tasks[[#This Row],[Planned Start]],NETWORKDAYS.INTL(Tasks[[#This Row],[Planned Start]],Tasks[[#This Row],[Start]],WorkWeek,Holidays)-1,1-NETWORKDAYS.INTL(Tasks[[#This Row],[Start]],Tasks[[#This Row],[Planned Start]],WorkWeek,Holidays)))</f>
        <v/>
      </c>
      <c r="AA75" s="58" t="str">
        <f aca="false">IF(Tasks[[#This Row],[Task Name]]="","",IF(Tasks[[#This Row],[_IsSummary]],MIN(INDEX(Tasks[_LeafLateStart],Tasks[[#This Row],[_Row]]+1):INDEX(Tasks[_LeafLateStart],Tasks[[#This Row],[_Row]]+Tasks[[#This Row],[_Descendants]])),Tasks[[#This Row],[_LeafLateStart]]))</f>
        <v/>
      </c>
      <c r="AB75" s="58" t="str">
        <f aca="false">IF(Tasks[[#This Row],[Task Name]]="","",IF(Tasks[[#This Row],[_IsSummary]],MAX(INDEX(Tasks[_LeafLateFinish],Tasks[[#This Row],[_Row]]+1):INDEX(Tasks[_LeafLateFinish],Tasks[[#This Row],[_Row]]+Tasks[[#This Row],[_Descendants]])),Tasks[[#This Row],[_LeafLateFinish]]))</f>
        <v/>
      </c>
      <c r="AC75" s="67" t="str">
        <f aca="false">IF(Tasks[[#This Row],[Task Name]]="","",IF(Tasks[[#This Row],[_IsSummary]],MIN(INDEX(Tasks[_LeafTotalSlack],Tasks[[#This Row],[_Row]]+1):INDEX(Tasks[_LeafTotalSlack],Tasks[[#This Row],[_Row]]+Tasks[[#This Row],[_Descendants]])),Tasks[[#This Row],[_LeafTotalSlack]]))</f>
        <v/>
      </c>
      <c r="AD7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7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7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75" s="60"/>
      <c r="AH7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7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75" s="69" t="str">
        <f aca="false">IF(Tasks[[#This Row],[Task Name]]="","",IF(Tasks[[#This Row],[_IsSummary]],SUM(INDEX(Tasks[_LeafTotalWork],Tasks[[#This Row],[_Row]]+1):INDEX(Tasks[_LeafTotalWork],Tasks[[#This Row],[_Row]]+Tasks[[#This Row],[_Descendants]])),Tasks[[#This Row],[_LeafTotalWork]]))</f>
        <v/>
      </c>
      <c r="AK7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75" s="70" t="str">
        <f aca="false">IF(Tasks[[#This Row],[Task Name]]="","",IF(Tasks[[#This Row],[_IsSummary]],SUM(INDEX(Tasks[_LeafTotalCost],Tasks[[#This Row],[_Row]]+1):INDEX(Tasks[_LeafTotalCost],Tasks[[#This Row],[_Row]]+Tasks[[#This Row],[_Descendants]])),Tasks[[#This Row],[_LeafTotalCost]]))</f>
        <v/>
      </c>
      <c r="AM75" s="71"/>
      <c r="AN75" s="20" t="str">
        <f aca="false">IF(OR(Tasks[[#This Row],[Task Name]]="",Tasks[[#This Row],[Baseline Duration]]=""),"",Tasks[[#This Row],[BL Source Duration]]-N(Tasks[[#This Row],[Baseline Duration]]))</f>
        <v/>
      </c>
      <c r="AO75" s="69" t="str">
        <f aca="false">IF(OR(Tasks[[#This Row],[Task Name]]="",Tasks[[#This Row],[Baseline Work]]=""),"",Tasks[[#This Row],[Work]]-N(Tasks[[#This Row],[Baseline Work]]))</f>
        <v/>
      </c>
      <c r="AP75" s="70" t="str">
        <f aca="false">IF(OR(Tasks[[#This Row],[Task Name]]="",Tasks[[#This Row],[Baseline Cost]]=""),"",Tasks[[#This Row],[Cost]]-N(Tasks[[#This Row],[Baseline Cost]]))</f>
        <v/>
      </c>
      <c r="AQ75" s="58" t="str">
        <f aca="false">IF(Tasks[[#This Row],[Task Name]]="","",Tasks[[#This Row],[Start]])</f>
        <v/>
      </c>
      <c r="AR75" s="58" t="str">
        <f aca="false">IF(Tasks[[#This Row],[Task Name]]="","",Tasks[[#This Row],[Finish]])</f>
        <v/>
      </c>
      <c r="AS75" s="67" t="str">
        <f aca="false">IF(Tasks[[#This Row],[Task Name]]="","",IF(Tasks[[#This Row],[_IsSummary]],NETWORKDAYS.INTL(Tasks[[#This Row],[Start]],Tasks[[#This Row],[Finish]],WorkWeek,Holidays),N(Tasks[[#This Row],[Duration]])))</f>
        <v/>
      </c>
      <c r="AT75" s="69" t="str">
        <f aca="false">IF(Tasks[[#This Row],[Task Name]]="","",Tasks[[#This Row],[Work]])</f>
        <v/>
      </c>
      <c r="AU75" s="70" t="str">
        <f aca="false">IF(Tasks[[#This Row],[Task Name]]="","",Tasks[[#This Row],[Cost]])</f>
        <v/>
      </c>
      <c r="AV75" s="7"/>
      <c r="AW75" s="7"/>
      <c r="AX75" s="21"/>
      <c r="AY75" s="72"/>
      <c r="AZ75" s="71"/>
      <c r="BA75" s="70" t="str">
        <f aca="false">IF(Tasks[[#This Row],[Task Name]]="","",IF(Tasks[[#This Row],[_IsSummary]],SUM(INDEX(Tasks[_LeafEV],Tasks[[#This Row],[_Row]]+1):INDEX(Tasks[_LeafEV],Tasks[[#This Row],[_Row]]+Tasks[[#This Row],[_Descendants]])),Tasks[[#This Row],[_LeafEV]]))</f>
        <v/>
      </c>
      <c r="BB75" s="70" t="str">
        <f aca="false">IF(Tasks[[#This Row],[Task Name]]="","",IF(Tasks[[#This Row],[_IsSummary]],SUM(INDEX(Tasks[_LeafBudget],Tasks[[#This Row],[_Row]]+1):INDEX(Tasks[_LeafBudget],Tasks[[#This Row],[_Row]]+Tasks[[#This Row],[_Descendants]])),Tasks[[#This Row],[_LeafBudget]]))</f>
        <v/>
      </c>
      <c r="BC75" s="70" t="str">
        <f aca="false">IF(Tasks[[#This Row],[Task Name]]="","",IF(Tasks[[#This Row],[_IsSummary]],SUM(INDEX(Tasks[_LeafPV],Tasks[[#This Row],[_Row]]+1):INDEX(Tasks[_LeafPV],Tasks[[#This Row],[_Row]]+Tasks[[#This Row],[_Descendants]])),Tasks[[#This Row],[_LeafPV]]))</f>
        <v/>
      </c>
      <c r="BD75" s="70" t="str">
        <f aca="false">IF(Tasks[[#This Row],[Task Name]]="","",IF(Tasks[[#This Row],[_IsSummary]],SUM(INDEX(Tasks[_LeafAC],Tasks[[#This Row],[_Row]]+1):INDEX(Tasks[_LeafAC],Tasks[[#This Row],[_Row]]+Tasks[[#This Row],[_Descendants]])),Tasks[[#This Row],[_LeafAC]]))</f>
        <v/>
      </c>
      <c r="BE75" s="45" t="str">
        <f aca="false">IF(Tasks[[#This Row],[Task Name]]="","",MAX(1,N(Tasks[[#This Row],[Level]])))</f>
        <v/>
      </c>
      <c r="BF75" s="45" t="n">
        <f aca="false">ROW()-ROW(Tasks[[#Headers],[ID]])</f>
        <v>70</v>
      </c>
      <c r="BG75" s="45" t="n">
        <f aca="false">IF(OR(Tasks[[#This Row],[Task Name]]="",Tasks[[#This Row],[_Level]]&lt;=1),0,IFERROR(LOOKUP(2,1/(Tasks[[#Headers],[_Level]]:Tasks[[#This Row],[_Level]]=Tasks[[#This Row],[_Level]]-1),ROW(Tasks[[#Headers],[_Level]]:Tasks[[#This Row],[_Level]])),0))</f>
        <v>0</v>
      </c>
      <c r="BH75" s="45" t="n">
        <f aca="false">IFERROR(N(INDEX(Tasks[_Level],Tasks[[#This Row],[_Row]]+1)),0)</f>
        <v>0</v>
      </c>
      <c r="BI75" s="73" t="b">
        <f aca="false">AND(Tasks[[#This Row],[Task Name]]&lt;&gt;"",Tasks[[#This Row],[_NextLevel]]&gt;Tasks[[#This Row],[_Level]])</f>
        <v>0</v>
      </c>
      <c r="BJ75" s="45" t="n">
        <f aca="false">IF(Tasks[[#This Row],[_IsSummary]],COUNTIF(Tasks[WBS],Tasks[[#This Row],[WBS]]&amp;".*"),0)</f>
        <v>0</v>
      </c>
      <c r="BK75" s="45" t="n">
        <f aca="false">IF(AND(Tasks[[#This Row],[Task Name]]&lt;&gt;"",NOT(Tasks[[#This Row],[_IsSummary]])),1,0)</f>
        <v>0</v>
      </c>
      <c r="BL75" s="45" t="n">
        <f aca="false">IF(N(Tasks[[#This Row],[_Pred1UID]])=0,0,IFERROR(MATCH(Tasks[[#This Row],[_Pred1UID]],Tasks[UID],0),-1))</f>
        <v>0</v>
      </c>
      <c r="BM75" s="45" t="n">
        <f aca="false">IF(N(Tasks[[#This Row],[_Pred2UID]])=0,0,IFERROR(MATCH(Tasks[[#This Row],[_Pred2UID]],Tasks[UID],0),-1))</f>
        <v>0</v>
      </c>
      <c r="BN75" s="45" t="n">
        <f aca="false">IF(N(Tasks[[#This Row],[_Pred3UID]])=0,0,IFERROR(MATCH(Tasks[[#This Row],[_Pred3UID]],Tasks[UID],0),-1))</f>
        <v>0</v>
      </c>
      <c r="BO75" s="45" t="n">
        <f aca="false">IF(N(Tasks[[#This Row],[_Pred4UID]])=0,0,IFERROR(MATCH(Tasks[[#This Row],[_Pred4UID]],Tasks[UID],0),-1))</f>
        <v>0</v>
      </c>
      <c r="BP7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7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75" s="74" t="n">
        <f aca="false">IF(OR(Tasks[[#This Row],[_ConstraintCode]]=2,Tasks[[#This Row],[_ConstraintCode]]=3,Tasks[[#This Row],[_ConstraintCode]]=4,Tasks[[#This Row],[_ConstraintCode]]=6),Tasks[[#This Row],[_ConstraintStart]],0)</f>
        <v>0</v>
      </c>
      <c r="BS75" s="74" t="n">
        <f aca="false">IF(OR(Tasks[[#This Row],[_ConstraintCode]]=2,Tasks[[#This Row],[_ConstraintCode]]=3,Tasks[[#This Row],[_ConstraintCode]]=5,Tasks[[#This Row],[_ConstraintCode]]=7),Tasks[[#This Row],[_ConstraintStart]],2958465)</f>
        <v>2958465</v>
      </c>
      <c r="BT7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75" s="74" t="str">
        <f aca="false">IF(NOT(Tasks[[#This Row],[_IsLeaf]]=1),"",IF(N(Tasks[[#This Row],[Duration]])&lt;=0,Tasks[[#This Row],[_LeafCalcStart]],WORKDAY.INTL(Tasks[[#This Row],[_LeafCalcStart]],Tasks[[#This Row],[Duration]]-1,WorkWeek,Holidays)))</f>
        <v/>
      </c>
      <c r="BV7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7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75" s="45" t="str">
        <f aca="false">IF(Tasks[[#This Row],[Predecessors]]="","",TRIM(MID(SUBSTITUTE(SUBSTITUTE(SUBSTITUTE(UPPER(Tasks[[#This Row],[Predecessors]]),";",",")," ",""),",",REPT(" ",99)),1,99)))</f>
        <v/>
      </c>
      <c r="BY75" s="45" t="str">
        <f aca="false">IF(Tasks[[#This Row],[_Pred1Text]]="","",IFERROR(VALUE(LEFT(Tasks[[#This Row],[_Pred1Text]],MIN(FIND("F",Tasks[[#This Row],[_Pred1Text]]&amp;"F"),FIND("S",Tasks[[#This Row],[_Pred1Text]]&amp;"S"),FIND("+",Tasks[[#This Row],[_Pred1Text]]&amp;"+"),FIND("-",Tasks[[#This Row],[_Pred1Text]]&amp;"-"))-1)),""))</f>
        <v/>
      </c>
      <c r="BZ7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7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75" s="45" t="str">
        <f aca="false">IF(Tasks[[#This Row],[_Pred1Text]]="","",TRIM(MID(SUBSTITUTE(SUBSTITUTE(SUBSTITUTE(UPPER(Tasks[[#This Row],[Predecessors]]),";",",")," ",""),",",REPT(" ",99)),100,99)))</f>
        <v/>
      </c>
      <c r="CC75" s="45" t="str">
        <f aca="false">IF(Tasks[[#This Row],[_Pred2Text]]="","",IFERROR(VALUE(LEFT(Tasks[[#This Row],[_Pred2Text]],MIN(FIND("F",Tasks[[#This Row],[_Pred2Text]]&amp;"F"),FIND("S",Tasks[[#This Row],[_Pred2Text]]&amp;"S"),FIND("+",Tasks[[#This Row],[_Pred2Text]]&amp;"+"),FIND("-",Tasks[[#This Row],[_Pred2Text]]&amp;"-"))-1)),""))</f>
        <v/>
      </c>
      <c r="CD7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7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75" s="45" t="str">
        <f aca="false">IF(Tasks[[#This Row],[_Pred2Text]]="","",TRIM(MID(SUBSTITUTE(SUBSTITUTE(SUBSTITUTE(UPPER(Tasks[[#This Row],[Predecessors]]),";",",")," ",""),",",REPT(" ",99)),199,99)))</f>
        <v/>
      </c>
      <c r="CG75" s="45" t="str">
        <f aca="false">IF(Tasks[[#This Row],[_Pred3Text]]="","",IFERROR(VALUE(LEFT(Tasks[[#This Row],[_Pred3Text]],MIN(FIND("F",Tasks[[#This Row],[_Pred3Text]]&amp;"F"),FIND("S",Tasks[[#This Row],[_Pred3Text]]&amp;"S"),FIND("+",Tasks[[#This Row],[_Pred3Text]]&amp;"+"),FIND("-",Tasks[[#This Row],[_Pred3Text]]&amp;"-"))-1)),""))</f>
        <v/>
      </c>
      <c r="CH7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7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75" s="45" t="str">
        <f aca="false">IF(Tasks[[#This Row],[_Pred3Text]]="","",TRIM(MID(SUBSTITUTE(SUBSTITUTE(SUBSTITUTE(UPPER(Tasks[[#This Row],[Predecessors]]),";",",")," ",""),",",REPT(" ",99)),298,99)))</f>
        <v/>
      </c>
      <c r="CK75" s="45" t="str">
        <f aca="false">IF(Tasks[[#This Row],[_Pred4Text]]="","",IFERROR(VALUE(LEFT(Tasks[[#This Row],[_Pred4Text]],MIN(FIND("F",Tasks[[#This Row],[_Pred4Text]]&amp;"F"),FIND("S",Tasks[[#This Row],[_Pred4Text]]&amp;"S"),FIND("+",Tasks[[#This Row],[_Pred4Text]]&amp;"+"),FIND("-",Tasks[[#This Row],[_Pred4Text]]&amp;"-"))-1)),""))</f>
        <v/>
      </c>
      <c r="CL7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7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75" s="45" t="str">
        <f aca="false">IF(OR(Tasks[[#This Row],[Task Name]]="",Tasks[[#This Row],[Resources]]=""),"",TRIM(MID(SUBSTITUTE(Tasks[[#This Row],[Resources]],",",REPT(" ",99)),1,99)))</f>
        <v/>
      </c>
      <c r="CO75" s="45" t="str">
        <f aca="false">IF(Tasks[[#This Row],[_Res1Text]]="","",TRIM(MID(SUBSTITUTE(Tasks[[#This Row],[Resources]],",",REPT(" ",99)),100,99)))</f>
        <v/>
      </c>
      <c r="CP75" s="45" t="str">
        <f aca="false">IF(Tasks[[#This Row],[_Res2Text]]="","",TRIM(MID(SUBSTITUTE(Tasks[[#This Row],[Resources]],",",REPT(" ",99)),199,99)))</f>
        <v/>
      </c>
      <c r="CQ75" s="45" t="str">
        <f aca="false">IF(Tasks[[#This Row],[_Res3Text]]="","",TRIM(MID(SUBSTITUTE(Tasks[[#This Row],[Resources]],",",REPT(" ",99)),298,99)))</f>
        <v/>
      </c>
      <c r="CR7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7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5" s="45" t="n">
        <f aca="false">IF(NOT(Tasks[[#This Row],[_IsLeaf]]=1),0,(Tasks[[#This Row],[_Resource1]]&lt;&gt;"")+(Tasks[[#This Row],[_Res2]]&lt;&gt;"")+(Tasks[[#This Row],[_Res3]]&lt;&gt;"")+(Tasks[[#This Row],[_Res4]]&lt;&gt;""))</f>
        <v>0</v>
      </c>
      <c r="CU7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7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5" s="45" t="n">
        <f aca="false">IF(OR(NOT(Tasks[[#This Row],[_IsLeaf]]=1),Tasks[[#This Row],[_Res2]]=""),0,IF(ISNA(MATCH(Tasks[[#This Row],[_Res2]],res_Name,0)),0,N(Tasks[[#This Row],[Duration]])*HoursPerDay*IF(Tasks[[#This Row],[_Res2Units]]="",DefaultUnits,Tasks[[#This Row],[_Res2Units]])))</f>
        <v>0</v>
      </c>
      <c r="CX75" s="45" t="n">
        <f aca="false">IF(Tasks[[#This Row],[_Res2Work]]=0,0,Tasks[[#This Row],[_Res2Work]]*IFERROR(INDEX(res_Rate,MATCH(Tasks[[#This Row],[_Res2]],res_Name,0)),0))</f>
        <v>0</v>
      </c>
      <c r="CY75" s="45" t="n">
        <f aca="false">IF(AND(AND(Tasks[[#This Row],[_IsLeaf]]=1,Tasks[[#This Row],[_LeafTotalWork]]&gt;0),Tasks[[#This Row],[_Res2Work]]&gt;0),Tasks[[#This Row],[_Res2Work]]/(Tasks[[#This Row],[_FinishWorkday]]-Tasks[[#This Row],[_StartWorkday]]+1),0)</f>
        <v>0</v>
      </c>
      <c r="CZ75" s="45" t="n">
        <f aca="false">Tasks[[#This Row],[_Res2WorkPerWD]]*MAX(0,Tasks[[#This Row],[_StartWorkday]]-1)</f>
        <v>0</v>
      </c>
      <c r="DA75" s="45" t="n">
        <f aca="false">Tasks[[#This Row],[_Res2Work]]*Tasks[[#This Row],[_LeafProgress]]</f>
        <v>0</v>
      </c>
      <c r="DB75" s="45" t="n">
        <f aca="false">IF(Tasks[[#This Row],[_LeafTotalCost]]=0,0,Tasks[[#This Row],[_LeafAC]]*Tasks[[#This Row],[_Res2Cost]]/Tasks[[#This Row],[_LeafTotalCost]])</f>
        <v>0</v>
      </c>
      <c r="DC7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7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75" s="45" t="n">
        <f aca="false">IF(OR(NOT(Tasks[[#This Row],[_IsLeaf]]=1),Tasks[[#This Row],[_Res3]]=""),0,IF(ISNA(MATCH(Tasks[[#This Row],[_Res3]],res_Name,0)),0,N(Tasks[[#This Row],[Duration]])*HoursPerDay*IF(Tasks[[#This Row],[_Res3Units]]="",DefaultUnits,Tasks[[#This Row],[_Res3Units]])))</f>
        <v>0</v>
      </c>
      <c r="DF75" s="45" t="n">
        <f aca="false">IF(Tasks[[#This Row],[_Res3Work]]=0,0,Tasks[[#This Row],[_Res3Work]]*IFERROR(INDEX(res_Rate,MATCH(Tasks[[#This Row],[_Res3]],res_Name,0)),0))</f>
        <v>0</v>
      </c>
      <c r="DG75" s="45" t="n">
        <f aca="false">IF(AND(AND(Tasks[[#This Row],[_IsLeaf]]=1,Tasks[[#This Row],[_LeafTotalWork]]&gt;0),Tasks[[#This Row],[_Res3Work]]&gt;0),Tasks[[#This Row],[_Res3Work]]/(Tasks[[#This Row],[_FinishWorkday]]-Tasks[[#This Row],[_StartWorkday]]+1),0)</f>
        <v>0</v>
      </c>
      <c r="DH75" s="45" t="n">
        <f aca="false">Tasks[[#This Row],[_Res3WorkPerWD]]*MAX(0,Tasks[[#This Row],[_StartWorkday]]-1)</f>
        <v>0</v>
      </c>
      <c r="DI75" s="45" t="n">
        <f aca="false">Tasks[[#This Row],[_Res3Work]]*Tasks[[#This Row],[_LeafProgress]]</f>
        <v>0</v>
      </c>
      <c r="DJ75" s="45" t="n">
        <f aca="false">IF(Tasks[[#This Row],[_LeafTotalCost]]=0,0,Tasks[[#This Row],[_LeafAC]]*Tasks[[#This Row],[_Res3Cost]]/Tasks[[#This Row],[_LeafTotalCost]])</f>
        <v>0</v>
      </c>
      <c r="DK7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7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75" s="45" t="n">
        <f aca="false">IF(OR(NOT(Tasks[[#This Row],[_IsLeaf]]=1),Tasks[[#This Row],[_Res4]]=""),0,IF(ISNA(MATCH(Tasks[[#This Row],[_Res4]],res_Name,0)),0,N(Tasks[[#This Row],[Duration]])*HoursPerDay*IF(Tasks[[#This Row],[_Res4Units]]="",DefaultUnits,Tasks[[#This Row],[_Res4Units]])))</f>
        <v>0</v>
      </c>
      <c r="DN75" s="45" t="n">
        <f aca="false">IF(Tasks[[#This Row],[_Res4Work]]=0,0,Tasks[[#This Row],[_Res4Work]]*IFERROR(INDEX(res_Rate,MATCH(Tasks[[#This Row],[_Res4]],res_Name,0)),0))</f>
        <v>0</v>
      </c>
      <c r="DO75" s="45" t="n">
        <f aca="false">IF(AND(AND(Tasks[[#This Row],[_IsLeaf]]=1,Tasks[[#This Row],[_LeafTotalWork]]&gt;0),Tasks[[#This Row],[_Res4Work]]&gt;0),Tasks[[#This Row],[_Res4Work]]/(Tasks[[#This Row],[_FinishWorkday]]-Tasks[[#This Row],[_StartWorkday]]+1),0)</f>
        <v>0</v>
      </c>
      <c r="DP75" s="45" t="n">
        <f aca="false">Tasks[[#This Row],[_Res4WorkPerWD]]*MAX(0,Tasks[[#This Row],[_StartWorkday]]-1)</f>
        <v>0</v>
      </c>
      <c r="DQ75" s="45" t="n">
        <f aca="false">Tasks[[#This Row],[_Res4Work]]*Tasks[[#This Row],[_LeafProgress]]</f>
        <v>0</v>
      </c>
      <c r="DR75" s="45" t="n">
        <f aca="false">IF(Tasks[[#This Row],[_LeafTotalCost]]=0,0,Tasks[[#This Row],[_LeafAC]]*Tasks[[#This Row],[_Res4Cost]]/Tasks[[#This Row],[_LeafTotalCost]])</f>
        <v>0</v>
      </c>
      <c r="DS75" s="45" t="n">
        <f aca="false">IF(ISNUMBER(Tasks[[#This Row],[% Complete]]),Tasks[[#This Row],[% Complete]],IF(Tasks[[#This Row],[Stage]]="",0,IFERROR(INDEX(stg_Pct,MATCH(Tasks[[#This Row],[Stage]],stg_Name,0)),0)))</f>
        <v>0</v>
      </c>
      <c r="DT75" s="45" t="n">
        <f aca="false">IF(NOT(Tasks[[#This Row],[_IsLeaf]]=1),0,IF(N(Tasks[[#This Row],[Actual Finish]])&gt;0,1,MIN(1,Tasks[[#This Row],[_Pct]])))</f>
        <v>0</v>
      </c>
      <c r="DU75" s="45" t="n">
        <f aca="false">IF(OR(NOT(Tasks[[#This Row],[_IsLeaf]]=1),Tasks[[#This Row],[_Resource1]]=""),0,IF(ISNA(MATCH(Tasks[[#This Row],[_Resource1]],res_Name,0)),0,N(Tasks[[#This Row],[Duration]])*HoursPerDay*IF(Tasks[[#This Row],[_Units1]]="",DefaultUnits,Tasks[[#This Row],[_Units1]])))</f>
        <v>0</v>
      </c>
      <c r="DV75" s="45" t="n">
        <f aca="false">IF(Tasks[[#This Row],[_LeafWork]]=0,0,Tasks[[#This Row],[_LeafWork]]*IFERROR(INDEX(res_Rate,MATCH(Tasks[[#This Row],[_Resource1]],res_Name,0)),0))</f>
        <v>0</v>
      </c>
      <c r="DW75" s="45" t="n">
        <f aca="false">Tasks[[#This Row],[_LeafWork]]+Tasks[[#This Row],[_Res2Work]]+Tasks[[#This Row],[_Res3Work]]+Tasks[[#This Row],[_Res4Work]]</f>
        <v>0</v>
      </c>
      <c r="DX75" s="45" t="n">
        <f aca="false">Tasks[[#This Row],[_LeafCost]]+Tasks[[#This Row],[_Res2Cost]]+Tasks[[#This Row],[_Res3Cost]]+Tasks[[#This Row],[_Res4Cost]]</f>
        <v>0</v>
      </c>
      <c r="DY75" s="45" t="n">
        <f aca="false">IF(Tasks[[#This Row],[_LeafTotalCost]]=0,Tasks[[#This Row],[_LeafAC]],Tasks[[#This Row],[_LeafAC]]*Tasks[[#This Row],[_LeafCost]]/Tasks[[#This Row],[_LeafTotalCost]])</f>
        <v>0</v>
      </c>
      <c r="DZ7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7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7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7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7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7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7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7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75" s="45" t="n">
        <f aca="false">IF(NOT(Tasks[[#This Row],[_IsLeaf]]=1),0,MAX(_xlfn.MAXIFS(Tasks[_Row],Tasks[_Pred1UID],Tasks[[#This Row],[UID]]),_xlfn.MAXIFS(Tasks[_Row],Tasks[_Pred2UID],Tasks[[#This Row],[UID]]),_xlfn.MAXIFS(Tasks[_Row],Tasks[_Pred3UID],Tasks[[#This Row],[UID]]),_xlfn.MAXIFS(Tasks[_Row],Tasks[_Pred4UID],Tasks[[#This Row],[UID]])))</f>
        <v>0</v>
      </c>
      <c r="EI7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7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75" s="74" t="str">
        <f aca="false">IF(NOT(Tasks[[#This Row],[_IsLeaf]]=1),"",IF(N(Tasks[[#This Row],[Duration]])&lt;=0,Tasks[[#This Row],[_LeafLateFinish]],WORKDAY.INTL(Tasks[[#This Row],[_LeafLateFinish]],-(Tasks[[#This Row],[Duration]]-1),WorkWeek,Holidays)))</f>
        <v/>
      </c>
      <c r="EL7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75" s="73" t="b">
        <f aca="false">AND(Tasks[[#This Row],[_IsLeaf]]=1,Tasks[[#This Row],[_LeafProgress]]&lt;1,N(Tasks[[#This Row],[_LeafTotalSlack]])&lt;=CriticalSlackDays)</f>
        <v>0</v>
      </c>
      <c r="EN75" s="45" t="n">
        <f aca="false">IF(AND(Tasks[[#This Row],[_IsLeaf]]=1,Tasks[[#This Row],[_ConstraintCode]]=1,Tasks[[#This Row],[Mode]]&lt;&gt;"Manual",N(Tasks[[#This Row],[Actual Start]])=0),MAX(0,N(Tasks[[#This Row],[Free Slack]])),0)</f>
        <v>0</v>
      </c>
      <c r="EO75" s="74" t="str">
        <f aca="false">IF(NOT(Tasks[[#This Row],[_IsLeaf]]=1),"",IF(Tasks[[#This Row],[_AlapShift]]=0,Tasks[[#This Row],[_LeafCalcStart]],WORKDAY.INTL(Tasks[[#This Row],[_LeafCalcStart]],Tasks[[#This Row],[_AlapShift]],WorkWeek,Holidays)))</f>
        <v/>
      </c>
      <c r="EP75" s="74" t="str">
        <f aca="false">IF(NOT(Tasks[[#This Row],[_IsLeaf]]=1),"",IF(Tasks[[#This Row],[_AlapShift]]=0,Tasks[[#This Row],[_LeafCalcFinish]],WORKDAY.INTL(Tasks[[#This Row],[_LeafCalcFinish]],Tasks[[#This Row],[_AlapShift]],WorkWeek,Holidays)))</f>
        <v/>
      </c>
      <c r="EQ75" s="74" t="str">
        <f aca="false">IF(NOT(Tasks[[#This Row],[_IsLeaf]]=1),"",IF(Tasks[[#This Row],[_AlapShift]]=0,Tasks[[#This Row],[_LeafFcstStart]],WORKDAY.INTL(Tasks[[#This Row],[_LeafFcstStart]],Tasks[[#This Row],[_AlapShift]],WorkWeek,Holidays)))</f>
        <v/>
      </c>
      <c r="ER75" s="74" t="str">
        <f aca="false">IF(NOT(Tasks[[#This Row],[_IsLeaf]]=1),"",IF(Tasks[[#This Row],[_AlapShift]]=0,Tasks[[#This Row],[_LeafFcstFinish]],WORKDAY.INTL(Tasks[[#This Row],[_LeafFcstFinish]],Tasks[[#This Row],[_AlapShift]],WorkWeek,Holidays)))</f>
        <v/>
      </c>
      <c r="ES75" s="74" t="str">
        <f aca="false">IF(Tasks[[#This Row],[Task Name]]="","",IF(Tasks[[#This Row],[_IsSummary]],MIN(INDEX(Tasks[_ShownCalcStart],Tasks[[#This Row],[_Row]]+1):INDEX(Tasks[_ShownCalcStart],Tasks[[#This Row],[_Row]]+Tasks[[#This Row],[_Descendants]])),Tasks[[#This Row],[_ShownCalcStart]]))</f>
        <v/>
      </c>
      <c r="ET75" s="74" t="str">
        <f aca="false">IF(Tasks[[#This Row],[Task Name]]="","",IF(Tasks[[#This Row],[_IsSummary]],MAX(INDEX(Tasks[_ShownCalcFinish],Tasks[[#This Row],[_Row]]+1):INDEX(Tasks[_ShownCalcFinish],Tasks[[#This Row],[_Row]]+Tasks[[#This Row],[_Descendants]])),Tasks[[#This Row],[_ShownCalcFinish]]))</f>
        <v/>
      </c>
      <c r="EU7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7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7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7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7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7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7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7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7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7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7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7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75" s="45" t="n">
        <f aca="false">IF(AND(Tasks[[#This Row],[_IsLeaf]]=1,Tasks[[#This Row],[_LeafTotalWork]]&gt;0),NETWORKDAYS.INTL(ProjectStart,Tasks[[#This Row],[_ShownFcstStart]],WorkWeek,Holidays),0)</f>
        <v>0</v>
      </c>
      <c r="FH75" s="45" t="n">
        <f aca="false">IF(AND(Tasks[[#This Row],[_IsLeaf]]=1,Tasks[[#This Row],[_LeafTotalWork]]&gt;0),MAX(Tasks[[#This Row],[_StartWorkday]],NETWORKDAYS.INTL(ProjectStart,Tasks[[#This Row],[_ShownFcstFinish]],WorkWeek,Holidays)),0)</f>
        <v>0</v>
      </c>
      <c r="FI75" s="45" t="n">
        <f aca="false">IF(AND(Tasks[[#This Row],[_IsLeaf]]=1,Tasks[[#This Row],[_LeafTotalWork]]&gt;0),Tasks[[#This Row],[_LeafWork]]/(Tasks[[#This Row],[_FinishWorkday]]-Tasks[[#This Row],[_StartWorkday]]+1),0)</f>
        <v>0</v>
      </c>
      <c r="FJ75" s="45" t="n">
        <f aca="false">Tasks[[#This Row],[_WorkPerWorkday]]*(Tasks[[#This Row],[_StartWorkday]]-1)</f>
        <v>-0</v>
      </c>
      <c r="FK75" s="45" t="n">
        <f aca="false">IF(Tasks[[#This Row],[_IsLeaf]]=1,MAX(N(Tasks[[#This Row],[Duration]]),0.1),0)</f>
        <v>0</v>
      </c>
      <c r="FL75" s="45" t="n">
        <f aca="false">Tasks[[#This Row],[_WeightDur]]*Tasks[[#This Row],[_LeafProgress]]</f>
        <v>0</v>
      </c>
      <c r="FM7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75" s="45" t="str">
        <f aca="false">IF(AND(Tasks[[#This Row],[_IsLeaf]]=1,N(Tasks[[#This Row],[Duration]])=0,Tasks[[#This Row],[_LeafProgress]]&lt;1),Tasks[[#This Row],[_ShownFcstFinish]]+Tasks[[#This Row],[_Row]]/100000,"")</f>
        <v/>
      </c>
      <c r="FO7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75" s="45" t="n">
        <f aca="false">IF(NOT(Tasks[[#This Row],[_IsLeaf]]=1),0,IF(Tasks[[#This Row],[Baseline Cost]]="",Tasks[[#This Row],[_LeafTotalCost]],N(Tasks[[#This Row],[Baseline Cost]])))</f>
        <v>0</v>
      </c>
      <c r="FQ75" s="45" t="n">
        <f aca="false">Tasks[[#This Row],[_LeafBudget]]*Tasks[[#This Row],[_PlannedPct]]</f>
        <v>0</v>
      </c>
      <c r="FR75" s="45" t="n">
        <f aca="false">Tasks[[#This Row],[_LeafBudget]]*Tasks[[#This Row],[_LeafProgress]]</f>
        <v>0</v>
      </c>
      <c r="FS75" s="45" t="n">
        <f aca="false">IF(NOT(Tasks[[#This Row],[_IsLeaf]]=1),0,IF(Tasks[[#This Row],[Actual Cost]]="",Tasks[[#This Row],[_LeafTotalCost]]*Tasks[[#This Row],[_LeafProgress]],N(Tasks[[#This Row],[Actual Cost]])))</f>
        <v>0</v>
      </c>
      <c r="FT75" s="45" t="str">
        <f aca="false">IF(Tasks[[#This Row],[Task Name]]="","",LEFT(Tasks[[#This Row],[WBS]],FIND(".",Tasks[[#This Row],[WBS]]&amp;".")-1))</f>
        <v/>
      </c>
      <c r="FU75" s="45" t="str">
        <f aca="false">IF(AND(Tasks[[#This Row],[Task Name]]&lt;&gt;"",Tasks[[#This Row],[_Level]]=1),Tasks[[#This Row],[_Row]],"")</f>
        <v/>
      </c>
      <c r="FV75" s="45" t="str">
        <f aca="false">IF(AND(Tasks[[#This Row],[_IsLeaf]]=1,N(Tasks[[#This Row],[Duration]])=0),Tasks[[#This Row],[Planned Finish]]+Tasks[[#This Row],[_Row]]/100000,"")</f>
        <v/>
      </c>
      <c r="FW75" s="45" t="str">
        <f aca="false">IF(AND(Tasks[[#This Row],[_IsLeaf]]=1,Tasks[[#This Row],[_LeafProgress]]&lt;1,OR(N(Tasks[[#This Row],[Finish Var]])&gt;0,Tasks[[#This Row],[Status]]="Late Start")),MAX(0,Tasks[[#This Row],[Finish Var]])+1-Tasks[[#This Row],[_Row]]/1000000,"")</f>
        <v/>
      </c>
      <c r="FX75" s="45" t="str">
        <f aca="false">IF(AND(Tasks[[#This Row],[_IsLeaf]]=1,N(Tasks[[#This Row],[Actual Start]])=0,Tasks[[#This Row],[_ShownFcstStart]]&gt;=StatusDate,Tasks[[#This Row],[_ShownFcstStart]]&lt;=LookaheadEnd),Tasks[[#This Row],[_ShownFcstStart]]+Tasks[[#This Row],[_Row]]/100000,"")</f>
        <v/>
      </c>
      <c r="FY75" s="45" t="str">
        <f aca="false">IF(AND(Tasks[[#This Row],[_IsLeaf]]=1,Tasks[[#This Row],[_LeafProgress]]&lt;1,Tasks[[#This Row],[_ShownFcstFinish]]&gt;=StatusDate,Tasks[[#This Row],[_ShownFcstFinish]]&lt;=LookaheadEnd),Tasks[[#This Row],[_ShownFcstFinish]]+Tasks[[#This Row],[_Row]]/100000,"")</f>
        <v/>
      </c>
      <c r="FZ75" s="45" t="str">
        <f aca="false">IF(Tasks[[#This Row],[_LeafCritical]],Tasks[[#This Row],[_ShownFcstStart]]+Tasks[[#This Row],[_Row]]/100000,"")</f>
        <v/>
      </c>
      <c r="GA75" s="45" t="n">
        <f aca="false">Tasks[[#This Row],[_LeafWork]]*Tasks[[#This Row],[_LeafProgress]]</f>
        <v>0</v>
      </c>
      <c r="GB75" s="74" t="str">
        <f aca="false">IF(AND(Tasks[[#This Row],[_IsLeaf]]=1,Tasks[[#This Row],[_LeafProgress]]&gt;=1),IF(N(Tasks[[#This Row],[Actual Finish]])&gt;0,Tasks[[#This Row],[Actual Finish]],Tasks[[#This Row],[_ShownFcstFinish]]),"")</f>
        <v/>
      </c>
    </row>
    <row r="76" customFormat="false" ht="15" hidden="false" customHeight="false" outlineLevel="0" collapsed="false">
      <c r="A76" s="67" t="str">
        <f aca="false">IF(Tasks[[#This Row],[Task Name]]="","",COUNTA(Tasks[[#Headers],[Task Name]]:Tasks[[#This Row],[Task Name]])-1)</f>
        <v/>
      </c>
      <c r="B76" s="21" t="n">
        <v>71</v>
      </c>
      <c r="C7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21"/>
      <c r="E76" s="22"/>
      <c r="F76" s="21"/>
      <c r="G76" s="22"/>
      <c r="H76" s="22"/>
      <c r="I76" s="22"/>
      <c r="J76" s="7"/>
      <c r="K76" s="7"/>
      <c r="L76" s="22"/>
      <c r="M76" s="58" t="str">
        <f aca="false">IF(Tasks[[#This Row],[Task Name]]="","",IF(Tasks[[#This Row],[_IsSummary]],MIN(INDEX(Tasks[_ShownFcstStart],Tasks[[#This Row],[_Row]]+1):INDEX(Tasks[_ShownFcstStart],Tasks[[#This Row],[_Row]]+Tasks[[#This Row],[_Descendants]])),Tasks[[#This Row],[_ShownFcstStart]]))</f>
        <v/>
      </c>
      <c r="N76" s="58" t="str">
        <f aca="false">IF(Tasks[[#This Row],[Task Name]]="","",IF(Tasks[[#This Row],[_IsSummary]],MAX(INDEX(Tasks[_ShownFcstFinish],Tasks[[#This Row],[_Row]]+1):INDEX(Tasks[_ShownFcstFinish],Tasks[[#This Row],[_Row]]+Tasks[[#This Row],[_Descendants]])),Tasks[[#This Row],[_ShownFcstFinish]]))</f>
        <v/>
      </c>
      <c r="O76" s="20" t="str">
        <f aca="false">IF(Tasks[[#This Row],[Task Name]]="","",IF(Tasks[[#This Row],[Progress]]&gt;=1,"Complete",IF(OR(N(Tasks[[#This Row],[Actual Start]])&gt;0,Tasks[[#This Row],[Progress]]&gt;0),IF(Tasks[[#This Row],[Finish Var]]&gt;0,"Behind","In Progress"),IF(Tasks[[#This Row],[Planned Start]]&lt;StatusDate,"Late Start","Not Started"))))</f>
        <v/>
      </c>
      <c r="P76" s="20" t="str">
        <f aca="false">IF(Tasks[[#This Row],[Task Name]]="","",IF(IF(Tasks[[#This Row],[_IsSummary]],COUNTIF(INDEX(Tasks[_LeafCritical],Tasks[[#This Row],[_Row]]+1):INDEX(Tasks[_LeafCritical],Tasks[[#This Row],[_Row]]+Tasks[[#This Row],[_Descendants]]),TRUE())&gt;0,Tasks[[#This Row],[_LeafCritical]]),"Yes",""))</f>
        <v/>
      </c>
      <c r="Q7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76" s="67" t="str">
        <f aca="false">IF(Tasks[[#This Row],[Task Name]]="","",IF(Tasks[[#This Row],[_Level]]&lt;=OutlineShowLevel,"Yes","No"))</f>
        <v/>
      </c>
      <c r="S76" s="7"/>
      <c r="T76" s="21"/>
      <c r="U76" s="22"/>
      <c r="V76" s="7"/>
      <c r="W76" s="67" t="str">
        <f aca="false">IF(Tasks[[#This Row],[Task Name]]="","",IF(Tasks[[#This Row],[Finish]]&gt;=Tasks[[#This Row],[Planned Finish]],NETWORKDAYS.INTL(Tasks[[#This Row],[Planned Finish]],Tasks[[#This Row],[Finish]],WorkWeek,Holidays)-1,1-NETWORKDAYS.INTL(Tasks[[#This Row],[Finish]],Tasks[[#This Row],[Planned Finish]],WorkWeek,Holidays)))</f>
        <v/>
      </c>
      <c r="X76" s="58" t="str">
        <f aca="false">IF(Tasks[[#This Row],[Task Name]]="","",IF(N(Tasks[[#This Row],[Baseline Start]])&gt;0,Tasks[[#This Row],[Baseline Start]],Tasks[[#This Row],[_CalcStart]]))</f>
        <v/>
      </c>
      <c r="Y76" s="58" t="str">
        <f aca="false">IF(Tasks[[#This Row],[Task Name]]="","",IF(N(Tasks[[#This Row],[Baseline Finish]])&gt;0,Tasks[[#This Row],[Baseline Finish]],Tasks[[#This Row],[_CalcFinish]]))</f>
        <v/>
      </c>
      <c r="Z76" s="67" t="str">
        <f aca="false">IF(Tasks[[#This Row],[Task Name]]="","",IF(Tasks[[#This Row],[Start]]&gt;=Tasks[[#This Row],[Planned Start]],NETWORKDAYS.INTL(Tasks[[#This Row],[Planned Start]],Tasks[[#This Row],[Start]],WorkWeek,Holidays)-1,1-NETWORKDAYS.INTL(Tasks[[#This Row],[Start]],Tasks[[#This Row],[Planned Start]],WorkWeek,Holidays)))</f>
        <v/>
      </c>
      <c r="AA76" s="58" t="str">
        <f aca="false">IF(Tasks[[#This Row],[Task Name]]="","",IF(Tasks[[#This Row],[_IsSummary]],MIN(INDEX(Tasks[_LeafLateStart],Tasks[[#This Row],[_Row]]+1):INDEX(Tasks[_LeafLateStart],Tasks[[#This Row],[_Row]]+Tasks[[#This Row],[_Descendants]])),Tasks[[#This Row],[_LeafLateStart]]))</f>
        <v/>
      </c>
      <c r="AB76" s="58" t="str">
        <f aca="false">IF(Tasks[[#This Row],[Task Name]]="","",IF(Tasks[[#This Row],[_IsSummary]],MAX(INDEX(Tasks[_LeafLateFinish],Tasks[[#This Row],[_Row]]+1):INDEX(Tasks[_LeafLateFinish],Tasks[[#This Row],[_Row]]+Tasks[[#This Row],[_Descendants]])),Tasks[[#This Row],[_LeafLateFinish]]))</f>
        <v/>
      </c>
      <c r="AC76" s="67" t="str">
        <f aca="false">IF(Tasks[[#This Row],[Task Name]]="","",IF(Tasks[[#This Row],[_IsSummary]],MIN(INDEX(Tasks[_LeafTotalSlack],Tasks[[#This Row],[_Row]]+1):INDEX(Tasks[_LeafTotalSlack],Tasks[[#This Row],[_Row]]+Tasks[[#This Row],[_Descendants]])),Tasks[[#This Row],[_LeafTotalSlack]]))</f>
        <v/>
      </c>
      <c r="AD7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7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7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76" s="60"/>
      <c r="AH7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7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76" s="69" t="str">
        <f aca="false">IF(Tasks[[#This Row],[Task Name]]="","",IF(Tasks[[#This Row],[_IsSummary]],SUM(INDEX(Tasks[_LeafTotalWork],Tasks[[#This Row],[_Row]]+1):INDEX(Tasks[_LeafTotalWork],Tasks[[#This Row],[_Row]]+Tasks[[#This Row],[_Descendants]])),Tasks[[#This Row],[_LeafTotalWork]]))</f>
        <v/>
      </c>
      <c r="AK7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76" s="70" t="str">
        <f aca="false">IF(Tasks[[#This Row],[Task Name]]="","",IF(Tasks[[#This Row],[_IsSummary]],SUM(INDEX(Tasks[_LeafTotalCost],Tasks[[#This Row],[_Row]]+1):INDEX(Tasks[_LeafTotalCost],Tasks[[#This Row],[_Row]]+Tasks[[#This Row],[_Descendants]])),Tasks[[#This Row],[_LeafTotalCost]]))</f>
        <v/>
      </c>
      <c r="AM76" s="71"/>
      <c r="AN76" s="20" t="str">
        <f aca="false">IF(OR(Tasks[[#This Row],[Task Name]]="",Tasks[[#This Row],[Baseline Duration]]=""),"",Tasks[[#This Row],[BL Source Duration]]-N(Tasks[[#This Row],[Baseline Duration]]))</f>
        <v/>
      </c>
      <c r="AO76" s="69" t="str">
        <f aca="false">IF(OR(Tasks[[#This Row],[Task Name]]="",Tasks[[#This Row],[Baseline Work]]=""),"",Tasks[[#This Row],[Work]]-N(Tasks[[#This Row],[Baseline Work]]))</f>
        <v/>
      </c>
      <c r="AP76" s="70" t="str">
        <f aca="false">IF(OR(Tasks[[#This Row],[Task Name]]="",Tasks[[#This Row],[Baseline Cost]]=""),"",Tasks[[#This Row],[Cost]]-N(Tasks[[#This Row],[Baseline Cost]]))</f>
        <v/>
      </c>
      <c r="AQ76" s="58" t="str">
        <f aca="false">IF(Tasks[[#This Row],[Task Name]]="","",Tasks[[#This Row],[Start]])</f>
        <v/>
      </c>
      <c r="AR76" s="58" t="str">
        <f aca="false">IF(Tasks[[#This Row],[Task Name]]="","",Tasks[[#This Row],[Finish]])</f>
        <v/>
      </c>
      <c r="AS76" s="67" t="str">
        <f aca="false">IF(Tasks[[#This Row],[Task Name]]="","",IF(Tasks[[#This Row],[_IsSummary]],NETWORKDAYS.INTL(Tasks[[#This Row],[Start]],Tasks[[#This Row],[Finish]],WorkWeek,Holidays),N(Tasks[[#This Row],[Duration]])))</f>
        <v/>
      </c>
      <c r="AT76" s="69" t="str">
        <f aca="false">IF(Tasks[[#This Row],[Task Name]]="","",Tasks[[#This Row],[Work]])</f>
        <v/>
      </c>
      <c r="AU76" s="70" t="str">
        <f aca="false">IF(Tasks[[#This Row],[Task Name]]="","",Tasks[[#This Row],[Cost]])</f>
        <v/>
      </c>
      <c r="AV76" s="7"/>
      <c r="AW76" s="7"/>
      <c r="AX76" s="21"/>
      <c r="AY76" s="72"/>
      <c r="AZ76" s="71"/>
      <c r="BA76" s="70" t="str">
        <f aca="false">IF(Tasks[[#This Row],[Task Name]]="","",IF(Tasks[[#This Row],[_IsSummary]],SUM(INDEX(Tasks[_LeafEV],Tasks[[#This Row],[_Row]]+1):INDEX(Tasks[_LeafEV],Tasks[[#This Row],[_Row]]+Tasks[[#This Row],[_Descendants]])),Tasks[[#This Row],[_LeafEV]]))</f>
        <v/>
      </c>
      <c r="BB76" s="70" t="str">
        <f aca="false">IF(Tasks[[#This Row],[Task Name]]="","",IF(Tasks[[#This Row],[_IsSummary]],SUM(INDEX(Tasks[_LeafBudget],Tasks[[#This Row],[_Row]]+1):INDEX(Tasks[_LeafBudget],Tasks[[#This Row],[_Row]]+Tasks[[#This Row],[_Descendants]])),Tasks[[#This Row],[_LeafBudget]]))</f>
        <v/>
      </c>
      <c r="BC76" s="70" t="str">
        <f aca="false">IF(Tasks[[#This Row],[Task Name]]="","",IF(Tasks[[#This Row],[_IsSummary]],SUM(INDEX(Tasks[_LeafPV],Tasks[[#This Row],[_Row]]+1):INDEX(Tasks[_LeafPV],Tasks[[#This Row],[_Row]]+Tasks[[#This Row],[_Descendants]])),Tasks[[#This Row],[_LeafPV]]))</f>
        <v/>
      </c>
      <c r="BD76" s="70" t="str">
        <f aca="false">IF(Tasks[[#This Row],[Task Name]]="","",IF(Tasks[[#This Row],[_IsSummary]],SUM(INDEX(Tasks[_LeafAC],Tasks[[#This Row],[_Row]]+1):INDEX(Tasks[_LeafAC],Tasks[[#This Row],[_Row]]+Tasks[[#This Row],[_Descendants]])),Tasks[[#This Row],[_LeafAC]]))</f>
        <v/>
      </c>
      <c r="BE76" s="45" t="str">
        <f aca="false">IF(Tasks[[#This Row],[Task Name]]="","",MAX(1,N(Tasks[[#This Row],[Level]])))</f>
        <v/>
      </c>
      <c r="BF76" s="45" t="n">
        <f aca="false">ROW()-ROW(Tasks[[#Headers],[ID]])</f>
        <v>71</v>
      </c>
      <c r="BG76" s="45" t="n">
        <f aca="false">IF(OR(Tasks[[#This Row],[Task Name]]="",Tasks[[#This Row],[_Level]]&lt;=1),0,IFERROR(LOOKUP(2,1/(Tasks[[#Headers],[_Level]]:Tasks[[#This Row],[_Level]]=Tasks[[#This Row],[_Level]]-1),ROW(Tasks[[#Headers],[_Level]]:Tasks[[#This Row],[_Level]])),0))</f>
        <v>0</v>
      </c>
      <c r="BH76" s="45" t="n">
        <f aca="false">IFERROR(N(INDEX(Tasks[_Level],Tasks[[#This Row],[_Row]]+1)),0)</f>
        <v>0</v>
      </c>
      <c r="BI76" s="73" t="b">
        <f aca="false">AND(Tasks[[#This Row],[Task Name]]&lt;&gt;"",Tasks[[#This Row],[_NextLevel]]&gt;Tasks[[#This Row],[_Level]])</f>
        <v>0</v>
      </c>
      <c r="BJ76" s="45" t="n">
        <f aca="false">IF(Tasks[[#This Row],[_IsSummary]],COUNTIF(Tasks[WBS],Tasks[[#This Row],[WBS]]&amp;".*"),0)</f>
        <v>0</v>
      </c>
      <c r="BK76" s="45" t="n">
        <f aca="false">IF(AND(Tasks[[#This Row],[Task Name]]&lt;&gt;"",NOT(Tasks[[#This Row],[_IsSummary]])),1,0)</f>
        <v>0</v>
      </c>
      <c r="BL76" s="45" t="n">
        <f aca="false">IF(N(Tasks[[#This Row],[_Pred1UID]])=0,0,IFERROR(MATCH(Tasks[[#This Row],[_Pred1UID]],Tasks[UID],0),-1))</f>
        <v>0</v>
      </c>
      <c r="BM76" s="45" t="n">
        <f aca="false">IF(N(Tasks[[#This Row],[_Pred2UID]])=0,0,IFERROR(MATCH(Tasks[[#This Row],[_Pred2UID]],Tasks[UID],0),-1))</f>
        <v>0</v>
      </c>
      <c r="BN76" s="45" t="n">
        <f aca="false">IF(N(Tasks[[#This Row],[_Pred3UID]])=0,0,IFERROR(MATCH(Tasks[[#This Row],[_Pred3UID]],Tasks[UID],0),-1))</f>
        <v>0</v>
      </c>
      <c r="BO76" s="45" t="n">
        <f aca="false">IF(N(Tasks[[#This Row],[_Pred4UID]])=0,0,IFERROR(MATCH(Tasks[[#This Row],[_Pred4UID]],Tasks[UID],0),-1))</f>
        <v>0</v>
      </c>
      <c r="BP7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7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76" s="74" t="n">
        <f aca="false">IF(OR(Tasks[[#This Row],[_ConstraintCode]]=2,Tasks[[#This Row],[_ConstraintCode]]=3,Tasks[[#This Row],[_ConstraintCode]]=4,Tasks[[#This Row],[_ConstraintCode]]=6),Tasks[[#This Row],[_ConstraintStart]],0)</f>
        <v>0</v>
      </c>
      <c r="BS76" s="74" t="n">
        <f aca="false">IF(OR(Tasks[[#This Row],[_ConstraintCode]]=2,Tasks[[#This Row],[_ConstraintCode]]=3,Tasks[[#This Row],[_ConstraintCode]]=5,Tasks[[#This Row],[_ConstraintCode]]=7),Tasks[[#This Row],[_ConstraintStart]],2958465)</f>
        <v>2958465</v>
      </c>
      <c r="BT7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76" s="74" t="str">
        <f aca="false">IF(NOT(Tasks[[#This Row],[_IsLeaf]]=1),"",IF(N(Tasks[[#This Row],[Duration]])&lt;=0,Tasks[[#This Row],[_LeafCalcStart]],WORKDAY.INTL(Tasks[[#This Row],[_LeafCalcStart]],Tasks[[#This Row],[Duration]]-1,WorkWeek,Holidays)))</f>
        <v/>
      </c>
      <c r="BV7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7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76" s="45" t="str">
        <f aca="false">IF(Tasks[[#This Row],[Predecessors]]="","",TRIM(MID(SUBSTITUTE(SUBSTITUTE(SUBSTITUTE(UPPER(Tasks[[#This Row],[Predecessors]]),";",",")," ",""),",",REPT(" ",99)),1,99)))</f>
        <v/>
      </c>
      <c r="BY76" s="45" t="str">
        <f aca="false">IF(Tasks[[#This Row],[_Pred1Text]]="","",IFERROR(VALUE(LEFT(Tasks[[#This Row],[_Pred1Text]],MIN(FIND("F",Tasks[[#This Row],[_Pred1Text]]&amp;"F"),FIND("S",Tasks[[#This Row],[_Pred1Text]]&amp;"S"),FIND("+",Tasks[[#This Row],[_Pred1Text]]&amp;"+"),FIND("-",Tasks[[#This Row],[_Pred1Text]]&amp;"-"))-1)),""))</f>
        <v/>
      </c>
      <c r="BZ7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7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76" s="45" t="str">
        <f aca="false">IF(Tasks[[#This Row],[_Pred1Text]]="","",TRIM(MID(SUBSTITUTE(SUBSTITUTE(SUBSTITUTE(UPPER(Tasks[[#This Row],[Predecessors]]),";",",")," ",""),",",REPT(" ",99)),100,99)))</f>
        <v/>
      </c>
      <c r="CC76" s="45" t="str">
        <f aca="false">IF(Tasks[[#This Row],[_Pred2Text]]="","",IFERROR(VALUE(LEFT(Tasks[[#This Row],[_Pred2Text]],MIN(FIND("F",Tasks[[#This Row],[_Pred2Text]]&amp;"F"),FIND("S",Tasks[[#This Row],[_Pred2Text]]&amp;"S"),FIND("+",Tasks[[#This Row],[_Pred2Text]]&amp;"+"),FIND("-",Tasks[[#This Row],[_Pred2Text]]&amp;"-"))-1)),""))</f>
        <v/>
      </c>
      <c r="CD7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7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76" s="45" t="str">
        <f aca="false">IF(Tasks[[#This Row],[_Pred2Text]]="","",TRIM(MID(SUBSTITUTE(SUBSTITUTE(SUBSTITUTE(UPPER(Tasks[[#This Row],[Predecessors]]),";",",")," ",""),",",REPT(" ",99)),199,99)))</f>
        <v/>
      </c>
      <c r="CG76" s="45" t="str">
        <f aca="false">IF(Tasks[[#This Row],[_Pred3Text]]="","",IFERROR(VALUE(LEFT(Tasks[[#This Row],[_Pred3Text]],MIN(FIND("F",Tasks[[#This Row],[_Pred3Text]]&amp;"F"),FIND("S",Tasks[[#This Row],[_Pred3Text]]&amp;"S"),FIND("+",Tasks[[#This Row],[_Pred3Text]]&amp;"+"),FIND("-",Tasks[[#This Row],[_Pred3Text]]&amp;"-"))-1)),""))</f>
        <v/>
      </c>
      <c r="CH7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7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76" s="45" t="str">
        <f aca="false">IF(Tasks[[#This Row],[_Pred3Text]]="","",TRIM(MID(SUBSTITUTE(SUBSTITUTE(SUBSTITUTE(UPPER(Tasks[[#This Row],[Predecessors]]),";",",")," ",""),",",REPT(" ",99)),298,99)))</f>
        <v/>
      </c>
      <c r="CK76" s="45" t="str">
        <f aca="false">IF(Tasks[[#This Row],[_Pred4Text]]="","",IFERROR(VALUE(LEFT(Tasks[[#This Row],[_Pred4Text]],MIN(FIND("F",Tasks[[#This Row],[_Pred4Text]]&amp;"F"),FIND("S",Tasks[[#This Row],[_Pred4Text]]&amp;"S"),FIND("+",Tasks[[#This Row],[_Pred4Text]]&amp;"+"),FIND("-",Tasks[[#This Row],[_Pred4Text]]&amp;"-"))-1)),""))</f>
        <v/>
      </c>
      <c r="CL7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7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76" s="45" t="str">
        <f aca="false">IF(OR(Tasks[[#This Row],[Task Name]]="",Tasks[[#This Row],[Resources]]=""),"",TRIM(MID(SUBSTITUTE(Tasks[[#This Row],[Resources]],",",REPT(" ",99)),1,99)))</f>
        <v/>
      </c>
      <c r="CO76" s="45" t="str">
        <f aca="false">IF(Tasks[[#This Row],[_Res1Text]]="","",TRIM(MID(SUBSTITUTE(Tasks[[#This Row],[Resources]],",",REPT(" ",99)),100,99)))</f>
        <v/>
      </c>
      <c r="CP76" s="45" t="str">
        <f aca="false">IF(Tasks[[#This Row],[_Res2Text]]="","",TRIM(MID(SUBSTITUTE(Tasks[[#This Row],[Resources]],",",REPT(" ",99)),199,99)))</f>
        <v/>
      </c>
      <c r="CQ76" s="45" t="str">
        <f aca="false">IF(Tasks[[#This Row],[_Res3Text]]="","",TRIM(MID(SUBSTITUTE(Tasks[[#This Row],[Resources]],",",REPT(" ",99)),298,99)))</f>
        <v/>
      </c>
      <c r="CR7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7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6" s="45" t="n">
        <f aca="false">IF(NOT(Tasks[[#This Row],[_IsLeaf]]=1),0,(Tasks[[#This Row],[_Resource1]]&lt;&gt;"")+(Tasks[[#This Row],[_Res2]]&lt;&gt;"")+(Tasks[[#This Row],[_Res3]]&lt;&gt;"")+(Tasks[[#This Row],[_Res4]]&lt;&gt;""))</f>
        <v>0</v>
      </c>
      <c r="CU7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7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6" s="45" t="n">
        <f aca="false">IF(OR(NOT(Tasks[[#This Row],[_IsLeaf]]=1),Tasks[[#This Row],[_Res2]]=""),0,IF(ISNA(MATCH(Tasks[[#This Row],[_Res2]],res_Name,0)),0,N(Tasks[[#This Row],[Duration]])*HoursPerDay*IF(Tasks[[#This Row],[_Res2Units]]="",DefaultUnits,Tasks[[#This Row],[_Res2Units]])))</f>
        <v>0</v>
      </c>
      <c r="CX76" s="45" t="n">
        <f aca="false">IF(Tasks[[#This Row],[_Res2Work]]=0,0,Tasks[[#This Row],[_Res2Work]]*IFERROR(INDEX(res_Rate,MATCH(Tasks[[#This Row],[_Res2]],res_Name,0)),0))</f>
        <v>0</v>
      </c>
      <c r="CY76" s="45" t="n">
        <f aca="false">IF(AND(AND(Tasks[[#This Row],[_IsLeaf]]=1,Tasks[[#This Row],[_LeafTotalWork]]&gt;0),Tasks[[#This Row],[_Res2Work]]&gt;0),Tasks[[#This Row],[_Res2Work]]/(Tasks[[#This Row],[_FinishWorkday]]-Tasks[[#This Row],[_StartWorkday]]+1),0)</f>
        <v>0</v>
      </c>
      <c r="CZ76" s="45" t="n">
        <f aca="false">Tasks[[#This Row],[_Res2WorkPerWD]]*MAX(0,Tasks[[#This Row],[_StartWorkday]]-1)</f>
        <v>0</v>
      </c>
      <c r="DA76" s="45" t="n">
        <f aca="false">Tasks[[#This Row],[_Res2Work]]*Tasks[[#This Row],[_LeafProgress]]</f>
        <v>0</v>
      </c>
      <c r="DB76" s="45" t="n">
        <f aca="false">IF(Tasks[[#This Row],[_LeafTotalCost]]=0,0,Tasks[[#This Row],[_LeafAC]]*Tasks[[#This Row],[_Res2Cost]]/Tasks[[#This Row],[_LeafTotalCost]])</f>
        <v>0</v>
      </c>
      <c r="DC7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7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76" s="45" t="n">
        <f aca="false">IF(OR(NOT(Tasks[[#This Row],[_IsLeaf]]=1),Tasks[[#This Row],[_Res3]]=""),0,IF(ISNA(MATCH(Tasks[[#This Row],[_Res3]],res_Name,0)),0,N(Tasks[[#This Row],[Duration]])*HoursPerDay*IF(Tasks[[#This Row],[_Res3Units]]="",DefaultUnits,Tasks[[#This Row],[_Res3Units]])))</f>
        <v>0</v>
      </c>
      <c r="DF76" s="45" t="n">
        <f aca="false">IF(Tasks[[#This Row],[_Res3Work]]=0,0,Tasks[[#This Row],[_Res3Work]]*IFERROR(INDEX(res_Rate,MATCH(Tasks[[#This Row],[_Res3]],res_Name,0)),0))</f>
        <v>0</v>
      </c>
      <c r="DG76" s="45" t="n">
        <f aca="false">IF(AND(AND(Tasks[[#This Row],[_IsLeaf]]=1,Tasks[[#This Row],[_LeafTotalWork]]&gt;0),Tasks[[#This Row],[_Res3Work]]&gt;0),Tasks[[#This Row],[_Res3Work]]/(Tasks[[#This Row],[_FinishWorkday]]-Tasks[[#This Row],[_StartWorkday]]+1),0)</f>
        <v>0</v>
      </c>
      <c r="DH76" s="45" t="n">
        <f aca="false">Tasks[[#This Row],[_Res3WorkPerWD]]*MAX(0,Tasks[[#This Row],[_StartWorkday]]-1)</f>
        <v>0</v>
      </c>
      <c r="DI76" s="45" t="n">
        <f aca="false">Tasks[[#This Row],[_Res3Work]]*Tasks[[#This Row],[_LeafProgress]]</f>
        <v>0</v>
      </c>
      <c r="DJ76" s="45" t="n">
        <f aca="false">IF(Tasks[[#This Row],[_LeafTotalCost]]=0,0,Tasks[[#This Row],[_LeafAC]]*Tasks[[#This Row],[_Res3Cost]]/Tasks[[#This Row],[_LeafTotalCost]])</f>
        <v>0</v>
      </c>
      <c r="DK7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7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76" s="45" t="n">
        <f aca="false">IF(OR(NOT(Tasks[[#This Row],[_IsLeaf]]=1),Tasks[[#This Row],[_Res4]]=""),0,IF(ISNA(MATCH(Tasks[[#This Row],[_Res4]],res_Name,0)),0,N(Tasks[[#This Row],[Duration]])*HoursPerDay*IF(Tasks[[#This Row],[_Res4Units]]="",DefaultUnits,Tasks[[#This Row],[_Res4Units]])))</f>
        <v>0</v>
      </c>
      <c r="DN76" s="45" t="n">
        <f aca="false">IF(Tasks[[#This Row],[_Res4Work]]=0,0,Tasks[[#This Row],[_Res4Work]]*IFERROR(INDEX(res_Rate,MATCH(Tasks[[#This Row],[_Res4]],res_Name,0)),0))</f>
        <v>0</v>
      </c>
      <c r="DO76" s="45" t="n">
        <f aca="false">IF(AND(AND(Tasks[[#This Row],[_IsLeaf]]=1,Tasks[[#This Row],[_LeafTotalWork]]&gt;0),Tasks[[#This Row],[_Res4Work]]&gt;0),Tasks[[#This Row],[_Res4Work]]/(Tasks[[#This Row],[_FinishWorkday]]-Tasks[[#This Row],[_StartWorkday]]+1),0)</f>
        <v>0</v>
      </c>
      <c r="DP76" s="45" t="n">
        <f aca="false">Tasks[[#This Row],[_Res4WorkPerWD]]*MAX(0,Tasks[[#This Row],[_StartWorkday]]-1)</f>
        <v>0</v>
      </c>
      <c r="DQ76" s="45" t="n">
        <f aca="false">Tasks[[#This Row],[_Res4Work]]*Tasks[[#This Row],[_LeafProgress]]</f>
        <v>0</v>
      </c>
      <c r="DR76" s="45" t="n">
        <f aca="false">IF(Tasks[[#This Row],[_LeafTotalCost]]=0,0,Tasks[[#This Row],[_LeafAC]]*Tasks[[#This Row],[_Res4Cost]]/Tasks[[#This Row],[_LeafTotalCost]])</f>
        <v>0</v>
      </c>
      <c r="DS76" s="45" t="n">
        <f aca="false">IF(ISNUMBER(Tasks[[#This Row],[% Complete]]),Tasks[[#This Row],[% Complete]],IF(Tasks[[#This Row],[Stage]]="",0,IFERROR(INDEX(stg_Pct,MATCH(Tasks[[#This Row],[Stage]],stg_Name,0)),0)))</f>
        <v>0</v>
      </c>
      <c r="DT76" s="45" t="n">
        <f aca="false">IF(NOT(Tasks[[#This Row],[_IsLeaf]]=1),0,IF(N(Tasks[[#This Row],[Actual Finish]])&gt;0,1,MIN(1,Tasks[[#This Row],[_Pct]])))</f>
        <v>0</v>
      </c>
      <c r="DU76" s="45" t="n">
        <f aca="false">IF(OR(NOT(Tasks[[#This Row],[_IsLeaf]]=1),Tasks[[#This Row],[_Resource1]]=""),0,IF(ISNA(MATCH(Tasks[[#This Row],[_Resource1]],res_Name,0)),0,N(Tasks[[#This Row],[Duration]])*HoursPerDay*IF(Tasks[[#This Row],[_Units1]]="",DefaultUnits,Tasks[[#This Row],[_Units1]])))</f>
        <v>0</v>
      </c>
      <c r="DV76" s="45" t="n">
        <f aca="false">IF(Tasks[[#This Row],[_LeafWork]]=0,0,Tasks[[#This Row],[_LeafWork]]*IFERROR(INDEX(res_Rate,MATCH(Tasks[[#This Row],[_Resource1]],res_Name,0)),0))</f>
        <v>0</v>
      </c>
      <c r="DW76" s="45" t="n">
        <f aca="false">Tasks[[#This Row],[_LeafWork]]+Tasks[[#This Row],[_Res2Work]]+Tasks[[#This Row],[_Res3Work]]+Tasks[[#This Row],[_Res4Work]]</f>
        <v>0</v>
      </c>
      <c r="DX76" s="45" t="n">
        <f aca="false">Tasks[[#This Row],[_LeafCost]]+Tasks[[#This Row],[_Res2Cost]]+Tasks[[#This Row],[_Res3Cost]]+Tasks[[#This Row],[_Res4Cost]]</f>
        <v>0</v>
      </c>
      <c r="DY76" s="45" t="n">
        <f aca="false">IF(Tasks[[#This Row],[_LeafTotalCost]]=0,Tasks[[#This Row],[_LeafAC]],Tasks[[#This Row],[_LeafAC]]*Tasks[[#This Row],[_LeafCost]]/Tasks[[#This Row],[_LeafTotalCost]])</f>
        <v>0</v>
      </c>
      <c r="DZ7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7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7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7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7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7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7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7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76" s="45" t="n">
        <f aca="false">IF(NOT(Tasks[[#This Row],[_IsLeaf]]=1),0,MAX(_xlfn.MAXIFS(Tasks[_Row],Tasks[_Pred1UID],Tasks[[#This Row],[UID]]),_xlfn.MAXIFS(Tasks[_Row],Tasks[_Pred2UID],Tasks[[#This Row],[UID]]),_xlfn.MAXIFS(Tasks[_Row],Tasks[_Pred3UID],Tasks[[#This Row],[UID]]),_xlfn.MAXIFS(Tasks[_Row],Tasks[_Pred4UID],Tasks[[#This Row],[UID]])))</f>
        <v>0</v>
      </c>
      <c r="EI7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7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76" s="74" t="str">
        <f aca="false">IF(NOT(Tasks[[#This Row],[_IsLeaf]]=1),"",IF(N(Tasks[[#This Row],[Duration]])&lt;=0,Tasks[[#This Row],[_LeafLateFinish]],WORKDAY.INTL(Tasks[[#This Row],[_LeafLateFinish]],-(Tasks[[#This Row],[Duration]]-1),WorkWeek,Holidays)))</f>
        <v/>
      </c>
      <c r="EL7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76" s="73" t="b">
        <f aca="false">AND(Tasks[[#This Row],[_IsLeaf]]=1,Tasks[[#This Row],[_LeafProgress]]&lt;1,N(Tasks[[#This Row],[_LeafTotalSlack]])&lt;=CriticalSlackDays)</f>
        <v>0</v>
      </c>
      <c r="EN76" s="45" t="n">
        <f aca="false">IF(AND(Tasks[[#This Row],[_IsLeaf]]=1,Tasks[[#This Row],[_ConstraintCode]]=1,Tasks[[#This Row],[Mode]]&lt;&gt;"Manual",N(Tasks[[#This Row],[Actual Start]])=0),MAX(0,N(Tasks[[#This Row],[Free Slack]])),0)</f>
        <v>0</v>
      </c>
      <c r="EO76" s="74" t="str">
        <f aca="false">IF(NOT(Tasks[[#This Row],[_IsLeaf]]=1),"",IF(Tasks[[#This Row],[_AlapShift]]=0,Tasks[[#This Row],[_LeafCalcStart]],WORKDAY.INTL(Tasks[[#This Row],[_LeafCalcStart]],Tasks[[#This Row],[_AlapShift]],WorkWeek,Holidays)))</f>
        <v/>
      </c>
      <c r="EP76" s="74" t="str">
        <f aca="false">IF(NOT(Tasks[[#This Row],[_IsLeaf]]=1),"",IF(Tasks[[#This Row],[_AlapShift]]=0,Tasks[[#This Row],[_LeafCalcFinish]],WORKDAY.INTL(Tasks[[#This Row],[_LeafCalcFinish]],Tasks[[#This Row],[_AlapShift]],WorkWeek,Holidays)))</f>
        <v/>
      </c>
      <c r="EQ76" s="74" t="str">
        <f aca="false">IF(NOT(Tasks[[#This Row],[_IsLeaf]]=1),"",IF(Tasks[[#This Row],[_AlapShift]]=0,Tasks[[#This Row],[_LeafFcstStart]],WORKDAY.INTL(Tasks[[#This Row],[_LeafFcstStart]],Tasks[[#This Row],[_AlapShift]],WorkWeek,Holidays)))</f>
        <v/>
      </c>
      <c r="ER76" s="74" t="str">
        <f aca="false">IF(NOT(Tasks[[#This Row],[_IsLeaf]]=1),"",IF(Tasks[[#This Row],[_AlapShift]]=0,Tasks[[#This Row],[_LeafFcstFinish]],WORKDAY.INTL(Tasks[[#This Row],[_LeafFcstFinish]],Tasks[[#This Row],[_AlapShift]],WorkWeek,Holidays)))</f>
        <v/>
      </c>
      <c r="ES76" s="74" t="str">
        <f aca="false">IF(Tasks[[#This Row],[Task Name]]="","",IF(Tasks[[#This Row],[_IsSummary]],MIN(INDEX(Tasks[_ShownCalcStart],Tasks[[#This Row],[_Row]]+1):INDEX(Tasks[_ShownCalcStart],Tasks[[#This Row],[_Row]]+Tasks[[#This Row],[_Descendants]])),Tasks[[#This Row],[_ShownCalcStart]]))</f>
        <v/>
      </c>
      <c r="ET76" s="74" t="str">
        <f aca="false">IF(Tasks[[#This Row],[Task Name]]="","",IF(Tasks[[#This Row],[_IsSummary]],MAX(INDEX(Tasks[_ShownCalcFinish],Tasks[[#This Row],[_Row]]+1):INDEX(Tasks[_ShownCalcFinish],Tasks[[#This Row],[_Row]]+Tasks[[#This Row],[_Descendants]])),Tasks[[#This Row],[_ShownCalcFinish]]))</f>
        <v/>
      </c>
      <c r="EU7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7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7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7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7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7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7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7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7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7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7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7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76" s="45" t="n">
        <f aca="false">IF(AND(Tasks[[#This Row],[_IsLeaf]]=1,Tasks[[#This Row],[_LeafTotalWork]]&gt;0),NETWORKDAYS.INTL(ProjectStart,Tasks[[#This Row],[_ShownFcstStart]],WorkWeek,Holidays),0)</f>
        <v>0</v>
      </c>
      <c r="FH76" s="45" t="n">
        <f aca="false">IF(AND(Tasks[[#This Row],[_IsLeaf]]=1,Tasks[[#This Row],[_LeafTotalWork]]&gt;0),MAX(Tasks[[#This Row],[_StartWorkday]],NETWORKDAYS.INTL(ProjectStart,Tasks[[#This Row],[_ShownFcstFinish]],WorkWeek,Holidays)),0)</f>
        <v>0</v>
      </c>
      <c r="FI76" s="45" t="n">
        <f aca="false">IF(AND(Tasks[[#This Row],[_IsLeaf]]=1,Tasks[[#This Row],[_LeafTotalWork]]&gt;0),Tasks[[#This Row],[_LeafWork]]/(Tasks[[#This Row],[_FinishWorkday]]-Tasks[[#This Row],[_StartWorkday]]+1),0)</f>
        <v>0</v>
      </c>
      <c r="FJ76" s="45" t="n">
        <f aca="false">Tasks[[#This Row],[_WorkPerWorkday]]*(Tasks[[#This Row],[_StartWorkday]]-1)</f>
        <v>-0</v>
      </c>
      <c r="FK76" s="45" t="n">
        <f aca="false">IF(Tasks[[#This Row],[_IsLeaf]]=1,MAX(N(Tasks[[#This Row],[Duration]]),0.1),0)</f>
        <v>0</v>
      </c>
      <c r="FL76" s="45" t="n">
        <f aca="false">Tasks[[#This Row],[_WeightDur]]*Tasks[[#This Row],[_LeafProgress]]</f>
        <v>0</v>
      </c>
      <c r="FM7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76" s="45" t="str">
        <f aca="false">IF(AND(Tasks[[#This Row],[_IsLeaf]]=1,N(Tasks[[#This Row],[Duration]])=0,Tasks[[#This Row],[_LeafProgress]]&lt;1),Tasks[[#This Row],[_ShownFcstFinish]]+Tasks[[#This Row],[_Row]]/100000,"")</f>
        <v/>
      </c>
      <c r="FO7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76" s="45" t="n">
        <f aca="false">IF(NOT(Tasks[[#This Row],[_IsLeaf]]=1),0,IF(Tasks[[#This Row],[Baseline Cost]]="",Tasks[[#This Row],[_LeafTotalCost]],N(Tasks[[#This Row],[Baseline Cost]])))</f>
        <v>0</v>
      </c>
      <c r="FQ76" s="45" t="n">
        <f aca="false">Tasks[[#This Row],[_LeafBudget]]*Tasks[[#This Row],[_PlannedPct]]</f>
        <v>0</v>
      </c>
      <c r="FR76" s="45" t="n">
        <f aca="false">Tasks[[#This Row],[_LeafBudget]]*Tasks[[#This Row],[_LeafProgress]]</f>
        <v>0</v>
      </c>
      <c r="FS76" s="45" t="n">
        <f aca="false">IF(NOT(Tasks[[#This Row],[_IsLeaf]]=1),0,IF(Tasks[[#This Row],[Actual Cost]]="",Tasks[[#This Row],[_LeafTotalCost]]*Tasks[[#This Row],[_LeafProgress]],N(Tasks[[#This Row],[Actual Cost]])))</f>
        <v>0</v>
      </c>
      <c r="FT76" s="45" t="str">
        <f aca="false">IF(Tasks[[#This Row],[Task Name]]="","",LEFT(Tasks[[#This Row],[WBS]],FIND(".",Tasks[[#This Row],[WBS]]&amp;".")-1))</f>
        <v/>
      </c>
      <c r="FU76" s="45" t="str">
        <f aca="false">IF(AND(Tasks[[#This Row],[Task Name]]&lt;&gt;"",Tasks[[#This Row],[_Level]]=1),Tasks[[#This Row],[_Row]],"")</f>
        <v/>
      </c>
      <c r="FV76" s="45" t="str">
        <f aca="false">IF(AND(Tasks[[#This Row],[_IsLeaf]]=1,N(Tasks[[#This Row],[Duration]])=0),Tasks[[#This Row],[Planned Finish]]+Tasks[[#This Row],[_Row]]/100000,"")</f>
        <v/>
      </c>
      <c r="FW76" s="45" t="str">
        <f aca="false">IF(AND(Tasks[[#This Row],[_IsLeaf]]=1,Tasks[[#This Row],[_LeafProgress]]&lt;1,OR(N(Tasks[[#This Row],[Finish Var]])&gt;0,Tasks[[#This Row],[Status]]="Late Start")),MAX(0,Tasks[[#This Row],[Finish Var]])+1-Tasks[[#This Row],[_Row]]/1000000,"")</f>
        <v/>
      </c>
      <c r="FX76" s="45" t="str">
        <f aca="false">IF(AND(Tasks[[#This Row],[_IsLeaf]]=1,N(Tasks[[#This Row],[Actual Start]])=0,Tasks[[#This Row],[_ShownFcstStart]]&gt;=StatusDate,Tasks[[#This Row],[_ShownFcstStart]]&lt;=LookaheadEnd),Tasks[[#This Row],[_ShownFcstStart]]+Tasks[[#This Row],[_Row]]/100000,"")</f>
        <v/>
      </c>
      <c r="FY76" s="45" t="str">
        <f aca="false">IF(AND(Tasks[[#This Row],[_IsLeaf]]=1,Tasks[[#This Row],[_LeafProgress]]&lt;1,Tasks[[#This Row],[_ShownFcstFinish]]&gt;=StatusDate,Tasks[[#This Row],[_ShownFcstFinish]]&lt;=LookaheadEnd),Tasks[[#This Row],[_ShownFcstFinish]]+Tasks[[#This Row],[_Row]]/100000,"")</f>
        <v/>
      </c>
      <c r="FZ76" s="45" t="str">
        <f aca="false">IF(Tasks[[#This Row],[_LeafCritical]],Tasks[[#This Row],[_ShownFcstStart]]+Tasks[[#This Row],[_Row]]/100000,"")</f>
        <v/>
      </c>
      <c r="GA76" s="45" t="n">
        <f aca="false">Tasks[[#This Row],[_LeafWork]]*Tasks[[#This Row],[_LeafProgress]]</f>
        <v>0</v>
      </c>
      <c r="GB76" s="74" t="str">
        <f aca="false">IF(AND(Tasks[[#This Row],[_IsLeaf]]=1,Tasks[[#This Row],[_LeafProgress]]&gt;=1),IF(N(Tasks[[#This Row],[Actual Finish]])&gt;0,Tasks[[#This Row],[Actual Finish]],Tasks[[#This Row],[_ShownFcstFinish]]),"")</f>
        <v/>
      </c>
    </row>
    <row r="77" customFormat="false" ht="15" hidden="false" customHeight="false" outlineLevel="0" collapsed="false">
      <c r="A77" s="67" t="str">
        <f aca="false">IF(Tasks[[#This Row],[Task Name]]="","",COUNTA(Tasks[[#Headers],[Task Name]]:Tasks[[#This Row],[Task Name]])-1)</f>
        <v/>
      </c>
      <c r="B77" s="21" t="n">
        <v>72</v>
      </c>
      <c r="C7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21"/>
      <c r="E77" s="22"/>
      <c r="F77" s="21"/>
      <c r="G77" s="22"/>
      <c r="H77" s="22"/>
      <c r="I77" s="22"/>
      <c r="J77" s="7"/>
      <c r="K77" s="7"/>
      <c r="L77" s="22"/>
      <c r="M77" s="58" t="str">
        <f aca="false">IF(Tasks[[#This Row],[Task Name]]="","",IF(Tasks[[#This Row],[_IsSummary]],MIN(INDEX(Tasks[_ShownFcstStart],Tasks[[#This Row],[_Row]]+1):INDEX(Tasks[_ShownFcstStart],Tasks[[#This Row],[_Row]]+Tasks[[#This Row],[_Descendants]])),Tasks[[#This Row],[_ShownFcstStart]]))</f>
        <v/>
      </c>
      <c r="N77" s="58" t="str">
        <f aca="false">IF(Tasks[[#This Row],[Task Name]]="","",IF(Tasks[[#This Row],[_IsSummary]],MAX(INDEX(Tasks[_ShownFcstFinish],Tasks[[#This Row],[_Row]]+1):INDEX(Tasks[_ShownFcstFinish],Tasks[[#This Row],[_Row]]+Tasks[[#This Row],[_Descendants]])),Tasks[[#This Row],[_ShownFcstFinish]]))</f>
        <v/>
      </c>
      <c r="O77" s="20" t="str">
        <f aca="false">IF(Tasks[[#This Row],[Task Name]]="","",IF(Tasks[[#This Row],[Progress]]&gt;=1,"Complete",IF(OR(N(Tasks[[#This Row],[Actual Start]])&gt;0,Tasks[[#This Row],[Progress]]&gt;0),IF(Tasks[[#This Row],[Finish Var]]&gt;0,"Behind","In Progress"),IF(Tasks[[#This Row],[Planned Start]]&lt;StatusDate,"Late Start","Not Started"))))</f>
        <v/>
      </c>
      <c r="P77" s="20" t="str">
        <f aca="false">IF(Tasks[[#This Row],[Task Name]]="","",IF(IF(Tasks[[#This Row],[_IsSummary]],COUNTIF(INDEX(Tasks[_LeafCritical],Tasks[[#This Row],[_Row]]+1):INDEX(Tasks[_LeafCritical],Tasks[[#This Row],[_Row]]+Tasks[[#This Row],[_Descendants]]),TRUE())&gt;0,Tasks[[#This Row],[_LeafCritical]]),"Yes",""))</f>
        <v/>
      </c>
      <c r="Q7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77" s="67" t="str">
        <f aca="false">IF(Tasks[[#This Row],[Task Name]]="","",IF(Tasks[[#This Row],[_Level]]&lt;=OutlineShowLevel,"Yes","No"))</f>
        <v/>
      </c>
      <c r="S77" s="7"/>
      <c r="T77" s="21"/>
      <c r="U77" s="22"/>
      <c r="V77" s="7"/>
      <c r="W77" s="67" t="str">
        <f aca="false">IF(Tasks[[#This Row],[Task Name]]="","",IF(Tasks[[#This Row],[Finish]]&gt;=Tasks[[#This Row],[Planned Finish]],NETWORKDAYS.INTL(Tasks[[#This Row],[Planned Finish]],Tasks[[#This Row],[Finish]],WorkWeek,Holidays)-1,1-NETWORKDAYS.INTL(Tasks[[#This Row],[Finish]],Tasks[[#This Row],[Planned Finish]],WorkWeek,Holidays)))</f>
        <v/>
      </c>
      <c r="X77" s="58" t="str">
        <f aca="false">IF(Tasks[[#This Row],[Task Name]]="","",IF(N(Tasks[[#This Row],[Baseline Start]])&gt;0,Tasks[[#This Row],[Baseline Start]],Tasks[[#This Row],[_CalcStart]]))</f>
        <v/>
      </c>
      <c r="Y77" s="58" t="str">
        <f aca="false">IF(Tasks[[#This Row],[Task Name]]="","",IF(N(Tasks[[#This Row],[Baseline Finish]])&gt;0,Tasks[[#This Row],[Baseline Finish]],Tasks[[#This Row],[_CalcFinish]]))</f>
        <v/>
      </c>
      <c r="Z77" s="67" t="str">
        <f aca="false">IF(Tasks[[#This Row],[Task Name]]="","",IF(Tasks[[#This Row],[Start]]&gt;=Tasks[[#This Row],[Planned Start]],NETWORKDAYS.INTL(Tasks[[#This Row],[Planned Start]],Tasks[[#This Row],[Start]],WorkWeek,Holidays)-1,1-NETWORKDAYS.INTL(Tasks[[#This Row],[Start]],Tasks[[#This Row],[Planned Start]],WorkWeek,Holidays)))</f>
        <v/>
      </c>
      <c r="AA77" s="58" t="str">
        <f aca="false">IF(Tasks[[#This Row],[Task Name]]="","",IF(Tasks[[#This Row],[_IsSummary]],MIN(INDEX(Tasks[_LeafLateStart],Tasks[[#This Row],[_Row]]+1):INDEX(Tasks[_LeafLateStart],Tasks[[#This Row],[_Row]]+Tasks[[#This Row],[_Descendants]])),Tasks[[#This Row],[_LeafLateStart]]))</f>
        <v/>
      </c>
      <c r="AB77" s="58" t="str">
        <f aca="false">IF(Tasks[[#This Row],[Task Name]]="","",IF(Tasks[[#This Row],[_IsSummary]],MAX(INDEX(Tasks[_LeafLateFinish],Tasks[[#This Row],[_Row]]+1):INDEX(Tasks[_LeafLateFinish],Tasks[[#This Row],[_Row]]+Tasks[[#This Row],[_Descendants]])),Tasks[[#This Row],[_LeafLateFinish]]))</f>
        <v/>
      </c>
      <c r="AC77" s="67" t="str">
        <f aca="false">IF(Tasks[[#This Row],[Task Name]]="","",IF(Tasks[[#This Row],[_IsSummary]],MIN(INDEX(Tasks[_LeafTotalSlack],Tasks[[#This Row],[_Row]]+1):INDEX(Tasks[_LeafTotalSlack],Tasks[[#This Row],[_Row]]+Tasks[[#This Row],[_Descendants]])),Tasks[[#This Row],[_LeafTotalSlack]]))</f>
        <v/>
      </c>
      <c r="AD7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7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7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77" s="60"/>
      <c r="AH7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7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77" s="69" t="str">
        <f aca="false">IF(Tasks[[#This Row],[Task Name]]="","",IF(Tasks[[#This Row],[_IsSummary]],SUM(INDEX(Tasks[_LeafTotalWork],Tasks[[#This Row],[_Row]]+1):INDEX(Tasks[_LeafTotalWork],Tasks[[#This Row],[_Row]]+Tasks[[#This Row],[_Descendants]])),Tasks[[#This Row],[_LeafTotalWork]]))</f>
        <v/>
      </c>
      <c r="AK7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77" s="70" t="str">
        <f aca="false">IF(Tasks[[#This Row],[Task Name]]="","",IF(Tasks[[#This Row],[_IsSummary]],SUM(INDEX(Tasks[_LeafTotalCost],Tasks[[#This Row],[_Row]]+1):INDEX(Tasks[_LeafTotalCost],Tasks[[#This Row],[_Row]]+Tasks[[#This Row],[_Descendants]])),Tasks[[#This Row],[_LeafTotalCost]]))</f>
        <v/>
      </c>
      <c r="AM77" s="71"/>
      <c r="AN77" s="20" t="str">
        <f aca="false">IF(OR(Tasks[[#This Row],[Task Name]]="",Tasks[[#This Row],[Baseline Duration]]=""),"",Tasks[[#This Row],[BL Source Duration]]-N(Tasks[[#This Row],[Baseline Duration]]))</f>
        <v/>
      </c>
      <c r="AO77" s="69" t="str">
        <f aca="false">IF(OR(Tasks[[#This Row],[Task Name]]="",Tasks[[#This Row],[Baseline Work]]=""),"",Tasks[[#This Row],[Work]]-N(Tasks[[#This Row],[Baseline Work]]))</f>
        <v/>
      </c>
      <c r="AP77" s="70" t="str">
        <f aca="false">IF(OR(Tasks[[#This Row],[Task Name]]="",Tasks[[#This Row],[Baseline Cost]]=""),"",Tasks[[#This Row],[Cost]]-N(Tasks[[#This Row],[Baseline Cost]]))</f>
        <v/>
      </c>
      <c r="AQ77" s="58" t="str">
        <f aca="false">IF(Tasks[[#This Row],[Task Name]]="","",Tasks[[#This Row],[Start]])</f>
        <v/>
      </c>
      <c r="AR77" s="58" t="str">
        <f aca="false">IF(Tasks[[#This Row],[Task Name]]="","",Tasks[[#This Row],[Finish]])</f>
        <v/>
      </c>
      <c r="AS77" s="67" t="str">
        <f aca="false">IF(Tasks[[#This Row],[Task Name]]="","",IF(Tasks[[#This Row],[_IsSummary]],NETWORKDAYS.INTL(Tasks[[#This Row],[Start]],Tasks[[#This Row],[Finish]],WorkWeek,Holidays),N(Tasks[[#This Row],[Duration]])))</f>
        <v/>
      </c>
      <c r="AT77" s="69" t="str">
        <f aca="false">IF(Tasks[[#This Row],[Task Name]]="","",Tasks[[#This Row],[Work]])</f>
        <v/>
      </c>
      <c r="AU77" s="70" t="str">
        <f aca="false">IF(Tasks[[#This Row],[Task Name]]="","",Tasks[[#This Row],[Cost]])</f>
        <v/>
      </c>
      <c r="AV77" s="7"/>
      <c r="AW77" s="7"/>
      <c r="AX77" s="21"/>
      <c r="AY77" s="72"/>
      <c r="AZ77" s="71"/>
      <c r="BA77" s="70" t="str">
        <f aca="false">IF(Tasks[[#This Row],[Task Name]]="","",IF(Tasks[[#This Row],[_IsSummary]],SUM(INDEX(Tasks[_LeafEV],Tasks[[#This Row],[_Row]]+1):INDEX(Tasks[_LeafEV],Tasks[[#This Row],[_Row]]+Tasks[[#This Row],[_Descendants]])),Tasks[[#This Row],[_LeafEV]]))</f>
        <v/>
      </c>
      <c r="BB77" s="70" t="str">
        <f aca="false">IF(Tasks[[#This Row],[Task Name]]="","",IF(Tasks[[#This Row],[_IsSummary]],SUM(INDEX(Tasks[_LeafBudget],Tasks[[#This Row],[_Row]]+1):INDEX(Tasks[_LeafBudget],Tasks[[#This Row],[_Row]]+Tasks[[#This Row],[_Descendants]])),Tasks[[#This Row],[_LeafBudget]]))</f>
        <v/>
      </c>
      <c r="BC77" s="70" t="str">
        <f aca="false">IF(Tasks[[#This Row],[Task Name]]="","",IF(Tasks[[#This Row],[_IsSummary]],SUM(INDEX(Tasks[_LeafPV],Tasks[[#This Row],[_Row]]+1):INDEX(Tasks[_LeafPV],Tasks[[#This Row],[_Row]]+Tasks[[#This Row],[_Descendants]])),Tasks[[#This Row],[_LeafPV]]))</f>
        <v/>
      </c>
      <c r="BD77" s="70" t="str">
        <f aca="false">IF(Tasks[[#This Row],[Task Name]]="","",IF(Tasks[[#This Row],[_IsSummary]],SUM(INDEX(Tasks[_LeafAC],Tasks[[#This Row],[_Row]]+1):INDEX(Tasks[_LeafAC],Tasks[[#This Row],[_Row]]+Tasks[[#This Row],[_Descendants]])),Tasks[[#This Row],[_LeafAC]]))</f>
        <v/>
      </c>
      <c r="BE77" s="45" t="str">
        <f aca="false">IF(Tasks[[#This Row],[Task Name]]="","",MAX(1,N(Tasks[[#This Row],[Level]])))</f>
        <v/>
      </c>
      <c r="BF77" s="45" t="n">
        <f aca="false">ROW()-ROW(Tasks[[#Headers],[ID]])</f>
        <v>72</v>
      </c>
      <c r="BG77" s="45" t="n">
        <f aca="false">IF(OR(Tasks[[#This Row],[Task Name]]="",Tasks[[#This Row],[_Level]]&lt;=1),0,IFERROR(LOOKUP(2,1/(Tasks[[#Headers],[_Level]]:Tasks[[#This Row],[_Level]]=Tasks[[#This Row],[_Level]]-1),ROW(Tasks[[#Headers],[_Level]]:Tasks[[#This Row],[_Level]])),0))</f>
        <v>0</v>
      </c>
      <c r="BH77" s="45" t="n">
        <f aca="false">IFERROR(N(INDEX(Tasks[_Level],Tasks[[#This Row],[_Row]]+1)),0)</f>
        <v>0</v>
      </c>
      <c r="BI77" s="73" t="b">
        <f aca="false">AND(Tasks[[#This Row],[Task Name]]&lt;&gt;"",Tasks[[#This Row],[_NextLevel]]&gt;Tasks[[#This Row],[_Level]])</f>
        <v>0</v>
      </c>
      <c r="BJ77" s="45" t="n">
        <f aca="false">IF(Tasks[[#This Row],[_IsSummary]],COUNTIF(Tasks[WBS],Tasks[[#This Row],[WBS]]&amp;".*"),0)</f>
        <v>0</v>
      </c>
      <c r="BK77" s="45" t="n">
        <f aca="false">IF(AND(Tasks[[#This Row],[Task Name]]&lt;&gt;"",NOT(Tasks[[#This Row],[_IsSummary]])),1,0)</f>
        <v>0</v>
      </c>
      <c r="BL77" s="45" t="n">
        <f aca="false">IF(N(Tasks[[#This Row],[_Pred1UID]])=0,0,IFERROR(MATCH(Tasks[[#This Row],[_Pred1UID]],Tasks[UID],0),-1))</f>
        <v>0</v>
      </c>
      <c r="BM77" s="45" t="n">
        <f aca="false">IF(N(Tasks[[#This Row],[_Pred2UID]])=0,0,IFERROR(MATCH(Tasks[[#This Row],[_Pred2UID]],Tasks[UID],0),-1))</f>
        <v>0</v>
      </c>
      <c r="BN77" s="45" t="n">
        <f aca="false">IF(N(Tasks[[#This Row],[_Pred3UID]])=0,0,IFERROR(MATCH(Tasks[[#This Row],[_Pred3UID]],Tasks[UID],0),-1))</f>
        <v>0</v>
      </c>
      <c r="BO77" s="45" t="n">
        <f aca="false">IF(N(Tasks[[#This Row],[_Pred4UID]])=0,0,IFERROR(MATCH(Tasks[[#This Row],[_Pred4UID]],Tasks[UID],0),-1))</f>
        <v>0</v>
      </c>
      <c r="BP7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7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77" s="74" t="n">
        <f aca="false">IF(OR(Tasks[[#This Row],[_ConstraintCode]]=2,Tasks[[#This Row],[_ConstraintCode]]=3,Tasks[[#This Row],[_ConstraintCode]]=4,Tasks[[#This Row],[_ConstraintCode]]=6),Tasks[[#This Row],[_ConstraintStart]],0)</f>
        <v>0</v>
      </c>
      <c r="BS77" s="74" t="n">
        <f aca="false">IF(OR(Tasks[[#This Row],[_ConstraintCode]]=2,Tasks[[#This Row],[_ConstraintCode]]=3,Tasks[[#This Row],[_ConstraintCode]]=5,Tasks[[#This Row],[_ConstraintCode]]=7),Tasks[[#This Row],[_ConstraintStart]],2958465)</f>
        <v>2958465</v>
      </c>
      <c r="BT7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77" s="74" t="str">
        <f aca="false">IF(NOT(Tasks[[#This Row],[_IsLeaf]]=1),"",IF(N(Tasks[[#This Row],[Duration]])&lt;=0,Tasks[[#This Row],[_LeafCalcStart]],WORKDAY.INTL(Tasks[[#This Row],[_LeafCalcStart]],Tasks[[#This Row],[Duration]]-1,WorkWeek,Holidays)))</f>
        <v/>
      </c>
      <c r="BV7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7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77" s="45" t="str">
        <f aca="false">IF(Tasks[[#This Row],[Predecessors]]="","",TRIM(MID(SUBSTITUTE(SUBSTITUTE(SUBSTITUTE(UPPER(Tasks[[#This Row],[Predecessors]]),";",",")," ",""),",",REPT(" ",99)),1,99)))</f>
        <v/>
      </c>
      <c r="BY77" s="45" t="str">
        <f aca="false">IF(Tasks[[#This Row],[_Pred1Text]]="","",IFERROR(VALUE(LEFT(Tasks[[#This Row],[_Pred1Text]],MIN(FIND("F",Tasks[[#This Row],[_Pred1Text]]&amp;"F"),FIND("S",Tasks[[#This Row],[_Pred1Text]]&amp;"S"),FIND("+",Tasks[[#This Row],[_Pred1Text]]&amp;"+"),FIND("-",Tasks[[#This Row],[_Pred1Text]]&amp;"-"))-1)),""))</f>
        <v/>
      </c>
      <c r="BZ7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7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77" s="45" t="str">
        <f aca="false">IF(Tasks[[#This Row],[_Pred1Text]]="","",TRIM(MID(SUBSTITUTE(SUBSTITUTE(SUBSTITUTE(UPPER(Tasks[[#This Row],[Predecessors]]),";",",")," ",""),",",REPT(" ",99)),100,99)))</f>
        <v/>
      </c>
      <c r="CC77" s="45" t="str">
        <f aca="false">IF(Tasks[[#This Row],[_Pred2Text]]="","",IFERROR(VALUE(LEFT(Tasks[[#This Row],[_Pred2Text]],MIN(FIND("F",Tasks[[#This Row],[_Pred2Text]]&amp;"F"),FIND("S",Tasks[[#This Row],[_Pred2Text]]&amp;"S"),FIND("+",Tasks[[#This Row],[_Pred2Text]]&amp;"+"),FIND("-",Tasks[[#This Row],[_Pred2Text]]&amp;"-"))-1)),""))</f>
        <v/>
      </c>
      <c r="CD7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7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77" s="45" t="str">
        <f aca="false">IF(Tasks[[#This Row],[_Pred2Text]]="","",TRIM(MID(SUBSTITUTE(SUBSTITUTE(SUBSTITUTE(UPPER(Tasks[[#This Row],[Predecessors]]),";",",")," ",""),",",REPT(" ",99)),199,99)))</f>
        <v/>
      </c>
      <c r="CG77" s="45" t="str">
        <f aca="false">IF(Tasks[[#This Row],[_Pred3Text]]="","",IFERROR(VALUE(LEFT(Tasks[[#This Row],[_Pred3Text]],MIN(FIND("F",Tasks[[#This Row],[_Pred3Text]]&amp;"F"),FIND("S",Tasks[[#This Row],[_Pred3Text]]&amp;"S"),FIND("+",Tasks[[#This Row],[_Pred3Text]]&amp;"+"),FIND("-",Tasks[[#This Row],[_Pred3Text]]&amp;"-"))-1)),""))</f>
        <v/>
      </c>
      <c r="CH7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7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77" s="45" t="str">
        <f aca="false">IF(Tasks[[#This Row],[_Pred3Text]]="","",TRIM(MID(SUBSTITUTE(SUBSTITUTE(SUBSTITUTE(UPPER(Tasks[[#This Row],[Predecessors]]),";",",")," ",""),",",REPT(" ",99)),298,99)))</f>
        <v/>
      </c>
      <c r="CK77" s="45" t="str">
        <f aca="false">IF(Tasks[[#This Row],[_Pred4Text]]="","",IFERROR(VALUE(LEFT(Tasks[[#This Row],[_Pred4Text]],MIN(FIND("F",Tasks[[#This Row],[_Pred4Text]]&amp;"F"),FIND("S",Tasks[[#This Row],[_Pred4Text]]&amp;"S"),FIND("+",Tasks[[#This Row],[_Pred4Text]]&amp;"+"),FIND("-",Tasks[[#This Row],[_Pred4Text]]&amp;"-"))-1)),""))</f>
        <v/>
      </c>
      <c r="CL7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7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77" s="45" t="str">
        <f aca="false">IF(OR(Tasks[[#This Row],[Task Name]]="",Tasks[[#This Row],[Resources]]=""),"",TRIM(MID(SUBSTITUTE(Tasks[[#This Row],[Resources]],",",REPT(" ",99)),1,99)))</f>
        <v/>
      </c>
      <c r="CO77" s="45" t="str">
        <f aca="false">IF(Tasks[[#This Row],[_Res1Text]]="","",TRIM(MID(SUBSTITUTE(Tasks[[#This Row],[Resources]],",",REPT(" ",99)),100,99)))</f>
        <v/>
      </c>
      <c r="CP77" s="45" t="str">
        <f aca="false">IF(Tasks[[#This Row],[_Res2Text]]="","",TRIM(MID(SUBSTITUTE(Tasks[[#This Row],[Resources]],",",REPT(" ",99)),199,99)))</f>
        <v/>
      </c>
      <c r="CQ77" s="45" t="str">
        <f aca="false">IF(Tasks[[#This Row],[_Res3Text]]="","",TRIM(MID(SUBSTITUTE(Tasks[[#This Row],[Resources]],",",REPT(" ",99)),298,99)))</f>
        <v/>
      </c>
      <c r="CR7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7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7" s="45" t="n">
        <f aca="false">IF(NOT(Tasks[[#This Row],[_IsLeaf]]=1),0,(Tasks[[#This Row],[_Resource1]]&lt;&gt;"")+(Tasks[[#This Row],[_Res2]]&lt;&gt;"")+(Tasks[[#This Row],[_Res3]]&lt;&gt;"")+(Tasks[[#This Row],[_Res4]]&lt;&gt;""))</f>
        <v>0</v>
      </c>
      <c r="CU7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7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7" s="45" t="n">
        <f aca="false">IF(OR(NOT(Tasks[[#This Row],[_IsLeaf]]=1),Tasks[[#This Row],[_Res2]]=""),0,IF(ISNA(MATCH(Tasks[[#This Row],[_Res2]],res_Name,0)),0,N(Tasks[[#This Row],[Duration]])*HoursPerDay*IF(Tasks[[#This Row],[_Res2Units]]="",DefaultUnits,Tasks[[#This Row],[_Res2Units]])))</f>
        <v>0</v>
      </c>
      <c r="CX77" s="45" t="n">
        <f aca="false">IF(Tasks[[#This Row],[_Res2Work]]=0,0,Tasks[[#This Row],[_Res2Work]]*IFERROR(INDEX(res_Rate,MATCH(Tasks[[#This Row],[_Res2]],res_Name,0)),0))</f>
        <v>0</v>
      </c>
      <c r="CY77" s="45" t="n">
        <f aca="false">IF(AND(AND(Tasks[[#This Row],[_IsLeaf]]=1,Tasks[[#This Row],[_LeafTotalWork]]&gt;0),Tasks[[#This Row],[_Res2Work]]&gt;0),Tasks[[#This Row],[_Res2Work]]/(Tasks[[#This Row],[_FinishWorkday]]-Tasks[[#This Row],[_StartWorkday]]+1),0)</f>
        <v>0</v>
      </c>
      <c r="CZ77" s="45" t="n">
        <f aca="false">Tasks[[#This Row],[_Res2WorkPerWD]]*MAX(0,Tasks[[#This Row],[_StartWorkday]]-1)</f>
        <v>0</v>
      </c>
      <c r="DA77" s="45" t="n">
        <f aca="false">Tasks[[#This Row],[_Res2Work]]*Tasks[[#This Row],[_LeafProgress]]</f>
        <v>0</v>
      </c>
      <c r="DB77" s="45" t="n">
        <f aca="false">IF(Tasks[[#This Row],[_LeafTotalCost]]=0,0,Tasks[[#This Row],[_LeafAC]]*Tasks[[#This Row],[_Res2Cost]]/Tasks[[#This Row],[_LeafTotalCost]])</f>
        <v>0</v>
      </c>
      <c r="DC7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7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77" s="45" t="n">
        <f aca="false">IF(OR(NOT(Tasks[[#This Row],[_IsLeaf]]=1),Tasks[[#This Row],[_Res3]]=""),0,IF(ISNA(MATCH(Tasks[[#This Row],[_Res3]],res_Name,0)),0,N(Tasks[[#This Row],[Duration]])*HoursPerDay*IF(Tasks[[#This Row],[_Res3Units]]="",DefaultUnits,Tasks[[#This Row],[_Res3Units]])))</f>
        <v>0</v>
      </c>
      <c r="DF77" s="45" t="n">
        <f aca="false">IF(Tasks[[#This Row],[_Res3Work]]=0,0,Tasks[[#This Row],[_Res3Work]]*IFERROR(INDEX(res_Rate,MATCH(Tasks[[#This Row],[_Res3]],res_Name,0)),0))</f>
        <v>0</v>
      </c>
      <c r="DG77" s="45" t="n">
        <f aca="false">IF(AND(AND(Tasks[[#This Row],[_IsLeaf]]=1,Tasks[[#This Row],[_LeafTotalWork]]&gt;0),Tasks[[#This Row],[_Res3Work]]&gt;0),Tasks[[#This Row],[_Res3Work]]/(Tasks[[#This Row],[_FinishWorkday]]-Tasks[[#This Row],[_StartWorkday]]+1),0)</f>
        <v>0</v>
      </c>
      <c r="DH77" s="45" t="n">
        <f aca="false">Tasks[[#This Row],[_Res3WorkPerWD]]*MAX(0,Tasks[[#This Row],[_StartWorkday]]-1)</f>
        <v>0</v>
      </c>
      <c r="DI77" s="45" t="n">
        <f aca="false">Tasks[[#This Row],[_Res3Work]]*Tasks[[#This Row],[_LeafProgress]]</f>
        <v>0</v>
      </c>
      <c r="DJ77" s="45" t="n">
        <f aca="false">IF(Tasks[[#This Row],[_LeafTotalCost]]=0,0,Tasks[[#This Row],[_LeafAC]]*Tasks[[#This Row],[_Res3Cost]]/Tasks[[#This Row],[_LeafTotalCost]])</f>
        <v>0</v>
      </c>
      <c r="DK7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7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77" s="45" t="n">
        <f aca="false">IF(OR(NOT(Tasks[[#This Row],[_IsLeaf]]=1),Tasks[[#This Row],[_Res4]]=""),0,IF(ISNA(MATCH(Tasks[[#This Row],[_Res4]],res_Name,0)),0,N(Tasks[[#This Row],[Duration]])*HoursPerDay*IF(Tasks[[#This Row],[_Res4Units]]="",DefaultUnits,Tasks[[#This Row],[_Res4Units]])))</f>
        <v>0</v>
      </c>
      <c r="DN77" s="45" t="n">
        <f aca="false">IF(Tasks[[#This Row],[_Res4Work]]=0,0,Tasks[[#This Row],[_Res4Work]]*IFERROR(INDEX(res_Rate,MATCH(Tasks[[#This Row],[_Res4]],res_Name,0)),0))</f>
        <v>0</v>
      </c>
      <c r="DO77" s="45" t="n">
        <f aca="false">IF(AND(AND(Tasks[[#This Row],[_IsLeaf]]=1,Tasks[[#This Row],[_LeafTotalWork]]&gt;0),Tasks[[#This Row],[_Res4Work]]&gt;0),Tasks[[#This Row],[_Res4Work]]/(Tasks[[#This Row],[_FinishWorkday]]-Tasks[[#This Row],[_StartWorkday]]+1),0)</f>
        <v>0</v>
      </c>
      <c r="DP77" s="45" t="n">
        <f aca="false">Tasks[[#This Row],[_Res4WorkPerWD]]*MAX(0,Tasks[[#This Row],[_StartWorkday]]-1)</f>
        <v>0</v>
      </c>
      <c r="DQ77" s="45" t="n">
        <f aca="false">Tasks[[#This Row],[_Res4Work]]*Tasks[[#This Row],[_LeafProgress]]</f>
        <v>0</v>
      </c>
      <c r="DR77" s="45" t="n">
        <f aca="false">IF(Tasks[[#This Row],[_LeafTotalCost]]=0,0,Tasks[[#This Row],[_LeafAC]]*Tasks[[#This Row],[_Res4Cost]]/Tasks[[#This Row],[_LeafTotalCost]])</f>
        <v>0</v>
      </c>
      <c r="DS77" s="45" t="n">
        <f aca="false">IF(ISNUMBER(Tasks[[#This Row],[% Complete]]),Tasks[[#This Row],[% Complete]],IF(Tasks[[#This Row],[Stage]]="",0,IFERROR(INDEX(stg_Pct,MATCH(Tasks[[#This Row],[Stage]],stg_Name,0)),0)))</f>
        <v>0</v>
      </c>
      <c r="DT77" s="45" t="n">
        <f aca="false">IF(NOT(Tasks[[#This Row],[_IsLeaf]]=1),0,IF(N(Tasks[[#This Row],[Actual Finish]])&gt;0,1,MIN(1,Tasks[[#This Row],[_Pct]])))</f>
        <v>0</v>
      </c>
      <c r="DU77" s="45" t="n">
        <f aca="false">IF(OR(NOT(Tasks[[#This Row],[_IsLeaf]]=1),Tasks[[#This Row],[_Resource1]]=""),0,IF(ISNA(MATCH(Tasks[[#This Row],[_Resource1]],res_Name,0)),0,N(Tasks[[#This Row],[Duration]])*HoursPerDay*IF(Tasks[[#This Row],[_Units1]]="",DefaultUnits,Tasks[[#This Row],[_Units1]])))</f>
        <v>0</v>
      </c>
      <c r="DV77" s="45" t="n">
        <f aca="false">IF(Tasks[[#This Row],[_LeafWork]]=0,0,Tasks[[#This Row],[_LeafWork]]*IFERROR(INDEX(res_Rate,MATCH(Tasks[[#This Row],[_Resource1]],res_Name,0)),0))</f>
        <v>0</v>
      </c>
      <c r="DW77" s="45" t="n">
        <f aca="false">Tasks[[#This Row],[_LeafWork]]+Tasks[[#This Row],[_Res2Work]]+Tasks[[#This Row],[_Res3Work]]+Tasks[[#This Row],[_Res4Work]]</f>
        <v>0</v>
      </c>
      <c r="DX77" s="45" t="n">
        <f aca="false">Tasks[[#This Row],[_LeafCost]]+Tasks[[#This Row],[_Res2Cost]]+Tasks[[#This Row],[_Res3Cost]]+Tasks[[#This Row],[_Res4Cost]]</f>
        <v>0</v>
      </c>
      <c r="DY77" s="45" t="n">
        <f aca="false">IF(Tasks[[#This Row],[_LeafTotalCost]]=0,Tasks[[#This Row],[_LeafAC]],Tasks[[#This Row],[_LeafAC]]*Tasks[[#This Row],[_LeafCost]]/Tasks[[#This Row],[_LeafTotalCost]])</f>
        <v>0</v>
      </c>
      <c r="DZ7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7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7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7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7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7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7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7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77" s="45" t="n">
        <f aca="false">IF(NOT(Tasks[[#This Row],[_IsLeaf]]=1),0,MAX(_xlfn.MAXIFS(Tasks[_Row],Tasks[_Pred1UID],Tasks[[#This Row],[UID]]),_xlfn.MAXIFS(Tasks[_Row],Tasks[_Pred2UID],Tasks[[#This Row],[UID]]),_xlfn.MAXIFS(Tasks[_Row],Tasks[_Pred3UID],Tasks[[#This Row],[UID]]),_xlfn.MAXIFS(Tasks[_Row],Tasks[_Pred4UID],Tasks[[#This Row],[UID]])))</f>
        <v>0</v>
      </c>
      <c r="EI7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7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77" s="74" t="str">
        <f aca="false">IF(NOT(Tasks[[#This Row],[_IsLeaf]]=1),"",IF(N(Tasks[[#This Row],[Duration]])&lt;=0,Tasks[[#This Row],[_LeafLateFinish]],WORKDAY.INTL(Tasks[[#This Row],[_LeafLateFinish]],-(Tasks[[#This Row],[Duration]]-1),WorkWeek,Holidays)))</f>
        <v/>
      </c>
      <c r="EL7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77" s="73" t="b">
        <f aca="false">AND(Tasks[[#This Row],[_IsLeaf]]=1,Tasks[[#This Row],[_LeafProgress]]&lt;1,N(Tasks[[#This Row],[_LeafTotalSlack]])&lt;=CriticalSlackDays)</f>
        <v>0</v>
      </c>
      <c r="EN77" s="45" t="n">
        <f aca="false">IF(AND(Tasks[[#This Row],[_IsLeaf]]=1,Tasks[[#This Row],[_ConstraintCode]]=1,Tasks[[#This Row],[Mode]]&lt;&gt;"Manual",N(Tasks[[#This Row],[Actual Start]])=0),MAX(0,N(Tasks[[#This Row],[Free Slack]])),0)</f>
        <v>0</v>
      </c>
      <c r="EO77" s="74" t="str">
        <f aca="false">IF(NOT(Tasks[[#This Row],[_IsLeaf]]=1),"",IF(Tasks[[#This Row],[_AlapShift]]=0,Tasks[[#This Row],[_LeafCalcStart]],WORKDAY.INTL(Tasks[[#This Row],[_LeafCalcStart]],Tasks[[#This Row],[_AlapShift]],WorkWeek,Holidays)))</f>
        <v/>
      </c>
      <c r="EP77" s="74" t="str">
        <f aca="false">IF(NOT(Tasks[[#This Row],[_IsLeaf]]=1),"",IF(Tasks[[#This Row],[_AlapShift]]=0,Tasks[[#This Row],[_LeafCalcFinish]],WORKDAY.INTL(Tasks[[#This Row],[_LeafCalcFinish]],Tasks[[#This Row],[_AlapShift]],WorkWeek,Holidays)))</f>
        <v/>
      </c>
      <c r="EQ77" s="74" t="str">
        <f aca="false">IF(NOT(Tasks[[#This Row],[_IsLeaf]]=1),"",IF(Tasks[[#This Row],[_AlapShift]]=0,Tasks[[#This Row],[_LeafFcstStart]],WORKDAY.INTL(Tasks[[#This Row],[_LeafFcstStart]],Tasks[[#This Row],[_AlapShift]],WorkWeek,Holidays)))</f>
        <v/>
      </c>
      <c r="ER77" s="74" t="str">
        <f aca="false">IF(NOT(Tasks[[#This Row],[_IsLeaf]]=1),"",IF(Tasks[[#This Row],[_AlapShift]]=0,Tasks[[#This Row],[_LeafFcstFinish]],WORKDAY.INTL(Tasks[[#This Row],[_LeafFcstFinish]],Tasks[[#This Row],[_AlapShift]],WorkWeek,Holidays)))</f>
        <v/>
      </c>
      <c r="ES77" s="74" t="str">
        <f aca="false">IF(Tasks[[#This Row],[Task Name]]="","",IF(Tasks[[#This Row],[_IsSummary]],MIN(INDEX(Tasks[_ShownCalcStart],Tasks[[#This Row],[_Row]]+1):INDEX(Tasks[_ShownCalcStart],Tasks[[#This Row],[_Row]]+Tasks[[#This Row],[_Descendants]])),Tasks[[#This Row],[_ShownCalcStart]]))</f>
        <v/>
      </c>
      <c r="ET77" s="74" t="str">
        <f aca="false">IF(Tasks[[#This Row],[Task Name]]="","",IF(Tasks[[#This Row],[_IsSummary]],MAX(INDEX(Tasks[_ShownCalcFinish],Tasks[[#This Row],[_Row]]+1):INDEX(Tasks[_ShownCalcFinish],Tasks[[#This Row],[_Row]]+Tasks[[#This Row],[_Descendants]])),Tasks[[#This Row],[_ShownCalcFinish]]))</f>
        <v/>
      </c>
      <c r="EU7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7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7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7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7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7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7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7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7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7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7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7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77" s="45" t="n">
        <f aca="false">IF(AND(Tasks[[#This Row],[_IsLeaf]]=1,Tasks[[#This Row],[_LeafTotalWork]]&gt;0),NETWORKDAYS.INTL(ProjectStart,Tasks[[#This Row],[_ShownFcstStart]],WorkWeek,Holidays),0)</f>
        <v>0</v>
      </c>
      <c r="FH77" s="45" t="n">
        <f aca="false">IF(AND(Tasks[[#This Row],[_IsLeaf]]=1,Tasks[[#This Row],[_LeafTotalWork]]&gt;0),MAX(Tasks[[#This Row],[_StartWorkday]],NETWORKDAYS.INTL(ProjectStart,Tasks[[#This Row],[_ShownFcstFinish]],WorkWeek,Holidays)),0)</f>
        <v>0</v>
      </c>
      <c r="FI77" s="45" t="n">
        <f aca="false">IF(AND(Tasks[[#This Row],[_IsLeaf]]=1,Tasks[[#This Row],[_LeafTotalWork]]&gt;0),Tasks[[#This Row],[_LeafWork]]/(Tasks[[#This Row],[_FinishWorkday]]-Tasks[[#This Row],[_StartWorkday]]+1),0)</f>
        <v>0</v>
      </c>
      <c r="FJ77" s="45" t="n">
        <f aca="false">Tasks[[#This Row],[_WorkPerWorkday]]*(Tasks[[#This Row],[_StartWorkday]]-1)</f>
        <v>-0</v>
      </c>
      <c r="FK77" s="45" t="n">
        <f aca="false">IF(Tasks[[#This Row],[_IsLeaf]]=1,MAX(N(Tasks[[#This Row],[Duration]]),0.1),0)</f>
        <v>0</v>
      </c>
      <c r="FL77" s="45" t="n">
        <f aca="false">Tasks[[#This Row],[_WeightDur]]*Tasks[[#This Row],[_LeafProgress]]</f>
        <v>0</v>
      </c>
      <c r="FM7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77" s="45" t="str">
        <f aca="false">IF(AND(Tasks[[#This Row],[_IsLeaf]]=1,N(Tasks[[#This Row],[Duration]])=0,Tasks[[#This Row],[_LeafProgress]]&lt;1),Tasks[[#This Row],[_ShownFcstFinish]]+Tasks[[#This Row],[_Row]]/100000,"")</f>
        <v/>
      </c>
      <c r="FO7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77" s="45" t="n">
        <f aca="false">IF(NOT(Tasks[[#This Row],[_IsLeaf]]=1),0,IF(Tasks[[#This Row],[Baseline Cost]]="",Tasks[[#This Row],[_LeafTotalCost]],N(Tasks[[#This Row],[Baseline Cost]])))</f>
        <v>0</v>
      </c>
      <c r="FQ77" s="45" t="n">
        <f aca="false">Tasks[[#This Row],[_LeafBudget]]*Tasks[[#This Row],[_PlannedPct]]</f>
        <v>0</v>
      </c>
      <c r="FR77" s="45" t="n">
        <f aca="false">Tasks[[#This Row],[_LeafBudget]]*Tasks[[#This Row],[_LeafProgress]]</f>
        <v>0</v>
      </c>
      <c r="FS77" s="45" t="n">
        <f aca="false">IF(NOT(Tasks[[#This Row],[_IsLeaf]]=1),0,IF(Tasks[[#This Row],[Actual Cost]]="",Tasks[[#This Row],[_LeafTotalCost]]*Tasks[[#This Row],[_LeafProgress]],N(Tasks[[#This Row],[Actual Cost]])))</f>
        <v>0</v>
      </c>
      <c r="FT77" s="45" t="str">
        <f aca="false">IF(Tasks[[#This Row],[Task Name]]="","",LEFT(Tasks[[#This Row],[WBS]],FIND(".",Tasks[[#This Row],[WBS]]&amp;".")-1))</f>
        <v/>
      </c>
      <c r="FU77" s="45" t="str">
        <f aca="false">IF(AND(Tasks[[#This Row],[Task Name]]&lt;&gt;"",Tasks[[#This Row],[_Level]]=1),Tasks[[#This Row],[_Row]],"")</f>
        <v/>
      </c>
      <c r="FV77" s="45" t="str">
        <f aca="false">IF(AND(Tasks[[#This Row],[_IsLeaf]]=1,N(Tasks[[#This Row],[Duration]])=0),Tasks[[#This Row],[Planned Finish]]+Tasks[[#This Row],[_Row]]/100000,"")</f>
        <v/>
      </c>
      <c r="FW77" s="45" t="str">
        <f aca="false">IF(AND(Tasks[[#This Row],[_IsLeaf]]=1,Tasks[[#This Row],[_LeafProgress]]&lt;1,OR(N(Tasks[[#This Row],[Finish Var]])&gt;0,Tasks[[#This Row],[Status]]="Late Start")),MAX(0,Tasks[[#This Row],[Finish Var]])+1-Tasks[[#This Row],[_Row]]/1000000,"")</f>
        <v/>
      </c>
      <c r="FX77" s="45" t="str">
        <f aca="false">IF(AND(Tasks[[#This Row],[_IsLeaf]]=1,N(Tasks[[#This Row],[Actual Start]])=0,Tasks[[#This Row],[_ShownFcstStart]]&gt;=StatusDate,Tasks[[#This Row],[_ShownFcstStart]]&lt;=LookaheadEnd),Tasks[[#This Row],[_ShownFcstStart]]+Tasks[[#This Row],[_Row]]/100000,"")</f>
        <v/>
      </c>
      <c r="FY77" s="45" t="str">
        <f aca="false">IF(AND(Tasks[[#This Row],[_IsLeaf]]=1,Tasks[[#This Row],[_LeafProgress]]&lt;1,Tasks[[#This Row],[_ShownFcstFinish]]&gt;=StatusDate,Tasks[[#This Row],[_ShownFcstFinish]]&lt;=LookaheadEnd),Tasks[[#This Row],[_ShownFcstFinish]]+Tasks[[#This Row],[_Row]]/100000,"")</f>
        <v/>
      </c>
      <c r="FZ77" s="45" t="str">
        <f aca="false">IF(Tasks[[#This Row],[_LeafCritical]],Tasks[[#This Row],[_ShownFcstStart]]+Tasks[[#This Row],[_Row]]/100000,"")</f>
        <v/>
      </c>
      <c r="GA77" s="45" t="n">
        <f aca="false">Tasks[[#This Row],[_LeafWork]]*Tasks[[#This Row],[_LeafProgress]]</f>
        <v>0</v>
      </c>
      <c r="GB77" s="74" t="str">
        <f aca="false">IF(AND(Tasks[[#This Row],[_IsLeaf]]=1,Tasks[[#This Row],[_LeafProgress]]&gt;=1),IF(N(Tasks[[#This Row],[Actual Finish]])&gt;0,Tasks[[#This Row],[Actual Finish]],Tasks[[#This Row],[_ShownFcstFinish]]),"")</f>
        <v/>
      </c>
    </row>
    <row r="78" customFormat="false" ht="15" hidden="false" customHeight="false" outlineLevel="0" collapsed="false">
      <c r="A78" s="67" t="str">
        <f aca="false">IF(Tasks[[#This Row],[Task Name]]="","",COUNTA(Tasks[[#Headers],[Task Name]]:Tasks[[#This Row],[Task Name]])-1)</f>
        <v/>
      </c>
      <c r="B78" s="21" t="n">
        <v>73</v>
      </c>
      <c r="C7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21"/>
      <c r="E78" s="22"/>
      <c r="F78" s="21"/>
      <c r="G78" s="22"/>
      <c r="H78" s="22"/>
      <c r="I78" s="22"/>
      <c r="J78" s="7"/>
      <c r="K78" s="7"/>
      <c r="L78" s="22"/>
      <c r="M78" s="58" t="str">
        <f aca="false">IF(Tasks[[#This Row],[Task Name]]="","",IF(Tasks[[#This Row],[_IsSummary]],MIN(INDEX(Tasks[_ShownFcstStart],Tasks[[#This Row],[_Row]]+1):INDEX(Tasks[_ShownFcstStart],Tasks[[#This Row],[_Row]]+Tasks[[#This Row],[_Descendants]])),Tasks[[#This Row],[_ShownFcstStart]]))</f>
        <v/>
      </c>
      <c r="N78" s="58" t="str">
        <f aca="false">IF(Tasks[[#This Row],[Task Name]]="","",IF(Tasks[[#This Row],[_IsSummary]],MAX(INDEX(Tasks[_ShownFcstFinish],Tasks[[#This Row],[_Row]]+1):INDEX(Tasks[_ShownFcstFinish],Tasks[[#This Row],[_Row]]+Tasks[[#This Row],[_Descendants]])),Tasks[[#This Row],[_ShownFcstFinish]]))</f>
        <v/>
      </c>
      <c r="O78" s="20" t="str">
        <f aca="false">IF(Tasks[[#This Row],[Task Name]]="","",IF(Tasks[[#This Row],[Progress]]&gt;=1,"Complete",IF(OR(N(Tasks[[#This Row],[Actual Start]])&gt;0,Tasks[[#This Row],[Progress]]&gt;0),IF(Tasks[[#This Row],[Finish Var]]&gt;0,"Behind","In Progress"),IF(Tasks[[#This Row],[Planned Start]]&lt;StatusDate,"Late Start","Not Started"))))</f>
        <v/>
      </c>
      <c r="P78" s="20" t="str">
        <f aca="false">IF(Tasks[[#This Row],[Task Name]]="","",IF(IF(Tasks[[#This Row],[_IsSummary]],COUNTIF(INDEX(Tasks[_LeafCritical],Tasks[[#This Row],[_Row]]+1):INDEX(Tasks[_LeafCritical],Tasks[[#This Row],[_Row]]+Tasks[[#This Row],[_Descendants]]),TRUE())&gt;0,Tasks[[#This Row],[_LeafCritical]]),"Yes",""))</f>
        <v/>
      </c>
      <c r="Q7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78" s="67" t="str">
        <f aca="false">IF(Tasks[[#This Row],[Task Name]]="","",IF(Tasks[[#This Row],[_Level]]&lt;=OutlineShowLevel,"Yes","No"))</f>
        <v/>
      </c>
      <c r="S78" s="7"/>
      <c r="T78" s="21"/>
      <c r="U78" s="22"/>
      <c r="V78" s="7"/>
      <c r="W78" s="67" t="str">
        <f aca="false">IF(Tasks[[#This Row],[Task Name]]="","",IF(Tasks[[#This Row],[Finish]]&gt;=Tasks[[#This Row],[Planned Finish]],NETWORKDAYS.INTL(Tasks[[#This Row],[Planned Finish]],Tasks[[#This Row],[Finish]],WorkWeek,Holidays)-1,1-NETWORKDAYS.INTL(Tasks[[#This Row],[Finish]],Tasks[[#This Row],[Planned Finish]],WorkWeek,Holidays)))</f>
        <v/>
      </c>
      <c r="X78" s="58" t="str">
        <f aca="false">IF(Tasks[[#This Row],[Task Name]]="","",IF(N(Tasks[[#This Row],[Baseline Start]])&gt;0,Tasks[[#This Row],[Baseline Start]],Tasks[[#This Row],[_CalcStart]]))</f>
        <v/>
      </c>
      <c r="Y78" s="58" t="str">
        <f aca="false">IF(Tasks[[#This Row],[Task Name]]="","",IF(N(Tasks[[#This Row],[Baseline Finish]])&gt;0,Tasks[[#This Row],[Baseline Finish]],Tasks[[#This Row],[_CalcFinish]]))</f>
        <v/>
      </c>
      <c r="Z78" s="67" t="str">
        <f aca="false">IF(Tasks[[#This Row],[Task Name]]="","",IF(Tasks[[#This Row],[Start]]&gt;=Tasks[[#This Row],[Planned Start]],NETWORKDAYS.INTL(Tasks[[#This Row],[Planned Start]],Tasks[[#This Row],[Start]],WorkWeek,Holidays)-1,1-NETWORKDAYS.INTL(Tasks[[#This Row],[Start]],Tasks[[#This Row],[Planned Start]],WorkWeek,Holidays)))</f>
        <v/>
      </c>
      <c r="AA78" s="58" t="str">
        <f aca="false">IF(Tasks[[#This Row],[Task Name]]="","",IF(Tasks[[#This Row],[_IsSummary]],MIN(INDEX(Tasks[_LeafLateStart],Tasks[[#This Row],[_Row]]+1):INDEX(Tasks[_LeafLateStart],Tasks[[#This Row],[_Row]]+Tasks[[#This Row],[_Descendants]])),Tasks[[#This Row],[_LeafLateStart]]))</f>
        <v/>
      </c>
      <c r="AB78" s="58" t="str">
        <f aca="false">IF(Tasks[[#This Row],[Task Name]]="","",IF(Tasks[[#This Row],[_IsSummary]],MAX(INDEX(Tasks[_LeafLateFinish],Tasks[[#This Row],[_Row]]+1):INDEX(Tasks[_LeafLateFinish],Tasks[[#This Row],[_Row]]+Tasks[[#This Row],[_Descendants]])),Tasks[[#This Row],[_LeafLateFinish]]))</f>
        <v/>
      </c>
      <c r="AC78" s="67" t="str">
        <f aca="false">IF(Tasks[[#This Row],[Task Name]]="","",IF(Tasks[[#This Row],[_IsSummary]],MIN(INDEX(Tasks[_LeafTotalSlack],Tasks[[#This Row],[_Row]]+1):INDEX(Tasks[_LeafTotalSlack],Tasks[[#This Row],[_Row]]+Tasks[[#This Row],[_Descendants]])),Tasks[[#This Row],[_LeafTotalSlack]]))</f>
        <v/>
      </c>
      <c r="AD7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7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7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78" s="60"/>
      <c r="AH7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7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78" s="69" t="str">
        <f aca="false">IF(Tasks[[#This Row],[Task Name]]="","",IF(Tasks[[#This Row],[_IsSummary]],SUM(INDEX(Tasks[_LeafTotalWork],Tasks[[#This Row],[_Row]]+1):INDEX(Tasks[_LeafTotalWork],Tasks[[#This Row],[_Row]]+Tasks[[#This Row],[_Descendants]])),Tasks[[#This Row],[_LeafTotalWork]]))</f>
        <v/>
      </c>
      <c r="AK7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78" s="70" t="str">
        <f aca="false">IF(Tasks[[#This Row],[Task Name]]="","",IF(Tasks[[#This Row],[_IsSummary]],SUM(INDEX(Tasks[_LeafTotalCost],Tasks[[#This Row],[_Row]]+1):INDEX(Tasks[_LeafTotalCost],Tasks[[#This Row],[_Row]]+Tasks[[#This Row],[_Descendants]])),Tasks[[#This Row],[_LeafTotalCost]]))</f>
        <v/>
      </c>
      <c r="AM78" s="71"/>
      <c r="AN78" s="20" t="str">
        <f aca="false">IF(OR(Tasks[[#This Row],[Task Name]]="",Tasks[[#This Row],[Baseline Duration]]=""),"",Tasks[[#This Row],[BL Source Duration]]-N(Tasks[[#This Row],[Baseline Duration]]))</f>
        <v/>
      </c>
      <c r="AO78" s="69" t="str">
        <f aca="false">IF(OR(Tasks[[#This Row],[Task Name]]="",Tasks[[#This Row],[Baseline Work]]=""),"",Tasks[[#This Row],[Work]]-N(Tasks[[#This Row],[Baseline Work]]))</f>
        <v/>
      </c>
      <c r="AP78" s="70" t="str">
        <f aca="false">IF(OR(Tasks[[#This Row],[Task Name]]="",Tasks[[#This Row],[Baseline Cost]]=""),"",Tasks[[#This Row],[Cost]]-N(Tasks[[#This Row],[Baseline Cost]]))</f>
        <v/>
      </c>
      <c r="AQ78" s="58" t="str">
        <f aca="false">IF(Tasks[[#This Row],[Task Name]]="","",Tasks[[#This Row],[Start]])</f>
        <v/>
      </c>
      <c r="AR78" s="58" t="str">
        <f aca="false">IF(Tasks[[#This Row],[Task Name]]="","",Tasks[[#This Row],[Finish]])</f>
        <v/>
      </c>
      <c r="AS78" s="67" t="str">
        <f aca="false">IF(Tasks[[#This Row],[Task Name]]="","",IF(Tasks[[#This Row],[_IsSummary]],NETWORKDAYS.INTL(Tasks[[#This Row],[Start]],Tasks[[#This Row],[Finish]],WorkWeek,Holidays),N(Tasks[[#This Row],[Duration]])))</f>
        <v/>
      </c>
      <c r="AT78" s="69" t="str">
        <f aca="false">IF(Tasks[[#This Row],[Task Name]]="","",Tasks[[#This Row],[Work]])</f>
        <v/>
      </c>
      <c r="AU78" s="70" t="str">
        <f aca="false">IF(Tasks[[#This Row],[Task Name]]="","",Tasks[[#This Row],[Cost]])</f>
        <v/>
      </c>
      <c r="AV78" s="7"/>
      <c r="AW78" s="7"/>
      <c r="AX78" s="21"/>
      <c r="AY78" s="72"/>
      <c r="AZ78" s="71"/>
      <c r="BA78" s="70" t="str">
        <f aca="false">IF(Tasks[[#This Row],[Task Name]]="","",IF(Tasks[[#This Row],[_IsSummary]],SUM(INDEX(Tasks[_LeafEV],Tasks[[#This Row],[_Row]]+1):INDEX(Tasks[_LeafEV],Tasks[[#This Row],[_Row]]+Tasks[[#This Row],[_Descendants]])),Tasks[[#This Row],[_LeafEV]]))</f>
        <v/>
      </c>
      <c r="BB78" s="70" t="str">
        <f aca="false">IF(Tasks[[#This Row],[Task Name]]="","",IF(Tasks[[#This Row],[_IsSummary]],SUM(INDEX(Tasks[_LeafBudget],Tasks[[#This Row],[_Row]]+1):INDEX(Tasks[_LeafBudget],Tasks[[#This Row],[_Row]]+Tasks[[#This Row],[_Descendants]])),Tasks[[#This Row],[_LeafBudget]]))</f>
        <v/>
      </c>
      <c r="BC78" s="70" t="str">
        <f aca="false">IF(Tasks[[#This Row],[Task Name]]="","",IF(Tasks[[#This Row],[_IsSummary]],SUM(INDEX(Tasks[_LeafPV],Tasks[[#This Row],[_Row]]+1):INDEX(Tasks[_LeafPV],Tasks[[#This Row],[_Row]]+Tasks[[#This Row],[_Descendants]])),Tasks[[#This Row],[_LeafPV]]))</f>
        <v/>
      </c>
      <c r="BD78" s="70" t="str">
        <f aca="false">IF(Tasks[[#This Row],[Task Name]]="","",IF(Tasks[[#This Row],[_IsSummary]],SUM(INDEX(Tasks[_LeafAC],Tasks[[#This Row],[_Row]]+1):INDEX(Tasks[_LeafAC],Tasks[[#This Row],[_Row]]+Tasks[[#This Row],[_Descendants]])),Tasks[[#This Row],[_LeafAC]]))</f>
        <v/>
      </c>
      <c r="BE78" s="45" t="str">
        <f aca="false">IF(Tasks[[#This Row],[Task Name]]="","",MAX(1,N(Tasks[[#This Row],[Level]])))</f>
        <v/>
      </c>
      <c r="BF78" s="45" t="n">
        <f aca="false">ROW()-ROW(Tasks[[#Headers],[ID]])</f>
        <v>73</v>
      </c>
      <c r="BG78" s="45" t="n">
        <f aca="false">IF(OR(Tasks[[#This Row],[Task Name]]="",Tasks[[#This Row],[_Level]]&lt;=1),0,IFERROR(LOOKUP(2,1/(Tasks[[#Headers],[_Level]]:Tasks[[#This Row],[_Level]]=Tasks[[#This Row],[_Level]]-1),ROW(Tasks[[#Headers],[_Level]]:Tasks[[#This Row],[_Level]])),0))</f>
        <v>0</v>
      </c>
      <c r="BH78" s="45" t="n">
        <f aca="false">IFERROR(N(INDEX(Tasks[_Level],Tasks[[#This Row],[_Row]]+1)),0)</f>
        <v>0</v>
      </c>
      <c r="BI78" s="73" t="b">
        <f aca="false">AND(Tasks[[#This Row],[Task Name]]&lt;&gt;"",Tasks[[#This Row],[_NextLevel]]&gt;Tasks[[#This Row],[_Level]])</f>
        <v>0</v>
      </c>
      <c r="BJ78" s="45" t="n">
        <f aca="false">IF(Tasks[[#This Row],[_IsSummary]],COUNTIF(Tasks[WBS],Tasks[[#This Row],[WBS]]&amp;".*"),0)</f>
        <v>0</v>
      </c>
      <c r="BK78" s="45" t="n">
        <f aca="false">IF(AND(Tasks[[#This Row],[Task Name]]&lt;&gt;"",NOT(Tasks[[#This Row],[_IsSummary]])),1,0)</f>
        <v>0</v>
      </c>
      <c r="BL78" s="45" t="n">
        <f aca="false">IF(N(Tasks[[#This Row],[_Pred1UID]])=0,0,IFERROR(MATCH(Tasks[[#This Row],[_Pred1UID]],Tasks[UID],0),-1))</f>
        <v>0</v>
      </c>
      <c r="BM78" s="45" t="n">
        <f aca="false">IF(N(Tasks[[#This Row],[_Pred2UID]])=0,0,IFERROR(MATCH(Tasks[[#This Row],[_Pred2UID]],Tasks[UID],0),-1))</f>
        <v>0</v>
      </c>
      <c r="BN78" s="45" t="n">
        <f aca="false">IF(N(Tasks[[#This Row],[_Pred3UID]])=0,0,IFERROR(MATCH(Tasks[[#This Row],[_Pred3UID]],Tasks[UID],0),-1))</f>
        <v>0</v>
      </c>
      <c r="BO78" s="45" t="n">
        <f aca="false">IF(N(Tasks[[#This Row],[_Pred4UID]])=0,0,IFERROR(MATCH(Tasks[[#This Row],[_Pred4UID]],Tasks[UID],0),-1))</f>
        <v>0</v>
      </c>
      <c r="BP7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7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78" s="74" t="n">
        <f aca="false">IF(OR(Tasks[[#This Row],[_ConstraintCode]]=2,Tasks[[#This Row],[_ConstraintCode]]=3,Tasks[[#This Row],[_ConstraintCode]]=4,Tasks[[#This Row],[_ConstraintCode]]=6),Tasks[[#This Row],[_ConstraintStart]],0)</f>
        <v>0</v>
      </c>
      <c r="BS78" s="74" t="n">
        <f aca="false">IF(OR(Tasks[[#This Row],[_ConstraintCode]]=2,Tasks[[#This Row],[_ConstraintCode]]=3,Tasks[[#This Row],[_ConstraintCode]]=5,Tasks[[#This Row],[_ConstraintCode]]=7),Tasks[[#This Row],[_ConstraintStart]],2958465)</f>
        <v>2958465</v>
      </c>
      <c r="BT7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78" s="74" t="str">
        <f aca="false">IF(NOT(Tasks[[#This Row],[_IsLeaf]]=1),"",IF(N(Tasks[[#This Row],[Duration]])&lt;=0,Tasks[[#This Row],[_LeafCalcStart]],WORKDAY.INTL(Tasks[[#This Row],[_LeafCalcStart]],Tasks[[#This Row],[Duration]]-1,WorkWeek,Holidays)))</f>
        <v/>
      </c>
      <c r="BV7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7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78" s="45" t="str">
        <f aca="false">IF(Tasks[[#This Row],[Predecessors]]="","",TRIM(MID(SUBSTITUTE(SUBSTITUTE(SUBSTITUTE(UPPER(Tasks[[#This Row],[Predecessors]]),";",",")," ",""),",",REPT(" ",99)),1,99)))</f>
        <v/>
      </c>
      <c r="BY78" s="45" t="str">
        <f aca="false">IF(Tasks[[#This Row],[_Pred1Text]]="","",IFERROR(VALUE(LEFT(Tasks[[#This Row],[_Pred1Text]],MIN(FIND("F",Tasks[[#This Row],[_Pred1Text]]&amp;"F"),FIND("S",Tasks[[#This Row],[_Pred1Text]]&amp;"S"),FIND("+",Tasks[[#This Row],[_Pred1Text]]&amp;"+"),FIND("-",Tasks[[#This Row],[_Pred1Text]]&amp;"-"))-1)),""))</f>
        <v/>
      </c>
      <c r="BZ7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7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78" s="45" t="str">
        <f aca="false">IF(Tasks[[#This Row],[_Pred1Text]]="","",TRIM(MID(SUBSTITUTE(SUBSTITUTE(SUBSTITUTE(UPPER(Tasks[[#This Row],[Predecessors]]),";",",")," ",""),",",REPT(" ",99)),100,99)))</f>
        <v/>
      </c>
      <c r="CC78" s="45" t="str">
        <f aca="false">IF(Tasks[[#This Row],[_Pred2Text]]="","",IFERROR(VALUE(LEFT(Tasks[[#This Row],[_Pred2Text]],MIN(FIND("F",Tasks[[#This Row],[_Pred2Text]]&amp;"F"),FIND("S",Tasks[[#This Row],[_Pred2Text]]&amp;"S"),FIND("+",Tasks[[#This Row],[_Pred2Text]]&amp;"+"),FIND("-",Tasks[[#This Row],[_Pred2Text]]&amp;"-"))-1)),""))</f>
        <v/>
      </c>
      <c r="CD7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7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78" s="45" t="str">
        <f aca="false">IF(Tasks[[#This Row],[_Pred2Text]]="","",TRIM(MID(SUBSTITUTE(SUBSTITUTE(SUBSTITUTE(UPPER(Tasks[[#This Row],[Predecessors]]),";",",")," ",""),",",REPT(" ",99)),199,99)))</f>
        <v/>
      </c>
      <c r="CG78" s="45" t="str">
        <f aca="false">IF(Tasks[[#This Row],[_Pred3Text]]="","",IFERROR(VALUE(LEFT(Tasks[[#This Row],[_Pred3Text]],MIN(FIND("F",Tasks[[#This Row],[_Pred3Text]]&amp;"F"),FIND("S",Tasks[[#This Row],[_Pred3Text]]&amp;"S"),FIND("+",Tasks[[#This Row],[_Pred3Text]]&amp;"+"),FIND("-",Tasks[[#This Row],[_Pred3Text]]&amp;"-"))-1)),""))</f>
        <v/>
      </c>
      <c r="CH7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7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78" s="45" t="str">
        <f aca="false">IF(Tasks[[#This Row],[_Pred3Text]]="","",TRIM(MID(SUBSTITUTE(SUBSTITUTE(SUBSTITUTE(UPPER(Tasks[[#This Row],[Predecessors]]),";",",")," ",""),",",REPT(" ",99)),298,99)))</f>
        <v/>
      </c>
      <c r="CK78" s="45" t="str">
        <f aca="false">IF(Tasks[[#This Row],[_Pred4Text]]="","",IFERROR(VALUE(LEFT(Tasks[[#This Row],[_Pred4Text]],MIN(FIND("F",Tasks[[#This Row],[_Pred4Text]]&amp;"F"),FIND("S",Tasks[[#This Row],[_Pred4Text]]&amp;"S"),FIND("+",Tasks[[#This Row],[_Pred4Text]]&amp;"+"),FIND("-",Tasks[[#This Row],[_Pred4Text]]&amp;"-"))-1)),""))</f>
        <v/>
      </c>
      <c r="CL7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7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78" s="45" t="str">
        <f aca="false">IF(OR(Tasks[[#This Row],[Task Name]]="",Tasks[[#This Row],[Resources]]=""),"",TRIM(MID(SUBSTITUTE(Tasks[[#This Row],[Resources]],",",REPT(" ",99)),1,99)))</f>
        <v/>
      </c>
      <c r="CO78" s="45" t="str">
        <f aca="false">IF(Tasks[[#This Row],[_Res1Text]]="","",TRIM(MID(SUBSTITUTE(Tasks[[#This Row],[Resources]],",",REPT(" ",99)),100,99)))</f>
        <v/>
      </c>
      <c r="CP78" s="45" t="str">
        <f aca="false">IF(Tasks[[#This Row],[_Res2Text]]="","",TRIM(MID(SUBSTITUTE(Tasks[[#This Row],[Resources]],",",REPT(" ",99)),199,99)))</f>
        <v/>
      </c>
      <c r="CQ78" s="45" t="str">
        <f aca="false">IF(Tasks[[#This Row],[_Res3Text]]="","",TRIM(MID(SUBSTITUTE(Tasks[[#This Row],[Resources]],",",REPT(" ",99)),298,99)))</f>
        <v/>
      </c>
      <c r="CR7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7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8" s="45" t="n">
        <f aca="false">IF(NOT(Tasks[[#This Row],[_IsLeaf]]=1),0,(Tasks[[#This Row],[_Resource1]]&lt;&gt;"")+(Tasks[[#This Row],[_Res2]]&lt;&gt;"")+(Tasks[[#This Row],[_Res3]]&lt;&gt;"")+(Tasks[[#This Row],[_Res4]]&lt;&gt;""))</f>
        <v>0</v>
      </c>
      <c r="CU7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7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8" s="45" t="n">
        <f aca="false">IF(OR(NOT(Tasks[[#This Row],[_IsLeaf]]=1),Tasks[[#This Row],[_Res2]]=""),0,IF(ISNA(MATCH(Tasks[[#This Row],[_Res2]],res_Name,0)),0,N(Tasks[[#This Row],[Duration]])*HoursPerDay*IF(Tasks[[#This Row],[_Res2Units]]="",DefaultUnits,Tasks[[#This Row],[_Res2Units]])))</f>
        <v>0</v>
      </c>
      <c r="CX78" s="45" t="n">
        <f aca="false">IF(Tasks[[#This Row],[_Res2Work]]=0,0,Tasks[[#This Row],[_Res2Work]]*IFERROR(INDEX(res_Rate,MATCH(Tasks[[#This Row],[_Res2]],res_Name,0)),0))</f>
        <v>0</v>
      </c>
      <c r="CY78" s="45" t="n">
        <f aca="false">IF(AND(AND(Tasks[[#This Row],[_IsLeaf]]=1,Tasks[[#This Row],[_LeafTotalWork]]&gt;0),Tasks[[#This Row],[_Res2Work]]&gt;0),Tasks[[#This Row],[_Res2Work]]/(Tasks[[#This Row],[_FinishWorkday]]-Tasks[[#This Row],[_StartWorkday]]+1),0)</f>
        <v>0</v>
      </c>
      <c r="CZ78" s="45" t="n">
        <f aca="false">Tasks[[#This Row],[_Res2WorkPerWD]]*MAX(0,Tasks[[#This Row],[_StartWorkday]]-1)</f>
        <v>0</v>
      </c>
      <c r="DA78" s="45" t="n">
        <f aca="false">Tasks[[#This Row],[_Res2Work]]*Tasks[[#This Row],[_LeafProgress]]</f>
        <v>0</v>
      </c>
      <c r="DB78" s="45" t="n">
        <f aca="false">IF(Tasks[[#This Row],[_LeafTotalCost]]=0,0,Tasks[[#This Row],[_LeafAC]]*Tasks[[#This Row],[_Res2Cost]]/Tasks[[#This Row],[_LeafTotalCost]])</f>
        <v>0</v>
      </c>
      <c r="DC7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7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78" s="45" t="n">
        <f aca="false">IF(OR(NOT(Tasks[[#This Row],[_IsLeaf]]=1),Tasks[[#This Row],[_Res3]]=""),0,IF(ISNA(MATCH(Tasks[[#This Row],[_Res3]],res_Name,0)),0,N(Tasks[[#This Row],[Duration]])*HoursPerDay*IF(Tasks[[#This Row],[_Res3Units]]="",DefaultUnits,Tasks[[#This Row],[_Res3Units]])))</f>
        <v>0</v>
      </c>
      <c r="DF78" s="45" t="n">
        <f aca="false">IF(Tasks[[#This Row],[_Res3Work]]=0,0,Tasks[[#This Row],[_Res3Work]]*IFERROR(INDEX(res_Rate,MATCH(Tasks[[#This Row],[_Res3]],res_Name,0)),0))</f>
        <v>0</v>
      </c>
      <c r="DG78" s="45" t="n">
        <f aca="false">IF(AND(AND(Tasks[[#This Row],[_IsLeaf]]=1,Tasks[[#This Row],[_LeafTotalWork]]&gt;0),Tasks[[#This Row],[_Res3Work]]&gt;0),Tasks[[#This Row],[_Res3Work]]/(Tasks[[#This Row],[_FinishWorkday]]-Tasks[[#This Row],[_StartWorkday]]+1),0)</f>
        <v>0</v>
      </c>
      <c r="DH78" s="45" t="n">
        <f aca="false">Tasks[[#This Row],[_Res3WorkPerWD]]*MAX(0,Tasks[[#This Row],[_StartWorkday]]-1)</f>
        <v>0</v>
      </c>
      <c r="DI78" s="45" t="n">
        <f aca="false">Tasks[[#This Row],[_Res3Work]]*Tasks[[#This Row],[_LeafProgress]]</f>
        <v>0</v>
      </c>
      <c r="DJ78" s="45" t="n">
        <f aca="false">IF(Tasks[[#This Row],[_LeafTotalCost]]=0,0,Tasks[[#This Row],[_LeafAC]]*Tasks[[#This Row],[_Res3Cost]]/Tasks[[#This Row],[_LeafTotalCost]])</f>
        <v>0</v>
      </c>
      <c r="DK7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7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78" s="45" t="n">
        <f aca="false">IF(OR(NOT(Tasks[[#This Row],[_IsLeaf]]=1),Tasks[[#This Row],[_Res4]]=""),0,IF(ISNA(MATCH(Tasks[[#This Row],[_Res4]],res_Name,0)),0,N(Tasks[[#This Row],[Duration]])*HoursPerDay*IF(Tasks[[#This Row],[_Res4Units]]="",DefaultUnits,Tasks[[#This Row],[_Res4Units]])))</f>
        <v>0</v>
      </c>
      <c r="DN78" s="45" t="n">
        <f aca="false">IF(Tasks[[#This Row],[_Res4Work]]=0,0,Tasks[[#This Row],[_Res4Work]]*IFERROR(INDEX(res_Rate,MATCH(Tasks[[#This Row],[_Res4]],res_Name,0)),0))</f>
        <v>0</v>
      </c>
      <c r="DO78" s="45" t="n">
        <f aca="false">IF(AND(AND(Tasks[[#This Row],[_IsLeaf]]=1,Tasks[[#This Row],[_LeafTotalWork]]&gt;0),Tasks[[#This Row],[_Res4Work]]&gt;0),Tasks[[#This Row],[_Res4Work]]/(Tasks[[#This Row],[_FinishWorkday]]-Tasks[[#This Row],[_StartWorkday]]+1),0)</f>
        <v>0</v>
      </c>
      <c r="DP78" s="45" t="n">
        <f aca="false">Tasks[[#This Row],[_Res4WorkPerWD]]*MAX(0,Tasks[[#This Row],[_StartWorkday]]-1)</f>
        <v>0</v>
      </c>
      <c r="DQ78" s="45" t="n">
        <f aca="false">Tasks[[#This Row],[_Res4Work]]*Tasks[[#This Row],[_LeafProgress]]</f>
        <v>0</v>
      </c>
      <c r="DR78" s="45" t="n">
        <f aca="false">IF(Tasks[[#This Row],[_LeafTotalCost]]=0,0,Tasks[[#This Row],[_LeafAC]]*Tasks[[#This Row],[_Res4Cost]]/Tasks[[#This Row],[_LeafTotalCost]])</f>
        <v>0</v>
      </c>
      <c r="DS78" s="45" t="n">
        <f aca="false">IF(ISNUMBER(Tasks[[#This Row],[% Complete]]),Tasks[[#This Row],[% Complete]],IF(Tasks[[#This Row],[Stage]]="",0,IFERROR(INDEX(stg_Pct,MATCH(Tasks[[#This Row],[Stage]],stg_Name,0)),0)))</f>
        <v>0</v>
      </c>
      <c r="DT78" s="45" t="n">
        <f aca="false">IF(NOT(Tasks[[#This Row],[_IsLeaf]]=1),0,IF(N(Tasks[[#This Row],[Actual Finish]])&gt;0,1,MIN(1,Tasks[[#This Row],[_Pct]])))</f>
        <v>0</v>
      </c>
      <c r="DU78" s="45" t="n">
        <f aca="false">IF(OR(NOT(Tasks[[#This Row],[_IsLeaf]]=1),Tasks[[#This Row],[_Resource1]]=""),0,IF(ISNA(MATCH(Tasks[[#This Row],[_Resource1]],res_Name,0)),0,N(Tasks[[#This Row],[Duration]])*HoursPerDay*IF(Tasks[[#This Row],[_Units1]]="",DefaultUnits,Tasks[[#This Row],[_Units1]])))</f>
        <v>0</v>
      </c>
      <c r="DV78" s="45" t="n">
        <f aca="false">IF(Tasks[[#This Row],[_LeafWork]]=0,0,Tasks[[#This Row],[_LeafWork]]*IFERROR(INDEX(res_Rate,MATCH(Tasks[[#This Row],[_Resource1]],res_Name,0)),0))</f>
        <v>0</v>
      </c>
      <c r="DW78" s="45" t="n">
        <f aca="false">Tasks[[#This Row],[_LeafWork]]+Tasks[[#This Row],[_Res2Work]]+Tasks[[#This Row],[_Res3Work]]+Tasks[[#This Row],[_Res4Work]]</f>
        <v>0</v>
      </c>
      <c r="DX78" s="45" t="n">
        <f aca="false">Tasks[[#This Row],[_LeafCost]]+Tasks[[#This Row],[_Res2Cost]]+Tasks[[#This Row],[_Res3Cost]]+Tasks[[#This Row],[_Res4Cost]]</f>
        <v>0</v>
      </c>
      <c r="DY78" s="45" t="n">
        <f aca="false">IF(Tasks[[#This Row],[_LeafTotalCost]]=0,Tasks[[#This Row],[_LeafAC]],Tasks[[#This Row],[_LeafAC]]*Tasks[[#This Row],[_LeafCost]]/Tasks[[#This Row],[_LeafTotalCost]])</f>
        <v>0</v>
      </c>
      <c r="DZ7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7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7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7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7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7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7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7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78" s="45" t="n">
        <f aca="false">IF(NOT(Tasks[[#This Row],[_IsLeaf]]=1),0,MAX(_xlfn.MAXIFS(Tasks[_Row],Tasks[_Pred1UID],Tasks[[#This Row],[UID]]),_xlfn.MAXIFS(Tasks[_Row],Tasks[_Pred2UID],Tasks[[#This Row],[UID]]),_xlfn.MAXIFS(Tasks[_Row],Tasks[_Pred3UID],Tasks[[#This Row],[UID]]),_xlfn.MAXIFS(Tasks[_Row],Tasks[_Pred4UID],Tasks[[#This Row],[UID]])))</f>
        <v>0</v>
      </c>
      <c r="EI7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7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78" s="74" t="str">
        <f aca="false">IF(NOT(Tasks[[#This Row],[_IsLeaf]]=1),"",IF(N(Tasks[[#This Row],[Duration]])&lt;=0,Tasks[[#This Row],[_LeafLateFinish]],WORKDAY.INTL(Tasks[[#This Row],[_LeafLateFinish]],-(Tasks[[#This Row],[Duration]]-1),WorkWeek,Holidays)))</f>
        <v/>
      </c>
      <c r="EL7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78" s="73" t="b">
        <f aca="false">AND(Tasks[[#This Row],[_IsLeaf]]=1,Tasks[[#This Row],[_LeafProgress]]&lt;1,N(Tasks[[#This Row],[_LeafTotalSlack]])&lt;=CriticalSlackDays)</f>
        <v>0</v>
      </c>
      <c r="EN78" s="45" t="n">
        <f aca="false">IF(AND(Tasks[[#This Row],[_IsLeaf]]=1,Tasks[[#This Row],[_ConstraintCode]]=1,Tasks[[#This Row],[Mode]]&lt;&gt;"Manual",N(Tasks[[#This Row],[Actual Start]])=0),MAX(0,N(Tasks[[#This Row],[Free Slack]])),0)</f>
        <v>0</v>
      </c>
      <c r="EO78" s="74" t="str">
        <f aca="false">IF(NOT(Tasks[[#This Row],[_IsLeaf]]=1),"",IF(Tasks[[#This Row],[_AlapShift]]=0,Tasks[[#This Row],[_LeafCalcStart]],WORKDAY.INTL(Tasks[[#This Row],[_LeafCalcStart]],Tasks[[#This Row],[_AlapShift]],WorkWeek,Holidays)))</f>
        <v/>
      </c>
      <c r="EP78" s="74" t="str">
        <f aca="false">IF(NOT(Tasks[[#This Row],[_IsLeaf]]=1),"",IF(Tasks[[#This Row],[_AlapShift]]=0,Tasks[[#This Row],[_LeafCalcFinish]],WORKDAY.INTL(Tasks[[#This Row],[_LeafCalcFinish]],Tasks[[#This Row],[_AlapShift]],WorkWeek,Holidays)))</f>
        <v/>
      </c>
      <c r="EQ78" s="74" t="str">
        <f aca="false">IF(NOT(Tasks[[#This Row],[_IsLeaf]]=1),"",IF(Tasks[[#This Row],[_AlapShift]]=0,Tasks[[#This Row],[_LeafFcstStart]],WORKDAY.INTL(Tasks[[#This Row],[_LeafFcstStart]],Tasks[[#This Row],[_AlapShift]],WorkWeek,Holidays)))</f>
        <v/>
      </c>
      <c r="ER78" s="74" t="str">
        <f aca="false">IF(NOT(Tasks[[#This Row],[_IsLeaf]]=1),"",IF(Tasks[[#This Row],[_AlapShift]]=0,Tasks[[#This Row],[_LeafFcstFinish]],WORKDAY.INTL(Tasks[[#This Row],[_LeafFcstFinish]],Tasks[[#This Row],[_AlapShift]],WorkWeek,Holidays)))</f>
        <v/>
      </c>
      <c r="ES78" s="74" t="str">
        <f aca="false">IF(Tasks[[#This Row],[Task Name]]="","",IF(Tasks[[#This Row],[_IsSummary]],MIN(INDEX(Tasks[_ShownCalcStart],Tasks[[#This Row],[_Row]]+1):INDEX(Tasks[_ShownCalcStart],Tasks[[#This Row],[_Row]]+Tasks[[#This Row],[_Descendants]])),Tasks[[#This Row],[_ShownCalcStart]]))</f>
        <v/>
      </c>
      <c r="ET78" s="74" t="str">
        <f aca="false">IF(Tasks[[#This Row],[Task Name]]="","",IF(Tasks[[#This Row],[_IsSummary]],MAX(INDEX(Tasks[_ShownCalcFinish],Tasks[[#This Row],[_Row]]+1):INDEX(Tasks[_ShownCalcFinish],Tasks[[#This Row],[_Row]]+Tasks[[#This Row],[_Descendants]])),Tasks[[#This Row],[_ShownCalcFinish]]))</f>
        <v/>
      </c>
      <c r="EU7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7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7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7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7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7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7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7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7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7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7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7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78" s="45" t="n">
        <f aca="false">IF(AND(Tasks[[#This Row],[_IsLeaf]]=1,Tasks[[#This Row],[_LeafTotalWork]]&gt;0),NETWORKDAYS.INTL(ProjectStart,Tasks[[#This Row],[_ShownFcstStart]],WorkWeek,Holidays),0)</f>
        <v>0</v>
      </c>
      <c r="FH78" s="45" t="n">
        <f aca="false">IF(AND(Tasks[[#This Row],[_IsLeaf]]=1,Tasks[[#This Row],[_LeafTotalWork]]&gt;0),MAX(Tasks[[#This Row],[_StartWorkday]],NETWORKDAYS.INTL(ProjectStart,Tasks[[#This Row],[_ShownFcstFinish]],WorkWeek,Holidays)),0)</f>
        <v>0</v>
      </c>
      <c r="FI78" s="45" t="n">
        <f aca="false">IF(AND(Tasks[[#This Row],[_IsLeaf]]=1,Tasks[[#This Row],[_LeafTotalWork]]&gt;0),Tasks[[#This Row],[_LeafWork]]/(Tasks[[#This Row],[_FinishWorkday]]-Tasks[[#This Row],[_StartWorkday]]+1),0)</f>
        <v>0</v>
      </c>
      <c r="FJ78" s="45" t="n">
        <f aca="false">Tasks[[#This Row],[_WorkPerWorkday]]*(Tasks[[#This Row],[_StartWorkday]]-1)</f>
        <v>-0</v>
      </c>
      <c r="FK78" s="45" t="n">
        <f aca="false">IF(Tasks[[#This Row],[_IsLeaf]]=1,MAX(N(Tasks[[#This Row],[Duration]]),0.1),0)</f>
        <v>0</v>
      </c>
      <c r="FL78" s="45" t="n">
        <f aca="false">Tasks[[#This Row],[_WeightDur]]*Tasks[[#This Row],[_LeafProgress]]</f>
        <v>0</v>
      </c>
      <c r="FM7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78" s="45" t="str">
        <f aca="false">IF(AND(Tasks[[#This Row],[_IsLeaf]]=1,N(Tasks[[#This Row],[Duration]])=0,Tasks[[#This Row],[_LeafProgress]]&lt;1),Tasks[[#This Row],[_ShownFcstFinish]]+Tasks[[#This Row],[_Row]]/100000,"")</f>
        <v/>
      </c>
      <c r="FO7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78" s="45" t="n">
        <f aca="false">IF(NOT(Tasks[[#This Row],[_IsLeaf]]=1),0,IF(Tasks[[#This Row],[Baseline Cost]]="",Tasks[[#This Row],[_LeafTotalCost]],N(Tasks[[#This Row],[Baseline Cost]])))</f>
        <v>0</v>
      </c>
      <c r="FQ78" s="45" t="n">
        <f aca="false">Tasks[[#This Row],[_LeafBudget]]*Tasks[[#This Row],[_PlannedPct]]</f>
        <v>0</v>
      </c>
      <c r="FR78" s="45" t="n">
        <f aca="false">Tasks[[#This Row],[_LeafBudget]]*Tasks[[#This Row],[_LeafProgress]]</f>
        <v>0</v>
      </c>
      <c r="FS78" s="45" t="n">
        <f aca="false">IF(NOT(Tasks[[#This Row],[_IsLeaf]]=1),0,IF(Tasks[[#This Row],[Actual Cost]]="",Tasks[[#This Row],[_LeafTotalCost]]*Tasks[[#This Row],[_LeafProgress]],N(Tasks[[#This Row],[Actual Cost]])))</f>
        <v>0</v>
      </c>
      <c r="FT78" s="45" t="str">
        <f aca="false">IF(Tasks[[#This Row],[Task Name]]="","",LEFT(Tasks[[#This Row],[WBS]],FIND(".",Tasks[[#This Row],[WBS]]&amp;".")-1))</f>
        <v/>
      </c>
      <c r="FU78" s="45" t="str">
        <f aca="false">IF(AND(Tasks[[#This Row],[Task Name]]&lt;&gt;"",Tasks[[#This Row],[_Level]]=1),Tasks[[#This Row],[_Row]],"")</f>
        <v/>
      </c>
      <c r="FV78" s="45" t="str">
        <f aca="false">IF(AND(Tasks[[#This Row],[_IsLeaf]]=1,N(Tasks[[#This Row],[Duration]])=0),Tasks[[#This Row],[Planned Finish]]+Tasks[[#This Row],[_Row]]/100000,"")</f>
        <v/>
      </c>
      <c r="FW78" s="45" t="str">
        <f aca="false">IF(AND(Tasks[[#This Row],[_IsLeaf]]=1,Tasks[[#This Row],[_LeafProgress]]&lt;1,OR(N(Tasks[[#This Row],[Finish Var]])&gt;0,Tasks[[#This Row],[Status]]="Late Start")),MAX(0,Tasks[[#This Row],[Finish Var]])+1-Tasks[[#This Row],[_Row]]/1000000,"")</f>
        <v/>
      </c>
      <c r="FX78" s="45" t="str">
        <f aca="false">IF(AND(Tasks[[#This Row],[_IsLeaf]]=1,N(Tasks[[#This Row],[Actual Start]])=0,Tasks[[#This Row],[_ShownFcstStart]]&gt;=StatusDate,Tasks[[#This Row],[_ShownFcstStart]]&lt;=LookaheadEnd),Tasks[[#This Row],[_ShownFcstStart]]+Tasks[[#This Row],[_Row]]/100000,"")</f>
        <v/>
      </c>
      <c r="FY78" s="45" t="str">
        <f aca="false">IF(AND(Tasks[[#This Row],[_IsLeaf]]=1,Tasks[[#This Row],[_LeafProgress]]&lt;1,Tasks[[#This Row],[_ShownFcstFinish]]&gt;=StatusDate,Tasks[[#This Row],[_ShownFcstFinish]]&lt;=LookaheadEnd),Tasks[[#This Row],[_ShownFcstFinish]]+Tasks[[#This Row],[_Row]]/100000,"")</f>
        <v/>
      </c>
      <c r="FZ78" s="45" t="str">
        <f aca="false">IF(Tasks[[#This Row],[_LeafCritical]],Tasks[[#This Row],[_ShownFcstStart]]+Tasks[[#This Row],[_Row]]/100000,"")</f>
        <v/>
      </c>
      <c r="GA78" s="45" t="n">
        <f aca="false">Tasks[[#This Row],[_LeafWork]]*Tasks[[#This Row],[_LeafProgress]]</f>
        <v>0</v>
      </c>
      <c r="GB78" s="74" t="str">
        <f aca="false">IF(AND(Tasks[[#This Row],[_IsLeaf]]=1,Tasks[[#This Row],[_LeafProgress]]&gt;=1),IF(N(Tasks[[#This Row],[Actual Finish]])&gt;0,Tasks[[#This Row],[Actual Finish]],Tasks[[#This Row],[_ShownFcstFinish]]),"")</f>
        <v/>
      </c>
    </row>
    <row r="79" customFormat="false" ht="15" hidden="false" customHeight="false" outlineLevel="0" collapsed="false">
      <c r="A79" s="67" t="str">
        <f aca="false">IF(Tasks[[#This Row],[Task Name]]="","",COUNTA(Tasks[[#Headers],[Task Name]]:Tasks[[#This Row],[Task Name]])-1)</f>
        <v/>
      </c>
      <c r="B79" s="21" t="n">
        <v>74</v>
      </c>
      <c r="C7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21"/>
      <c r="E79" s="22"/>
      <c r="F79" s="21"/>
      <c r="G79" s="22"/>
      <c r="H79" s="22"/>
      <c r="I79" s="22"/>
      <c r="J79" s="7"/>
      <c r="K79" s="7"/>
      <c r="L79" s="22"/>
      <c r="M79" s="58" t="str">
        <f aca="false">IF(Tasks[[#This Row],[Task Name]]="","",IF(Tasks[[#This Row],[_IsSummary]],MIN(INDEX(Tasks[_ShownFcstStart],Tasks[[#This Row],[_Row]]+1):INDEX(Tasks[_ShownFcstStart],Tasks[[#This Row],[_Row]]+Tasks[[#This Row],[_Descendants]])),Tasks[[#This Row],[_ShownFcstStart]]))</f>
        <v/>
      </c>
      <c r="N79" s="58" t="str">
        <f aca="false">IF(Tasks[[#This Row],[Task Name]]="","",IF(Tasks[[#This Row],[_IsSummary]],MAX(INDEX(Tasks[_ShownFcstFinish],Tasks[[#This Row],[_Row]]+1):INDEX(Tasks[_ShownFcstFinish],Tasks[[#This Row],[_Row]]+Tasks[[#This Row],[_Descendants]])),Tasks[[#This Row],[_ShownFcstFinish]]))</f>
        <v/>
      </c>
      <c r="O79" s="20" t="str">
        <f aca="false">IF(Tasks[[#This Row],[Task Name]]="","",IF(Tasks[[#This Row],[Progress]]&gt;=1,"Complete",IF(OR(N(Tasks[[#This Row],[Actual Start]])&gt;0,Tasks[[#This Row],[Progress]]&gt;0),IF(Tasks[[#This Row],[Finish Var]]&gt;0,"Behind","In Progress"),IF(Tasks[[#This Row],[Planned Start]]&lt;StatusDate,"Late Start","Not Started"))))</f>
        <v/>
      </c>
      <c r="P79" s="20" t="str">
        <f aca="false">IF(Tasks[[#This Row],[Task Name]]="","",IF(IF(Tasks[[#This Row],[_IsSummary]],COUNTIF(INDEX(Tasks[_LeafCritical],Tasks[[#This Row],[_Row]]+1):INDEX(Tasks[_LeafCritical],Tasks[[#This Row],[_Row]]+Tasks[[#This Row],[_Descendants]]),TRUE())&gt;0,Tasks[[#This Row],[_LeafCritical]]),"Yes",""))</f>
        <v/>
      </c>
      <c r="Q7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79" s="67" t="str">
        <f aca="false">IF(Tasks[[#This Row],[Task Name]]="","",IF(Tasks[[#This Row],[_Level]]&lt;=OutlineShowLevel,"Yes","No"))</f>
        <v/>
      </c>
      <c r="S79" s="7"/>
      <c r="T79" s="21"/>
      <c r="U79" s="22"/>
      <c r="V79" s="7"/>
      <c r="W79" s="67" t="str">
        <f aca="false">IF(Tasks[[#This Row],[Task Name]]="","",IF(Tasks[[#This Row],[Finish]]&gt;=Tasks[[#This Row],[Planned Finish]],NETWORKDAYS.INTL(Tasks[[#This Row],[Planned Finish]],Tasks[[#This Row],[Finish]],WorkWeek,Holidays)-1,1-NETWORKDAYS.INTL(Tasks[[#This Row],[Finish]],Tasks[[#This Row],[Planned Finish]],WorkWeek,Holidays)))</f>
        <v/>
      </c>
      <c r="X79" s="58" t="str">
        <f aca="false">IF(Tasks[[#This Row],[Task Name]]="","",IF(N(Tasks[[#This Row],[Baseline Start]])&gt;0,Tasks[[#This Row],[Baseline Start]],Tasks[[#This Row],[_CalcStart]]))</f>
        <v/>
      </c>
      <c r="Y79" s="58" t="str">
        <f aca="false">IF(Tasks[[#This Row],[Task Name]]="","",IF(N(Tasks[[#This Row],[Baseline Finish]])&gt;0,Tasks[[#This Row],[Baseline Finish]],Tasks[[#This Row],[_CalcFinish]]))</f>
        <v/>
      </c>
      <c r="Z79" s="67" t="str">
        <f aca="false">IF(Tasks[[#This Row],[Task Name]]="","",IF(Tasks[[#This Row],[Start]]&gt;=Tasks[[#This Row],[Planned Start]],NETWORKDAYS.INTL(Tasks[[#This Row],[Planned Start]],Tasks[[#This Row],[Start]],WorkWeek,Holidays)-1,1-NETWORKDAYS.INTL(Tasks[[#This Row],[Start]],Tasks[[#This Row],[Planned Start]],WorkWeek,Holidays)))</f>
        <v/>
      </c>
      <c r="AA79" s="58" t="str">
        <f aca="false">IF(Tasks[[#This Row],[Task Name]]="","",IF(Tasks[[#This Row],[_IsSummary]],MIN(INDEX(Tasks[_LeafLateStart],Tasks[[#This Row],[_Row]]+1):INDEX(Tasks[_LeafLateStart],Tasks[[#This Row],[_Row]]+Tasks[[#This Row],[_Descendants]])),Tasks[[#This Row],[_LeafLateStart]]))</f>
        <v/>
      </c>
      <c r="AB79" s="58" t="str">
        <f aca="false">IF(Tasks[[#This Row],[Task Name]]="","",IF(Tasks[[#This Row],[_IsSummary]],MAX(INDEX(Tasks[_LeafLateFinish],Tasks[[#This Row],[_Row]]+1):INDEX(Tasks[_LeafLateFinish],Tasks[[#This Row],[_Row]]+Tasks[[#This Row],[_Descendants]])),Tasks[[#This Row],[_LeafLateFinish]]))</f>
        <v/>
      </c>
      <c r="AC79" s="67" t="str">
        <f aca="false">IF(Tasks[[#This Row],[Task Name]]="","",IF(Tasks[[#This Row],[_IsSummary]],MIN(INDEX(Tasks[_LeafTotalSlack],Tasks[[#This Row],[_Row]]+1):INDEX(Tasks[_LeafTotalSlack],Tasks[[#This Row],[_Row]]+Tasks[[#This Row],[_Descendants]])),Tasks[[#This Row],[_LeafTotalSlack]]))</f>
        <v/>
      </c>
      <c r="AD7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7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7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79" s="60"/>
      <c r="AH7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7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79" s="69" t="str">
        <f aca="false">IF(Tasks[[#This Row],[Task Name]]="","",IF(Tasks[[#This Row],[_IsSummary]],SUM(INDEX(Tasks[_LeafTotalWork],Tasks[[#This Row],[_Row]]+1):INDEX(Tasks[_LeafTotalWork],Tasks[[#This Row],[_Row]]+Tasks[[#This Row],[_Descendants]])),Tasks[[#This Row],[_LeafTotalWork]]))</f>
        <v/>
      </c>
      <c r="AK7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79" s="70" t="str">
        <f aca="false">IF(Tasks[[#This Row],[Task Name]]="","",IF(Tasks[[#This Row],[_IsSummary]],SUM(INDEX(Tasks[_LeafTotalCost],Tasks[[#This Row],[_Row]]+1):INDEX(Tasks[_LeafTotalCost],Tasks[[#This Row],[_Row]]+Tasks[[#This Row],[_Descendants]])),Tasks[[#This Row],[_LeafTotalCost]]))</f>
        <v/>
      </c>
      <c r="AM79" s="71"/>
      <c r="AN79" s="20" t="str">
        <f aca="false">IF(OR(Tasks[[#This Row],[Task Name]]="",Tasks[[#This Row],[Baseline Duration]]=""),"",Tasks[[#This Row],[BL Source Duration]]-N(Tasks[[#This Row],[Baseline Duration]]))</f>
        <v/>
      </c>
      <c r="AO79" s="69" t="str">
        <f aca="false">IF(OR(Tasks[[#This Row],[Task Name]]="",Tasks[[#This Row],[Baseline Work]]=""),"",Tasks[[#This Row],[Work]]-N(Tasks[[#This Row],[Baseline Work]]))</f>
        <v/>
      </c>
      <c r="AP79" s="70" t="str">
        <f aca="false">IF(OR(Tasks[[#This Row],[Task Name]]="",Tasks[[#This Row],[Baseline Cost]]=""),"",Tasks[[#This Row],[Cost]]-N(Tasks[[#This Row],[Baseline Cost]]))</f>
        <v/>
      </c>
      <c r="AQ79" s="58" t="str">
        <f aca="false">IF(Tasks[[#This Row],[Task Name]]="","",Tasks[[#This Row],[Start]])</f>
        <v/>
      </c>
      <c r="AR79" s="58" t="str">
        <f aca="false">IF(Tasks[[#This Row],[Task Name]]="","",Tasks[[#This Row],[Finish]])</f>
        <v/>
      </c>
      <c r="AS79" s="67" t="str">
        <f aca="false">IF(Tasks[[#This Row],[Task Name]]="","",IF(Tasks[[#This Row],[_IsSummary]],NETWORKDAYS.INTL(Tasks[[#This Row],[Start]],Tasks[[#This Row],[Finish]],WorkWeek,Holidays),N(Tasks[[#This Row],[Duration]])))</f>
        <v/>
      </c>
      <c r="AT79" s="69" t="str">
        <f aca="false">IF(Tasks[[#This Row],[Task Name]]="","",Tasks[[#This Row],[Work]])</f>
        <v/>
      </c>
      <c r="AU79" s="70" t="str">
        <f aca="false">IF(Tasks[[#This Row],[Task Name]]="","",Tasks[[#This Row],[Cost]])</f>
        <v/>
      </c>
      <c r="AV79" s="7"/>
      <c r="AW79" s="7"/>
      <c r="AX79" s="21"/>
      <c r="AY79" s="72"/>
      <c r="AZ79" s="71"/>
      <c r="BA79" s="70" t="str">
        <f aca="false">IF(Tasks[[#This Row],[Task Name]]="","",IF(Tasks[[#This Row],[_IsSummary]],SUM(INDEX(Tasks[_LeafEV],Tasks[[#This Row],[_Row]]+1):INDEX(Tasks[_LeafEV],Tasks[[#This Row],[_Row]]+Tasks[[#This Row],[_Descendants]])),Tasks[[#This Row],[_LeafEV]]))</f>
        <v/>
      </c>
      <c r="BB79" s="70" t="str">
        <f aca="false">IF(Tasks[[#This Row],[Task Name]]="","",IF(Tasks[[#This Row],[_IsSummary]],SUM(INDEX(Tasks[_LeafBudget],Tasks[[#This Row],[_Row]]+1):INDEX(Tasks[_LeafBudget],Tasks[[#This Row],[_Row]]+Tasks[[#This Row],[_Descendants]])),Tasks[[#This Row],[_LeafBudget]]))</f>
        <v/>
      </c>
      <c r="BC79" s="70" t="str">
        <f aca="false">IF(Tasks[[#This Row],[Task Name]]="","",IF(Tasks[[#This Row],[_IsSummary]],SUM(INDEX(Tasks[_LeafPV],Tasks[[#This Row],[_Row]]+1):INDEX(Tasks[_LeafPV],Tasks[[#This Row],[_Row]]+Tasks[[#This Row],[_Descendants]])),Tasks[[#This Row],[_LeafPV]]))</f>
        <v/>
      </c>
      <c r="BD79" s="70" t="str">
        <f aca="false">IF(Tasks[[#This Row],[Task Name]]="","",IF(Tasks[[#This Row],[_IsSummary]],SUM(INDEX(Tasks[_LeafAC],Tasks[[#This Row],[_Row]]+1):INDEX(Tasks[_LeafAC],Tasks[[#This Row],[_Row]]+Tasks[[#This Row],[_Descendants]])),Tasks[[#This Row],[_LeafAC]]))</f>
        <v/>
      </c>
      <c r="BE79" s="45" t="str">
        <f aca="false">IF(Tasks[[#This Row],[Task Name]]="","",MAX(1,N(Tasks[[#This Row],[Level]])))</f>
        <v/>
      </c>
      <c r="BF79" s="45" t="n">
        <f aca="false">ROW()-ROW(Tasks[[#Headers],[ID]])</f>
        <v>74</v>
      </c>
      <c r="BG79" s="45" t="n">
        <f aca="false">IF(OR(Tasks[[#This Row],[Task Name]]="",Tasks[[#This Row],[_Level]]&lt;=1),0,IFERROR(LOOKUP(2,1/(Tasks[[#Headers],[_Level]]:Tasks[[#This Row],[_Level]]=Tasks[[#This Row],[_Level]]-1),ROW(Tasks[[#Headers],[_Level]]:Tasks[[#This Row],[_Level]])),0))</f>
        <v>0</v>
      </c>
      <c r="BH79" s="45" t="n">
        <f aca="false">IFERROR(N(INDEX(Tasks[_Level],Tasks[[#This Row],[_Row]]+1)),0)</f>
        <v>0</v>
      </c>
      <c r="BI79" s="73" t="b">
        <f aca="false">AND(Tasks[[#This Row],[Task Name]]&lt;&gt;"",Tasks[[#This Row],[_NextLevel]]&gt;Tasks[[#This Row],[_Level]])</f>
        <v>0</v>
      </c>
      <c r="BJ79" s="45" t="n">
        <f aca="false">IF(Tasks[[#This Row],[_IsSummary]],COUNTIF(Tasks[WBS],Tasks[[#This Row],[WBS]]&amp;".*"),0)</f>
        <v>0</v>
      </c>
      <c r="BK79" s="45" t="n">
        <f aca="false">IF(AND(Tasks[[#This Row],[Task Name]]&lt;&gt;"",NOT(Tasks[[#This Row],[_IsSummary]])),1,0)</f>
        <v>0</v>
      </c>
      <c r="BL79" s="45" t="n">
        <f aca="false">IF(N(Tasks[[#This Row],[_Pred1UID]])=0,0,IFERROR(MATCH(Tasks[[#This Row],[_Pred1UID]],Tasks[UID],0),-1))</f>
        <v>0</v>
      </c>
      <c r="BM79" s="45" t="n">
        <f aca="false">IF(N(Tasks[[#This Row],[_Pred2UID]])=0,0,IFERROR(MATCH(Tasks[[#This Row],[_Pred2UID]],Tasks[UID],0),-1))</f>
        <v>0</v>
      </c>
      <c r="BN79" s="45" t="n">
        <f aca="false">IF(N(Tasks[[#This Row],[_Pred3UID]])=0,0,IFERROR(MATCH(Tasks[[#This Row],[_Pred3UID]],Tasks[UID],0),-1))</f>
        <v>0</v>
      </c>
      <c r="BO79" s="45" t="n">
        <f aca="false">IF(N(Tasks[[#This Row],[_Pred4UID]])=0,0,IFERROR(MATCH(Tasks[[#This Row],[_Pred4UID]],Tasks[UID],0),-1))</f>
        <v>0</v>
      </c>
      <c r="BP7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7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79" s="74" t="n">
        <f aca="false">IF(OR(Tasks[[#This Row],[_ConstraintCode]]=2,Tasks[[#This Row],[_ConstraintCode]]=3,Tasks[[#This Row],[_ConstraintCode]]=4,Tasks[[#This Row],[_ConstraintCode]]=6),Tasks[[#This Row],[_ConstraintStart]],0)</f>
        <v>0</v>
      </c>
      <c r="BS79" s="74" t="n">
        <f aca="false">IF(OR(Tasks[[#This Row],[_ConstraintCode]]=2,Tasks[[#This Row],[_ConstraintCode]]=3,Tasks[[#This Row],[_ConstraintCode]]=5,Tasks[[#This Row],[_ConstraintCode]]=7),Tasks[[#This Row],[_ConstraintStart]],2958465)</f>
        <v>2958465</v>
      </c>
      <c r="BT7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79" s="74" t="str">
        <f aca="false">IF(NOT(Tasks[[#This Row],[_IsLeaf]]=1),"",IF(N(Tasks[[#This Row],[Duration]])&lt;=0,Tasks[[#This Row],[_LeafCalcStart]],WORKDAY.INTL(Tasks[[#This Row],[_LeafCalcStart]],Tasks[[#This Row],[Duration]]-1,WorkWeek,Holidays)))</f>
        <v/>
      </c>
      <c r="BV7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7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79" s="45" t="str">
        <f aca="false">IF(Tasks[[#This Row],[Predecessors]]="","",TRIM(MID(SUBSTITUTE(SUBSTITUTE(SUBSTITUTE(UPPER(Tasks[[#This Row],[Predecessors]]),";",",")," ",""),",",REPT(" ",99)),1,99)))</f>
        <v/>
      </c>
      <c r="BY79" s="45" t="str">
        <f aca="false">IF(Tasks[[#This Row],[_Pred1Text]]="","",IFERROR(VALUE(LEFT(Tasks[[#This Row],[_Pred1Text]],MIN(FIND("F",Tasks[[#This Row],[_Pred1Text]]&amp;"F"),FIND("S",Tasks[[#This Row],[_Pred1Text]]&amp;"S"),FIND("+",Tasks[[#This Row],[_Pred1Text]]&amp;"+"),FIND("-",Tasks[[#This Row],[_Pred1Text]]&amp;"-"))-1)),""))</f>
        <v/>
      </c>
      <c r="BZ7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7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79" s="45" t="str">
        <f aca="false">IF(Tasks[[#This Row],[_Pred1Text]]="","",TRIM(MID(SUBSTITUTE(SUBSTITUTE(SUBSTITUTE(UPPER(Tasks[[#This Row],[Predecessors]]),";",",")," ",""),",",REPT(" ",99)),100,99)))</f>
        <v/>
      </c>
      <c r="CC79" s="45" t="str">
        <f aca="false">IF(Tasks[[#This Row],[_Pred2Text]]="","",IFERROR(VALUE(LEFT(Tasks[[#This Row],[_Pred2Text]],MIN(FIND("F",Tasks[[#This Row],[_Pred2Text]]&amp;"F"),FIND("S",Tasks[[#This Row],[_Pred2Text]]&amp;"S"),FIND("+",Tasks[[#This Row],[_Pred2Text]]&amp;"+"),FIND("-",Tasks[[#This Row],[_Pred2Text]]&amp;"-"))-1)),""))</f>
        <v/>
      </c>
      <c r="CD7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7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79" s="45" t="str">
        <f aca="false">IF(Tasks[[#This Row],[_Pred2Text]]="","",TRIM(MID(SUBSTITUTE(SUBSTITUTE(SUBSTITUTE(UPPER(Tasks[[#This Row],[Predecessors]]),";",",")," ",""),",",REPT(" ",99)),199,99)))</f>
        <v/>
      </c>
      <c r="CG79" s="45" t="str">
        <f aca="false">IF(Tasks[[#This Row],[_Pred3Text]]="","",IFERROR(VALUE(LEFT(Tasks[[#This Row],[_Pred3Text]],MIN(FIND("F",Tasks[[#This Row],[_Pred3Text]]&amp;"F"),FIND("S",Tasks[[#This Row],[_Pred3Text]]&amp;"S"),FIND("+",Tasks[[#This Row],[_Pred3Text]]&amp;"+"),FIND("-",Tasks[[#This Row],[_Pred3Text]]&amp;"-"))-1)),""))</f>
        <v/>
      </c>
      <c r="CH7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7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79" s="45" t="str">
        <f aca="false">IF(Tasks[[#This Row],[_Pred3Text]]="","",TRIM(MID(SUBSTITUTE(SUBSTITUTE(SUBSTITUTE(UPPER(Tasks[[#This Row],[Predecessors]]),";",",")," ",""),",",REPT(" ",99)),298,99)))</f>
        <v/>
      </c>
      <c r="CK79" s="45" t="str">
        <f aca="false">IF(Tasks[[#This Row],[_Pred4Text]]="","",IFERROR(VALUE(LEFT(Tasks[[#This Row],[_Pred4Text]],MIN(FIND("F",Tasks[[#This Row],[_Pred4Text]]&amp;"F"),FIND("S",Tasks[[#This Row],[_Pred4Text]]&amp;"S"),FIND("+",Tasks[[#This Row],[_Pred4Text]]&amp;"+"),FIND("-",Tasks[[#This Row],[_Pred4Text]]&amp;"-"))-1)),""))</f>
        <v/>
      </c>
      <c r="CL7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7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79" s="45" t="str">
        <f aca="false">IF(OR(Tasks[[#This Row],[Task Name]]="",Tasks[[#This Row],[Resources]]=""),"",TRIM(MID(SUBSTITUTE(Tasks[[#This Row],[Resources]],",",REPT(" ",99)),1,99)))</f>
        <v/>
      </c>
      <c r="CO79" s="45" t="str">
        <f aca="false">IF(Tasks[[#This Row],[_Res1Text]]="","",TRIM(MID(SUBSTITUTE(Tasks[[#This Row],[Resources]],",",REPT(" ",99)),100,99)))</f>
        <v/>
      </c>
      <c r="CP79" s="45" t="str">
        <f aca="false">IF(Tasks[[#This Row],[_Res2Text]]="","",TRIM(MID(SUBSTITUTE(Tasks[[#This Row],[Resources]],",",REPT(" ",99)),199,99)))</f>
        <v/>
      </c>
      <c r="CQ79" s="45" t="str">
        <f aca="false">IF(Tasks[[#This Row],[_Res3Text]]="","",TRIM(MID(SUBSTITUTE(Tasks[[#This Row],[Resources]],",",REPT(" ",99)),298,99)))</f>
        <v/>
      </c>
      <c r="CR7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7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9" s="45" t="n">
        <f aca="false">IF(NOT(Tasks[[#This Row],[_IsLeaf]]=1),0,(Tasks[[#This Row],[_Resource1]]&lt;&gt;"")+(Tasks[[#This Row],[_Res2]]&lt;&gt;"")+(Tasks[[#This Row],[_Res3]]&lt;&gt;"")+(Tasks[[#This Row],[_Res4]]&lt;&gt;""))</f>
        <v>0</v>
      </c>
      <c r="CU7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7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9" s="45" t="n">
        <f aca="false">IF(OR(NOT(Tasks[[#This Row],[_IsLeaf]]=1),Tasks[[#This Row],[_Res2]]=""),0,IF(ISNA(MATCH(Tasks[[#This Row],[_Res2]],res_Name,0)),0,N(Tasks[[#This Row],[Duration]])*HoursPerDay*IF(Tasks[[#This Row],[_Res2Units]]="",DefaultUnits,Tasks[[#This Row],[_Res2Units]])))</f>
        <v>0</v>
      </c>
      <c r="CX79" s="45" t="n">
        <f aca="false">IF(Tasks[[#This Row],[_Res2Work]]=0,0,Tasks[[#This Row],[_Res2Work]]*IFERROR(INDEX(res_Rate,MATCH(Tasks[[#This Row],[_Res2]],res_Name,0)),0))</f>
        <v>0</v>
      </c>
      <c r="CY79" s="45" t="n">
        <f aca="false">IF(AND(AND(Tasks[[#This Row],[_IsLeaf]]=1,Tasks[[#This Row],[_LeafTotalWork]]&gt;0),Tasks[[#This Row],[_Res2Work]]&gt;0),Tasks[[#This Row],[_Res2Work]]/(Tasks[[#This Row],[_FinishWorkday]]-Tasks[[#This Row],[_StartWorkday]]+1),0)</f>
        <v>0</v>
      </c>
      <c r="CZ79" s="45" t="n">
        <f aca="false">Tasks[[#This Row],[_Res2WorkPerWD]]*MAX(0,Tasks[[#This Row],[_StartWorkday]]-1)</f>
        <v>0</v>
      </c>
      <c r="DA79" s="45" t="n">
        <f aca="false">Tasks[[#This Row],[_Res2Work]]*Tasks[[#This Row],[_LeafProgress]]</f>
        <v>0</v>
      </c>
      <c r="DB79" s="45" t="n">
        <f aca="false">IF(Tasks[[#This Row],[_LeafTotalCost]]=0,0,Tasks[[#This Row],[_LeafAC]]*Tasks[[#This Row],[_Res2Cost]]/Tasks[[#This Row],[_LeafTotalCost]])</f>
        <v>0</v>
      </c>
      <c r="DC7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7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79" s="45" t="n">
        <f aca="false">IF(OR(NOT(Tasks[[#This Row],[_IsLeaf]]=1),Tasks[[#This Row],[_Res3]]=""),0,IF(ISNA(MATCH(Tasks[[#This Row],[_Res3]],res_Name,0)),0,N(Tasks[[#This Row],[Duration]])*HoursPerDay*IF(Tasks[[#This Row],[_Res3Units]]="",DefaultUnits,Tasks[[#This Row],[_Res3Units]])))</f>
        <v>0</v>
      </c>
      <c r="DF79" s="45" t="n">
        <f aca="false">IF(Tasks[[#This Row],[_Res3Work]]=0,0,Tasks[[#This Row],[_Res3Work]]*IFERROR(INDEX(res_Rate,MATCH(Tasks[[#This Row],[_Res3]],res_Name,0)),0))</f>
        <v>0</v>
      </c>
      <c r="DG79" s="45" t="n">
        <f aca="false">IF(AND(AND(Tasks[[#This Row],[_IsLeaf]]=1,Tasks[[#This Row],[_LeafTotalWork]]&gt;0),Tasks[[#This Row],[_Res3Work]]&gt;0),Tasks[[#This Row],[_Res3Work]]/(Tasks[[#This Row],[_FinishWorkday]]-Tasks[[#This Row],[_StartWorkday]]+1),0)</f>
        <v>0</v>
      </c>
      <c r="DH79" s="45" t="n">
        <f aca="false">Tasks[[#This Row],[_Res3WorkPerWD]]*MAX(0,Tasks[[#This Row],[_StartWorkday]]-1)</f>
        <v>0</v>
      </c>
      <c r="DI79" s="45" t="n">
        <f aca="false">Tasks[[#This Row],[_Res3Work]]*Tasks[[#This Row],[_LeafProgress]]</f>
        <v>0</v>
      </c>
      <c r="DJ79" s="45" t="n">
        <f aca="false">IF(Tasks[[#This Row],[_LeafTotalCost]]=0,0,Tasks[[#This Row],[_LeafAC]]*Tasks[[#This Row],[_Res3Cost]]/Tasks[[#This Row],[_LeafTotalCost]])</f>
        <v>0</v>
      </c>
      <c r="DK7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7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79" s="45" t="n">
        <f aca="false">IF(OR(NOT(Tasks[[#This Row],[_IsLeaf]]=1),Tasks[[#This Row],[_Res4]]=""),0,IF(ISNA(MATCH(Tasks[[#This Row],[_Res4]],res_Name,0)),0,N(Tasks[[#This Row],[Duration]])*HoursPerDay*IF(Tasks[[#This Row],[_Res4Units]]="",DefaultUnits,Tasks[[#This Row],[_Res4Units]])))</f>
        <v>0</v>
      </c>
      <c r="DN79" s="45" t="n">
        <f aca="false">IF(Tasks[[#This Row],[_Res4Work]]=0,0,Tasks[[#This Row],[_Res4Work]]*IFERROR(INDEX(res_Rate,MATCH(Tasks[[#This Row],[_Res4]],res_Name,0)),0))</f>
        <v>0</v>
      </c>
      <c r="DO79" s="45" t="n">
        <f aca="false">IF(AND(AND(Tasks[[#This Row],[_IsLeaf]]=1,Tasks[[#This Row],[_LeafTotalWork]]&gt;0),Tasks[[#This Row],[_Res4Work]]&gt;0),Tasks[[#This Row],[_Res4Work]]/(Tasks[[#This Row],[_FinishWorkday]]-Tasks[[#This Row],[_StartWorkday]]+1),0)</f>
        <v>0</v>
      </c>
      <c r="DP79" s="45" t="n">
        <f aca="false">Tasks[[#This Row],[_Res4WorkPerWD]]*MAX(0,Tasks[[#This Row],[_StartWorkday]]-1)</f>
        <v>0</v>
      </c>
      <c r="DQ79" s="45" t="n">
        <f aca="false">Tasks[[#This Row],[_Res4Work]]*Tasks[[#This Row],[_LeafProgress]]</f>
        <v>0</v>
      </c>
      <c r="DR79" s="45" t="n">
        <f aca="false">IF(Tasks[[#This Row],[_LeafTotalCost]]=0,0,Tasks[[#This Row],[_LeafAC]]*Tasks[[#This Row],[_Res4Cost]]/Tasks[[#This Row],[_LeafTotalCost]])</f>
        <v>0</v>
      </c>
      <c r="DS79" s="45" t="n">
        <f aca="false">IF(ISNUMBER(Tasks[[#This Row],[% Complete]]),Tasks[[#This Row],[% Complete]],IF(Tasks[[#This Row],[Stage]]="",0,IFERROR(INDEX(stg_Pct,MATCH(Tasks[[#This Row],[Stage]],stg_Name,0)),0)))</f>
        <v>0</v>
      </c>
      <c r="DT79" s="45" t="n">
        <f aca="false">IF(NOT(Tasks[[#This Row],[_IsLeaf]]=1),0,IF(N(Tasks[[#This Row],[Actual Finish]])&gt;0,1,MIN(1,Tasks[[#This Row],[_Pct]])))</f>
        <v>0</v>
      </c>
      <c r="DU79" s="45" t="n">
        <f aca="false">IF(OR(NOT(Tasks[[#This Row],[_IsLeaf]]=1),Tasks[[#This Row],[_Resource1]]=""),0,IF(ISNA(MATCH(Tasks[[#This Row],[_Resource1]],res_Name,0)),0,N(Tasks[[#This Row],[Duration]])*HoursPerDay*IF(Tasks[[#This Row],[_Units1]]="",DefaultUnits,Tasks[[#This Row],[_Units1]])))</f>
        <v>0</v>
      </c>
      <c r="DV79" s="45" t="n">
        <f aca="false">IF(Tasks[[#This Row],[_LeafWork]]=0,0,Tasks[[#This Row],[_LeafWork]]*IFERROR(INDEX(res_Rate,MATCH(Tasks[[#This Row],[_Resource1]],res_Name,0)),0))</f>
        <v>0</v>
      </c>
      <c r="DW79" s="45" t="n">
        <f aca="false">Tasks[[#This Row],[_LeafWork]]+Tasks[[#This Row],[_Res2Work]]+Tasks[[#This Row],[_Res3Work]]+Tasks[[#This Row],[_Res4Work]]</f>
        <v>0</v>
      </c>
      <c r="DX79" s="45" t="n">
        <f aca="false">Tasks[[#This Row],[_LeafCost]]+Tasks[[#This Row],[_Res2Cost]]+Tasks[[#This Row],[_Res3Cost]]+Tasks[[#This Row],[_Res4Cost]]</f>
        <v>0</v>
      </c>
      <c r="DY79" s="45" t="n">
        <f aca="false">IF(Tasks[[#This Row],[_LeafTotalCost]]=0,Tasks[[#This Row],[_LeafAC]],Tasks[[#This Row],[_LeafAC]]*Tasks[[#This Row],[_LeafCost]]/Tasks[[#This Row],[_LeafTotalCost]])</f>
        <v>0</v>
      </c>
      <c r="DZ7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7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7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7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7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7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7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7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79" s="45" t="n">
        <f aca="false">IF(NOT(Tasks[[#This Row],[_IsLeaf]]=1),0,MAX(_xlfn.MAXIFS(Tasks[_Row],Tasks[_Pred1UID],Tasks[[#This Row],[UID]]),_xlfn.MAXIFS(Tasks[_Row],Tasks[_Pred2UID],Tasks[[#This Row],[UID]]),_xlfn.MAXIFS(Tasks[_Row],Tasks[_Pred3UID],Tasks[[#This Row],[UID]]),_xlfn.MAXIFS(Tasks[_Row],Tasks[_Pred4UID],Tasks[[#This Row],[UID]])))</f>
        <v>0</v>
      </c>
      <c r="EI7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7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79" s="74" t="str">
        <f aca="false">IF(NOT(Tasks[[#This Row],[_IsLeaf]]=1),"",IF(N(Tasks[[#This Row],[Duration]])&lt;=0,Tasks[[#This Row],[_LeafLateFinish]],WORKDAY.INTL(Tasks[[#This Row],[_LeafLateFinish]],-(Tasks[[#This Row],[Duration]]-1),WorkWeek,Holidays)))</f>
        <v/>
      </c>
      <c r="EL7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79" s="73" t="b">
        <f aca="false">AND(Tasks[[#This Row],[_IsLeaf]]=1,Tasks[[#This Row],[_LeafProgress]]&lt;1,N(Tasks[[#This Row],[_LeafTotalSlack]])&lt;=CriticalSlackDays)</f>
        <v>0</v>
      </c>
      <c r="EN79" s="45" t="n">
        <f aca="false">IF(AND(Tasks[[#This Row],[_IsLeaf]]=1,Tasks[[#This Row],[_ConstraintCode]]=1,Tasks[[#This Row],[Mode]]&lt;&gt;"Manual",N(Tasks[[#This Row],[Actual Start]])=0),MAX(0,N(Tasks[[#This Row],[Free Slack]])),0)</f>
        <v>0</v>
      </c>
      <c r="EO79" s="74" t="str">
        <f aca="false">IF(NOT(Tasks[[#This Row],[_IsLeaf]]=1),"",IF(Tasks[[#This Row],[_AlapShift]]=0,Tasks[[#This Row],[_LeafCalcStart]],WORKDAY.INTL(Tasks[[#This Row],[_LeafCalcStart]],Tasks[[#This Row],[_AlapShift]],WorkWeek,Holidays)))</f>
        <v/>
      </c>
      <c r="EP79" s="74" t="str">
        <f aca="false">IF(NOT(Tasks[[#This Row],[_IsLeaf]]=1),"",IF(Tasks[[#This Row],[_AlapShift]]=0,Tasks[[#This Row],[_LeafCalcFinish]],WORKDAY.INTL(Tasks[[#This Row],[_LeafCalcFinish]],Tasks[[#This Row],[_AlapShift]],WorkWeek,Holidays)))</f>
        <v/>
      </c>
      <c r="EQ79" s="74" t="str">
        <f aca="false">IF(NOT(Tasks[[#This Row],[_IsLeaf]]=1),"",IF(Tasks[[#This Row],[_AlapShift]]=0,Tasks[[#This Row],[_LeafFcstStart]],WORKDAY.INTL(Tasks[[#This Row],[_LeafFcstStart]],Tasks[[#This Row],[_AlapShift]],WorkWeek,Holidays)))</f>
        <v/>
      </c>
      <c r="ER79" s="74" t="str">
        <f aca="false">IF(NOT(Tasks[[#This Row],[_IsLeaf]]=1),"",IF(Tasks[[#This Row],[_AlapShift]]=0,Tasks[[#This Row],[_LeafFcstFinish]],WORKDAY.INTL(Tasks[[#This Row],[_LeafFcstFinish]],Tasks[[#This Row],[_AlapShift]],WorkWeek,Holidays)))</f>
        <v/>
      </c>
      <c r="ES79" s="74" t="str">
        <f aca="false">IF(Tasks[[#This Row],[Task Name]]="","",IF(Tasks[[#This Row],[_IsSummary]],MIN(INDEX(Tasks[_ShownCalcStart],Tasks[[#This Row],[_Row]]+1):INDEX(Tasks[_ShownCalcStart],Tasks[[#This Row],[_Row]]+Tasks[[#This Row],[_Descendants]])),Tasks[[#This Row],[_ShownCalcStart]]))</f>
        <v/>
      </c>
      <c r="ET79" s="74" t="str">
        <f aca="false">IF(Tasks[[#This Row],[Task Name]]="","",IF(Tasks[[#This Row],[_IsSummary]],MAX(INDEX(Tasks[_ShownCalcFinish],Tasks[[#This Row],[_Row]]+1):INDEX(Tasks[_ShownCalcFinish],Tasks[[#This Row],[_Row]]+Tasks[[#This Row],[_Descendants]])),Tasks[[#This Row],[_ShownCalcFinish]]))</f>
        <v/>
      </c>
      <c r="EU7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7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7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7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7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7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7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7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7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7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7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7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79" s="45" t="n">
        <f aca="false">IF(AND(Tasks[[#This Row],[_IsLeaf]]=1,Tasks[[#This Row],[_LeafTotalWork]]&gt;0),NETWORKDAYS.INTL(ProjectStart,Tasks[[#This Row],[_ShownFcstStart]],WorkWeek,Holidays),0)</f>
        <v>0</v>
      </c>
      <c r="FH79" s="45" t="n">
        <f aca="false">IF(AND(Tasks[[#This Row],[_IsLeaf]]=1,Tasks[[#This Row],[_LeafTotalWork]]&gt;0),MAX(Tasks[[#This Row],[_StartWorkday]],NETWORKDAYS.INTL(ProjectStart,Tasks[[#This Row],[_ShownFcstFinish]],WorkWeek,Holidays)),0)</f>
        <v>0</v>
      </c>
      <c r="FI79" s="45" t="n">
        <f aca="false">IF(AND(Tasks[[#This Row],[_IsLeaf]]=1,Tasks[[#This Row],[_LeafTotalWork]]&gt;0),Tasks[[#This Row],[_LeafWork]]/(Tasks[[#This Row],[_FinishWorkday]]-Tasks[[#This Row],[_StartWorkday]]+1),0)</f>
        <v>0</v>
      </c>
      <c r="FJ79" s="45" t="n">
        <f aca="false">Tasks[[#This Row],[_WorkPerWorkday]]*(Tasks[[#This Row],[_StartWorkday]]-1)</f>
        <v>-0</v>
      </c>
      <c r="FK79" s="45" t="n">
        <f aca="false">IF(Tasks[[#This Row],[_IsLeaf]]=1,MAX(N(Tasks[[#This Row],[Duration]]),0.1),0)</f>
        <v>0</v>
      </c>
      <c r="FL79" s="45" t="n">
        <f aca="false">Tasks[[#This Row],[_WeightDur]]*Tasks[[#This Row],[_LeafProgress]]</f>
        <v>0</v>
      </c>
      <c r="FM7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79" s="45" t="str">
        <f aca="false">IF(AND(Tasks[[#This Row],[_IsLeaf]]=1,N(Tasks[[#This Row],[Duration]])=0,Tasks[[#This Row],[_LeafProgress]]&lt;1),Tasks[[#This Row],[_ShownFcstFinish]]+Tasks[[#This Row],[_Row]]/100000,"")</f>
        <v/>
      </c>
      <c r="FO7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79" s="45" t="n">
        <f aca="false">IF(NOT(Tasks[[#This Row],[_IsLeaf]]=1),0,IF(Tasks[[#This Row],[Baseline Cost]]="",Tasks[[#This Row],[_LeafTotalCost]],N(Tasks[[#This Row],[Baseline Cost]])))</f>
        <v>0</v>
      </c>
      <c r="FQ79" s="45" t="n">
        <f aca="false">Tasks[[#This Row],[_LeafBudget]]*Tasks[[#This Row],[_PlannedPct]]</f>
        <v>0</v>
      </c>
      <c r="FR79" s="45" t="n">
        <f aca="false">Tasks[[#This Row],[_LeafBudget]]*Tasks[[#This Row],[_LeafProgress]]</f>
        <v>0</v>
      </c>
      <c r="FS79" s="45" t="n">
        <f aca="false">IF(NOT(Tasks[[#This Row],[_IsLeaf]]=1),0,IF(Tasks[[#This Row],[Actual Cost]]="",Tasks[[#This Row],[_LeafTotalCost]]*Tasks[[#This Row],[_LeafProgress]],N(Tasks[[#This Row],[Actual Cost]])))</f>
        <v>0</v>
      </c>
      <c r="FT79" s="45" t="str">
        <f aca="false">IF(Tasks[[#This Row],[Task Name]]="","",LEFT(Tasks[[#This Row],[WBS]],FIND(".",Tasks[[#This Row],[WBS]]&amp;".")-1))</f>
        <v/>
      </c>
      <c r="FU79" s="45" t="str">
        <f aca="false">IF(AND(Tasks[[#This Row],[Task Name]]&lt;&gt;"",Tasks[[#This Row],[_Level]]=1),Tasks[[#This Row],[_Row]],"")</f>
        <v/>
      </c>
      <c r="FV79" s="45" t="str">
        <f aca="false">IF(AND(Tasks[[#This Row],[_IsLeaf]]=1,N(Tasks[[#This Row],[Duration]])=0),Tasks[[#This Row],[Planned Finish]]+Tasks[[#This Row],[_Row]]/100000,"")</f>
        <v/>
      </c>
      <c r="FW79" s="45" t="str">
        <f aca="false">IF(AND(Tasks[[#This Row],[_IsLeaf]]=1,Tasks[[#This Row],[_LeafProgress]]&lt;1,OR(N(Tasks[[#This Row],[Finish Var]])&gt;0,Tasks[[#This Row],[Status]]="Late Start")),MAX(0,Tasks[[#This Row],[Finish Var]])+1-Tasks[[#This Row],[_Row]]/1000000,"")</f>
        <v/>
      </c>
      <c r="FX79" s="45" t="str">
        <f aca="false">IF(AND(Tasks[[#This Row],[_IsLeaf]]=1,N(Tasks[[#This Row],[Actual Start]])=0,Tasks[[#This Row],[_ShownFcstStart]]&gt;=StatusDate,Tasks[[#This Row],[_ShownFcstStart]]&lt;=LookaheadEnd),Tasks[[#This Row],[_ShownFcstStart]]+Tasks[[#This Row],[_Row]]/100000,"")</f>
        <v/>
      </c>
      <c r="FY79" s="45" t="str">
        <f aca="false">IF(AND(Tasks[[#This Row],[_IsLeaf]]=1,Tasks[[#This Row],[_LeafProgress]]&lt;1,Tasks[[#This Row],[_ShownFcstFinish]]&gt;=StatusDate,Tasks[[#This Row],[_ShownFcstFinish]]&lt;=LookaheadEnd),Tasks[[#This Row],[_ShownFcstFinish]]+Tasks[[#This Row],[_Row]]/100000,"")</f>
        <v/>
      </c>
      <c r="FZ79" s="45" t="str">
        <f aca="false">IF(Tasks[[#This Row],[_LeafCritical]],Tasks[[#This Row],[_ShownFcstStart]]+Tasks[[#This Row],[_Row]]/100000,"")</f>
        <v/>
      </c>
      <c r="GA79" s="45" t="n">
        <f aca="false">Tasks[[#This Row],[_LeafWork]]*Tasks[[#This Row],[_LeafProgress]]</f>
        <v>0</v>
      </c>
      <c r="GB79" s="74" t="str">
        <f aca="false">IF(AND(Tasks[[#This Row],[_IsLeaf]]=1,Tasks[[#This Row],[_LeafProgress]]&gt;=1),IF(N(Tasks[[#This Row],[Actual Finish]])&gt;0,Tasks[[#This Row],[Actual Finish]],Tasks[[#This Row],[_ShownFcstFinish]]),"")</f>
        <v/>
      </c>
    </row>
    <row r="80" customFormat="false" ht="15" hidden="false" customHeight="false" outlineLevel="0" collapsed="false">
      <c r="A80" s="67" t="str">
        <f aca="false">IF(Tasks[[#This Row],[Task Name]]="","",COUNTA(Tasks[[#Headers],[Task Name]]:Tasks[[#This Row],[Task Name]])-1)</f>
        <v/>
      </c>
      <c r="B80" s="21" t="n">
        <v>75</v>
      </c>
      <c r="C8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21"/>
      <c r="E80" s="22"/>
      <c r="F80" s="21"/>
      <c r="G80" s="22"/>
      <c r="H80" s="22"/>
      <c r="I80" s="22"/>
      <c r="J80" s="7"/>
      <c r="K80" s="7"/>
      <c r="L80" s="22"/>
      <c r="M80" s="58" t="str">
        <f aca="false">IF(Tasks[[#This Row],[Task Name]]="","",IF(Tasks[[#This Row],[_IsSummary]],MIN(INDEX(Tasks[_ShownFcstStart],Tasks[[#This Row],[_Row]]+1):INDEX(Tasks[_ShownFcstStart],Tasks[[#This Row],[_Row]]+Tasks[[#This Row],[_Descendants]])),Tasks[[#This Row],[_ShownFcstStart]]))</f>
        <v/>
      </c>
      <c r="N80" s="58" t="str">
        <f aca="false">IF(Tasks[[#This Row],[Task Name]]="","",IF(Tasks[[#This Row],[_IsSummary]],MAX(INDEX(Tasks[_ShownFcstFinish],Tasks[[#This Row],[_Row]]+1):INDEX(Tasks[_ShownFcstFinish],Tasks[[#This Row],[_Row]]+Tasks[[#This Row],[_Descendants]])),Tasks[[#This Row],[_ShownFcstFinish]]))</f>
        <v/>
      </c>
      <c r="O80" s="20" t="str">
        <f aca="false">IF(Tasks[[#This Row],[Task Name]]="","",IF(Tasks[[#This Row],[Progress]]&gt;=1,"Complete",IF(OR(N(Tasks[[#This Row],[Actual Start]])&gt;0,Tasks[[#This Row],[Progress]]&gt;0),IF(Tasks[[#This Row],[Finish Var]]&gt;0,"Behind","In Progress"),IF(Tasks[[#This Row],[Planned Start]]&lt;StatusDate,"Late Start","Not Started"))))</f>
        <v/>
      </c>
      <c r="P80" s="20" t="str">
        <f aca="false">IF(Tasks[[#This Row],[Task Name]]="","",IF(IF(Tasks[[#This Row],[_IsSummary]],COUNTIF(INDEX(Tasks[_LeafCritical],Tasks[[#This Row],[_Row]]+1):INDEX(Tasks[_LeafCritical],Tasks[[#This Row],[_Row]]+Tasks[[#This Row],[_Descendants]]),TRUE())&gt;0,Tasks[[#This Row],[_LeafCritical]]),"Yes",""))</f>
        <v/>
      </c>
      <c r="Q8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80" s="67" t="str">
        <f aca="false">IF(Tasks[[#This Row],[Task Name]]="","",IF(Tasks[[#This Row],[_Level]]&lt;=OutlineShowLevel,"Yes","No"))</f>
        <v/>
      </c>
      <c r="S80" s="7"/>
      <c r="T80" s="21"/>
      <c r="U80" s="22"/>
      <c r="V80" s="7"/>
      <c r="W80" s="67" t="str">
        <f aca="false">IF(Tasks[[#This Row],[Task Name]]="","",IF(Tasks[[#This Row],[Finish]]&gt;=Tasks[[#This Row],[Planned Finish]],NETWORKDAYS.INTL(Tasks[[#This Row],[Planned Finish]],Tasks[[#This Row],[Finish]],WorkWeek,Holidays)-1,1-NETWORKDAYS.INTL(Tasks[[#This Row],[Finish]],Tasks[[#This Row],[Planned Finish]],WorkWeek,Holidays)))</f>
        <v/>
      </c>
      <c r="X80" s="58" t="str">
        <f aca="false">IF(Tasks[[#This Row],[Task Name]]="","",IF(N(Tasks[[#This Row],[Baseline Start]])&gt;0,Tasks[[#This Row],[Baseline Start]],Tasks[[#This Row],[_CalcStart]]))</f>
        <v/>
      </c>
      <c r="Y80" s="58" t="str">
        <f aca="false">IF(Tasks[[#This Row],[Task Name]]="","",IF(N(Tasks[[#This Row],[Baseline Finish]])&gt;0,Tasks[[#This Row],[Baseline Finish]],Tasks[[#This Row],[_CalcFinish]]))</f>
        <v/>
      </c>
      <c r="Z80" s="67" t="str">
        <f aca="false">IF(Tasks[[#This Row],[Task Name]]="","",IF(Tasks[[#This Row],[Start]]&gt;=Tasks[[#This Row],[Planned Start]],NETWORKDAYS.INTL(Tasks[[#This Row],[Planned Start]],Tasks[[#This Row],[Start]],WorkWeek,Holidays)-1,1-NETWORKDAYS.INTL(Tasks[[#This Row],[Start]],Tasks[[#This Row],[Planned Start]],WorkWeek,Holidays)))</f>
        <v/>
      </c>
      <c r="AA80" s="58" t="str">
        <f aca="false">IF(Tasks[[#This Row],[Task Name]]="","",IF(Tasks[[#This Row],[_IsSummary]],MIN(INDEX(Tasks[_LeafLateStart],Tasks[[#This Row],[_Row]]+1):INDEX(Tasks[_LeafLateStart],Tasks[[#This Row],[_Row]]+Tasks[[#This Row],[_Descendants]])),Tasks[[#This Row],[_LeafLateStart]]))</f>
        <v/>
      </c>
      <c r="AB80" s="58" t="str">
        <f aca="false">IF(Tasks[[#This Row],[Task Name]]="","",IF(Tasks[[#This Row],[_IsSummary]],MAX(INDEX(Tasks[_LeafLateFinish],Tasks[[#This Row],[_Row]]+1):INDEX(Tasks[_LeafLateFinish],Tasks[[#This Row],[_Row]]+Tasks[[#This Row],[_Descendants]])),Tasks[[#This Row],[_LeafLateFinish]]))</f>
        <v/>
      </c>
      <c r="AC80" s="67" t="str">
        <f aca="false">IF(Tasks[[#This Row],[Task Name]]="","",IF(Tasks[[#This Row],[_IsSummary]],MIN(INDEX(Tasks[_LeafTotalSlack],Tasks[[#This Row],[_Row]]+1):INDEX(Tasks[_LeafTotalSlack],Tasks[[#This Row],[_Row]]+Tasks[[#This Row],[_Descendants]])),Tasks[[#This Row],[_LeafTotalSlack]]))</f>
        <v/>
      </c>
      <c r="AD8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8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8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80" s="60"/>
      <c r="AH8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8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80" s="69" t="str">
        <f aca="false">IF(Tasks[[#This Row],[Task Name]]="","",IF(Tasks[[#This Row],[_IsSummary]],SUM(INDEX(Tasks[_LeafTotalWork],Tasks[[#This Row],[_Row]]+1):INDEX(Tasks[_LeafTotalWork],Tasks[[#This Row],[_Row]]+Tasks[[#This Row],[_Descendants]])),Tasks[[#This Row],[_LeafTotalWork]]))</f>
        <v/>
      </c>
      <c r="AK8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80" s="70" t="str">
        <f aca="false">IF(Tasks[[#This Row],[Task Name]]="","",IF(Tasks[[#This Row],[_IsSummary]],SUM(INDEX(Tasks[_LeafTotalCost],Tasks[[#This Row],[_Row]]+1):INDEX(Tasks[_LeafTotalCost],Tasks[[#This Row],[_Row]]+Tasks[[#This Row],[_Descendants]])),Tasks[[#This Row],[_LeafTotalCost]]))</f>
        <v/>
      </c>
      <c r="AM80" s="71"/>
      <c r="AN80" s="20" t="str">
        <f aca="false">IF(OR(Tasks[[#This Row],[Task Name]]="",Tasks[[#This Row],[Baseline Duration]]=""),"",Tasks[[#This Row],[BL Source Duration]]-N(Tasks[[#This Row],[Baseline Duration]]))</f>
        <v/>
      </c>
      <c r="AO80" s="69" t="str">
        <f aca="false">IF(OR(Tasks[[#This Row],[Task Name]]="",Tasks[[#This Row],[Baseline Work]]=""),"",Tasks[[#This Row],[Work]]-N(Tasks[[#This Row],[Baseline Work]]))</f>
        <v/>
      </c>
      <c r="AP80" s="70" t="str">
        <f aca="false">IF(OR(Tasks[[#This Row],[Task Name]]="",Tasks[[#This Row],[Baseline Cost]]=""),"",Tasks[[#This Row],[Cost]]-N(Tasks[[#This Row],[Baseline Cost]]))</f>
        <v/>
      </c>
      <c r="AQ80" s="58" t="str">
        <f aca="false">IF(Tasks[[#This Row],[Task Name]]="","",Tasks[[#This Row],[Start]])</f>
        <v/>
      </c>
      <c r="AR80" s="58" t="str">
        <f aca="false">IF(Tasks[[#This Row],[Task Name]]="","",Tasks[[#This Row],[Finish]])</f>
        <v/>
      </c>
      <c r="AS80" s="67" t="str">
        <f aca="false">IF(Tasks[[#This Row],[Task Name]]="","",IF(Tasks[[#This Row],[_IsSummary]],NETWORKDAYS.INTL(Tasks[[#This Row],[Start]],Tasks[[#This Row],[Finish]],WorkWeek,Holidays),N(Tasks[[#This Row],[Duration]])))</f>
        <v/>
      </c>
      <c r="AT80" s="69" t="str">
        <f aca="false">IF(Tasks[[#This Row],[Task Name]]="","",Tasks[[#This Row],[Work]])</f>
        <v/>
      </c>
      <c r="AU80" s="70" t="str">
        <f aca="false">IF(Tasks[[#This Row],[Task Name]]="","",Tasks[[#This Row],[Cost]])</f>
        <v/>
      </c>
      <c r="AV80" s="7"/>
      <c r="AW80" s="7"/>
      <c r="AX80" s="21"/>
      <c r="AY80" s="72"/>
      <c r="AZ80" s="71"/>
      <c r="BA80" s="70" t="str">
        <f aca="false">IF(Tasks[[#This Row],[Task Name]]="","",IF(Tasks[[#This Row],[_IsSummary]],SUM(INDEX(Tasks[_LeafEV],Tasks[[#This Row],[_Row]]+1):INDEX(Tasks[_LeafEV],Tasks[[#This Row],[_Row]]+Tasks[[#This Row],[_Descendants]])),Tasks[[#This Row],[_LeafEV]]))</f>
        <v/>
      </c>
      <c r="BB80" s="70" t="str">
        <f aca="false">IF(Tasks[[#This Row],[Task Name]]="","",IF(Tasks[[#This Row],[_IsSummary]],SUM(INDEX(Tasks[_LeafBudget],Tasks[[#This Row],[_Row]]+1):INDEX(Tasks[_LeafBudget],Tasks[[#This Row],[_Row]]+Tasks[[#This Row],[_Descendants]])),Tasks[[#This Row],[_LeafBudget]]))</f>
        <v/>
      </c>
      <c r="BC80" s="70" t="str">
        <f aca="false">IF(Tasks[[#This Row],[Task Name]]="","",IF(Tasks[[#This Row],[_IsSummary]],SUM(INDEX(Tasks[_LeafPV],Tasks[[#This Row],[_Row]]+1):INDEX(Tasks[_LeafPV],Tasks[[#This Row],[_Row]]+Tasks[[#This Row],[_Descendants]])),Tasks[[#This Row],[_LeafPV]]))</f>
        <v/>
      </c>
      <c r="BD80" s="70" t="str">
        <f aca="false">IF(Tasks[[#This Row],[Task Name]]="","",IF(Tasks[[#This Row],[_IsSummary]],SUM(INDEX(Tasks[_LeafAC],Tasks[[#This Row],[_Row]]+1):INDEX(Tasks[_LeafAC],Tasks[[#This Row],[_Row]]+Tasks[[#This Row],[_Descendants]])),Tasks[[#This Row],[_LeafAC]]))</f>
        <v/>
      </c>
      <c r="BE80" s="45" t="str">
        <f aca="false">IF(Tasks[[#This Row],[Task Name]]="","",MAX(1,N(Tasks[[#This Row],[Level]])))</f>
        <v/>
      </c>
      <c r="BF80" s="45" t="n">
        <f aca="false">ROW()-ROW(Tasks[[#Headers],[ID]])</f>
        <v>75</v>
      </c>
      <c r="BG80" s="45" t="n">
        <f aca="false">IF(OR(Tasks[[#This Row],[Task Name]]="",Tasks[[#This Row],[_Level]]&lt;=1),0,IFERROR(LOOKUP(2,1/(Tasks[[#Headers],[_Level]]:Tasks[[#This Row],[_Level]]=Tasks[[#This Row],[_Level]]-1),ROW(Tasks[[#Headers],[_Level]]:Tasks[[#This Row],[_Level]])),0))</f>
        <v>0</v>
      </c>
      <c r="BH80" s="45" t="n">
        <f aca="false">IFERROR(N(INDEX(Tasks[_Level],Tasks[[#This Row],[_Row]]+1)),0)</f>
        <v>0</v>
      </c>
      <c r="BI80" s="73" t="b">
        <f aca="false">AND(Tasks[[#This Row],[Task Name]]&lt;&gt;"",Tasks[[#This Row],[_NextLevel]]&gt;Tasks[[#This Row],[_Level]])</f>
        <v>0</v>
      </c>
      <c r="BJ80" s="45" t="n">
        <f aca="false">IF(Tasks[[#This Row],[_IsSummary]],COUNTIF(Tasks[WBS],Tasks[[#This Row],[WBS]]&amp;".*"),0)</f>
        <v>0</v>
      </c>
      <c r="BK80" s="45" t="n">
        <f aca="false">IF(AND(Tasks[[#This Row],[Task Name]]&lt;&gt;"",NOT(Tasks[[#This Row],[_IsSummary]])),1,0)</f>
        <v>0</v>
      </c>
      <c r="BL80" s="45" t="n">
        <f aca="false">IF(N(Tasks[[#This Row],[_Pred1UID]])=0,0,IFERROR(MATCH(Tasks[[#This Row],[_Pred1UID]],Tasks[UID],0),-1))</f>
        <v>0</v>
      </c>
      <c r="BM80" s="45" t="n">
        <f aca="false">IF(N(Tasks[[#This Row],[_Pred2UID]])=0,0,IFERROR(MATCH(Tasks[[#This Row],[_Pred2UID]],Tasks[UID],0),-1))</f>
        <v>0</v>
      </c>
      <c r="BN80" s="45" t="n">
        <f aca="false">IF(N(Tasks[[#This Row],[_Pred3UID]])=0,0,IFERROR(MATCH(Tasks[[#This Row],[_Pred3UID]],Tasks[UID],0),-1))</f>
        <v>0</v>
      </c>
      <c r="BO80" s="45" t="n">
        <f aca="false">IF(N(Tasks[[#This Row],[_Pred4UID]])=0,0,IFERROR(MATCH(Tasks[[#This Row],[_Pred4UID]],Tasks[UID],0),-1))</f>
        <v>0</v>
      </c>
      <c r="BP8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8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80" s="74" t="n">
        <f aca="false">IF(OR(Tasks[[#This Row],[_ConstraintCode]]=2,Tasks[[#This Row],[_ConstraintCode]]=3,Tasks[[#This Row],[_ConstraintCode]]=4,Tasks[[#This Row],[_ConstraintCode]]=6),Tasks[[#This Row],[_ConstraintStart]],0)</f>
        <v>0</v>
      </c>
      <c r="BS80" s="74" t="n">
        <f aca="false">IF(OR(Tasks[[#This Row],[_ConstraintCode]]=2,Tasks[[#This Row],[_ConstraintCode]]=3,Tasks[[#This Row],[_ConstraintCode]]=5,Tasks[[#This Row],[_ConstraintCode]]=7),Tasks[[#This Row],[_ConstraintStart]],2958465)</f>
        <v>2958465</v>
      </c>
      <c r="BT8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80" s="74" t="str">
        <f aca="false">IF(NOT(Tasks[[#This Row],[_IsLeaf]]=1),"",IF(N(Tasks[[#This Row],[Duration]])&lt;=0,Tasks[[#This Row],[_LeafCalcStart]],WORKDAY.INTL(Tasks[[#This Row],[_LeafCalcStart]],Tasks[[#This Row],[Duration]]-1,WorkWeek,Holidays)))</f>
        <v/>
      </c>
      <c r="BV8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8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80" s="45" t="str">
        <f aca="false">IF(Tasks[[#This Row],[Predecessors]]="","",TRIM(MID(SUBSTITUTE(SUBSTITUTE(SUBSTITUTE(UPPER(Tasks[[#This Row],[Predecessors]]),";",",")," ",""),",",REPT(" ",99)),1,99)))</f>
        <v/>
      </c>
      <c r="BY80" s="45" t="str">
        <f aca="false">IF(Tasks[[#This Row],[_Pred1Text]]="","",IFERROR(VALUE(LEFT(Tasks[[#This Row],[_Pred1Text]],MIN(FIND("F",Tasks[[#This Row],[_Pred1Text]]&amp;"F"),FIND("S",Tasks[[#This Row],[_Pred1Text]]&amp;"S"),FIND("+",Tasks[[#This Row],[_Pred1Text]]&amp;"+"),FIND("-",Tasks[[#This Row],[_Pred1Text]]&amp;"-"))-1)),""))</f>
        <v/>
      </c>
      <c r="BZ8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8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80" s="45" t="str">
        <f aca="false">IF(Tasks[[#This Row],[_Pred1Text]]="","",TRIM(MID(SUBSTITUTE(SUBSTITUTE(SUBSTITUTE(UPPER(Tasks[[#This Row],[Predecessors]]),";",",")," ",""),",",REPT(" ",99)),100,99)))</f>
        <v/>
      </c>
      <c r="CC80" s="45" t="str">
        <f aca="false">IF(Tasks[[#This Row],[_Pred2Text]]="","",IFERROR(VALUE(LEFT(Tasks[[#This Row],[_Pred2Text]],MIN(FIND("F",Tasks[[#This Row],[_Pred2Text]]&amp;"F"),FIND("S",Tasks[[#This Row],[_Pred2Text]]&amp;"S"),FIND("+",Tasks[[#This Row],[_Pred2Text]]&amp;"+"),FIND("-",Tasks[[#This Row],[_Pred2Text]]&amp;"-"))-1)),""))</f>
        <v/>
      </c>
      <c r="CD8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8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80" s="45" t="str">
        <f aca="false">IF(Tasks[[#This Row],[_Pred2Text]]="","",TRIM(MID(SUBSTITUTE(SUBSTITUTE(SUBSTITUTE(UPPER(Tasks[[#This Row],[Predecessors]]),";",",")," ",""),",",REPT(" ",99)),199,99)))</f>
        <v/>
      </c>
      <c r="CG80" s="45" t="str">
        <f aca="false">IF(Tasks[[#This Row],[_Pred3Text]]="","",IFERROR(VALUE(LEFT(Tasks[[#This Row],[_Pred3Text]],MIN(FIND("F",Tasks[[#This Row],[_Pred3Text]]&amp;"F"),FIND("S",Tasks[[#This Row],[_Pred3Text]]&amp;"S"),FIND("+",Tasks[[#This Row],[_Pred3Text]]&amp;"+"),FIND("-",Tasks[[#This Row],[_Pred3Text]]&amp;"-"))-1)),""))</f>
        <v/>
      </c>
      <c r="CH8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8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80" s="45" t="str">
        <f aca="false">IF(Tasks[[#This Row],[_Pred3Text]]="","",TRIM(MID(SUBSTITUTE(SUBSTITUTE(SUBSTITUTE(UPPER(Tasks[[#This Row],[Predecessors]]),";",",")," ",""),",",REPT(" ",99)),298,99)))</f>
        <v/>
      </c>
      <c r="CK80" s="45" t="str">
        <f aca="false">IF(Tasks[[#This Row],[_Pred4Text]]="","",IFERROR(VALUE(LEFT(Tasks[[#This Row],[_Pred4Text]],MIN(FIND("F",Tasks[[#This Row],[_Pred4Text]]&amp;"F"),FIND("S",Tasks[[#This Row],[_Pred4Text]]&amp;"S"),FIND("+",Tasks[[#This Row],[_Pred4Text]]&amp;"+"),FIND("-",Tasks[[#This Row],[_Pred4Text]]&amp;"-"))-1)),""))</f>
        <v/>
      </c>
      <c r="CL8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8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80" s="45" t="str">
        <f aca="false">IF(OR(Tasks[[#This Row],[Task Name]]="",Tasks[[#This Row],[Resources]]=""),"",TRIM(MID(SUBSTITUTE(Tasks[[#This Row],[Resources]],",",REPT(" ",99)),1,99)))</f>
        <v/>
      </c>
      <c r="CO80" s="45" t="str">
        <f aca="false">IF(Tasks[[#This Row],[_Res1Text]]="","",TRIM(MID(SUBSTITUTE(Tasks[[#This Row],[Resources]],",",REPT(" ",99)),100,99)))</f>
        <v/>
      </c>
      <c r="CP80" s="45" t="str">
        <f aca="false">IF(Tasks[[#This Row],[_Res2Text]]="","",TRIM(MID(SUBSTITUTE(Tasks[[#This Row],[Resources]],",",REPT(" ",99)),199,99)))</f>
        <v/>
      </c>
      <c r="CQ80" s="45" t="str">
        <f aca="false">IF(Tasks[[#This Row],[_Res3Text]]="","",TRIM(MID(SUBSTITUTE(Tasks[[#This Row],[Resources]],",",REPT(" ",99)),298,99)))</f>
        <v/>
      </c>
      <c r="CR8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8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0" s="45" t="n">
        <f aca="false">IF(NOT(Tasks[[#This Row],[_IsLeaf]]=1),0,(Tasks[[#This Row],[_Resource1]]&lt;&gt;"")+(Tasks[[#This Row],[_Res2]]&lt;&gt;"")+(Tasks[[#This Row],[_Res3]]&lt;&gt;"")+(Tasks[[#This Row],[_Res4]]&lt;&gt;""))</f>
        <v>0</v>
      </c>
      <c r="CU8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8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0" s="45" t="n">
        <f aca="false">IF(OR(NOT(Tasks[[#This Row],[_IsLeaf]]=1),Tasks[[#This Row],[_Res2]]=""),0,IF(ISNA(MATCH(Tasks[[#This Row],[_Res2]],res_Name,0)),0,N(Tasks[[#This Row],[Duration]])*HoursPerDay*IF(Tasks[[#This Row],[_Res2Units]]="",DefaultUnits,Tasks[[#This Row],[_Res2Units]])))</f>
        <v>0</v>
      </c>
      <c r="CX80" s="45" t="n">
        <f aca="false">IF(Tasks[[#This Row],[_Res2Work]]=0,0,Tasks[[#This Row],[_Res2Work]]*IFERROR(INDEX(res_Rate,MATCH(Tasks[[#This Row],[_Res2]],res_Name,0)),0))</f>
        <v>0</v>
      </c>
      <c r="CY80" s="45" t="n">
        <f aca="false">IF(AND(AND(Tasks[[#This Row],[_IsLeaf]]=1,Tasks[[#This Row],[_LeafTotalWork]]&gt;0),Tasks[[#This Row],[_Res2Work]]&gt;0),Tasks[[#This Row],[_Res2Work]]/(Tasks[[#This Row],[_FinishWorkday]]-Tasks[[#This Row],[_StartWorkday]]+1),0)</f>
        <v>0</v>
      </c>
      <c r="CZ80" s="45" t="n">
        <f aca="false">Tasks[[#This Row],[_Res2WorkPerWD]]*MAX(0,Tasks[[#This Row],[_StartWorkday]]-1)</f>
        <v>0</v>
      </c>
      <c r="DA80" s="45" t="n">
        <f aca="false">Tasks[[#This Row],[_Res2Work]]*Tasks[[#This Row],[_LeafProgress]]</f>
        <v>0</v>
      </c>
      <c r="DB80" s="45" t="n">
        <f aca="false">IF(Tasks[[#This Row],[_LeafTotalCost]]=0,0,Tasks[[#This Row],[_LeafAC]]*Tasks[[#This Row],[_Res2Cost]]/Tasks[[#This Row],[_LeafTotalCost]])</f>
        <v>0</v>
      </c>
      <c r="DC8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8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80" s="45" t="n">
        <f aca="false">IF(OR(NOT(Tasks[[#This Row],[_IsLeaf]]=1),Tasks[[#This Row],[_Res3]]=""),0,IF(ISNA(MATCH(Tasks[[#This Row],[_Res3]],res_Name,0)),0,N(Tasks[[#This Row],[Duration]])*HoursPerDay*IF(Tasks[[#This Row],[_Res3Units]]="",DefaultUnits,Tasks[[#This Row],[_Res3Units]])))</f>
        <v>0</v>
      </c>
      <c r="DF80" s="45" t="n">
        <f aca="false">IF(Tasks[[#This Row],[_Res3Work]]=0,0,Tasks[[#This Row],[_Res3Work]]*IFERROR(INDEX(res_Rate,MATCH(Tasks[[#This Row],[_Res3]],res_Name,0)),0))</f>
        <v>0</v>
      </c>
      <c r="DG80" s="45" t="n">
        <f aca="false">IF(AND(AND(Tasks[[#This Row],[_IsLeaf]]=1,Tasks[[#This Row],[_LeafTotalWork]]&gt;0),Tasks[[#This Row],[_Res3Work]]&gt;0),Tasks[[#This Row],[_Res3Work]]/(Tasks[[#This Row],[_FinishWorkday]]-Tasks[[#This Row],[_StartWorkday]]+1),0)</f>
        <v>0</v>
      </c>
      <c r="DH80" s="45" t="n">
        <f aca="false">Tasks[[#This Row],[_Res3WorkPerWD]]*MAX(0,Tasks[[#This Row],[_StartWorkday]]-1)</f>
        <v>0</v>
      </c>
      <c r="DI80" s="45" t="n">
        <f aca="false">Tasks[[#This Row],[_Res3Work]]*Tasks[[#This Row],[_LeafProgress]]</f>
        <v>0</v>
      </c>
      <c r="DJ80" s="45" t="n">
        <f aca="false">IF(Tasks[[#This Row],[_LeafTotalCost]]=0,0,Tasks[[#This Row],[_LeafAC]]*Tasks[[#This Row],[_Res3Cost]]/Tasks[[#This Row],[_LeafTotalCost]])</f>
        <v>0</v>
      </c>
      <c r="DK8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8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80" s="45" t="n">
        <f aca="false">IF(OR(NOT(Tasks[[#This Row],[_IsLeaf]]=1),Tasks[[#This Row],[_Res4]]=""),0,IF(ISNA(MATCH(Tasks[[#This Row],[_Res4]],res_Name,0)),0,N(Tasks[[#This Row],[Duration]])*HoursPerDay*IF(Tasks[[#This Row],[_Res4Units]]="",DefaultUnits,Tasks[[#This Row],[_Res4Units]])))</f>
        <v>0</v>
      </c>
      <c r="DN80" s="45" t="n">
        <f aca="false">IF(Tasks[[#This Row],[_Res4Work]]=0,0,Tasks[[#This Row],[_Res4Work]]*IFERROR(INDEX(res_Rate,MATCH(Tasks[[#This Row],[_Res4]],res_Name,0)),0))</f>
        <v>0</v>
      </c>
      <c r="DO80" s="45" t="n">
        <f aca="false">IF(AND(AND(Tasks[[#This Row],[_IsLeaf]]=1,Tasks[[#This Row],[_LeafTotalWork]]&gt;0),Tasks[[#This Row],[_Res4Work]]&gt;0),Tasks[[#This Row],[_Res4Work]]/(Tasks[[#This Row],[_FinishWorkday]]-Tasks[[#This Row],[_StartWorkday]]+1),0)</f>
        <v>0</v>
      </c>
      <c r="DP80" s="45" t="n">
        <f aca="false">Tasks[[#This Row],[_Res4WorkPerWD]]*MAX(0,Tasks[[#This Row],[_StartWorkday]]-1)</f>
        <v>0</v>
      </c>
      <c r="DQ80" s="45" t="n">
        <f aca="false">Tasks[[#This Row],[_Res4Work]]*Tasks[[#This Row],[_LeafProgress]]</f>
        <v>0</v>
      </c>
      <c r="DR80" s="45" t="n">
        <f aca="false">IF(Tasks[[#This Row],[_LeafTotalCost]]=0,0,Tasks[[#This Row],[_LeafAC]]*Tasks[[#This Row],[_Res4Cost]]/Tasks[[#This Row],[_LeafTotalCost]])</f>
        <v>0</v>
      </c>
      <c r="DS80" s="45" t="n">
        <f aca="false">IF(ISNUMBER(Tasks[[#This Row],[% Complete]]),Tasks[[#This Row],[% Complete]],IF(Tasks[[#This Row],[Stage]]="",0,IFERROR(INDEX(stg_Pct,MATCH(Tasks[[#This Row],[Stage]],stg_Name,0)),0)))</f>
        <v>0</v>
      </c>
      <c r="DT80" s="45" t="n">
        <f aca="false">IF(NOT(Tasks[[#This Row],[_IsLeaf]]=1),0,IF(N(Tasks[[#This Row],[Actual Finish]])&gt;0,1,MIN(1,Tasks[[#This Row],[_Pct]])))</f>
        <v>0</v>
      </c>
      <c r="DU80" s="45" t="n">
        <f aca="false">IF(OR(NOT(Tasks[[#This Row],[_IsLeaf]]=1),Tasks[[#This Row],[_Resource1]]=""),0,IF(ISNA(MATCH(Tasks[[#This Row],[_Resource1]],res_Name,0)),0,N(Tasks[[#This Row],[Duration]])*HoursPerDay*IF(Tasks[[#This Row],[_Units1]]="",DefaultUnits,Tasks[[#This Row],[_Units1]])))</f>
        <v>0</v>
      </c>
      <c r="DV80" s="45" t="n">
        <f aca="false">IF(Tasks[[#This Row],[_LeafWork]]=0,0,Tasks[[#This Row],[_LeafWork]]*IFERROR(INDEX(res_Rate,MATCH(Tasks[[#This Row],[_Resource1]],res_Name,0)),0))</f>
        <v>0</v>
      </c>
      <c r="DW80" s="45" t="n">
        <f aca="false">Tasks[[#This Row],[_LeafWork]]+Tasks[[#This Row],[_Res2Work]]+Tasks[[#This Row],[_Res3Work]]+Tasks[[#This Row],[_Res4Work]]</f>
        <v>0</v>
      </c>
      <c r="DX80" s="45" t="n">
        <f aca="false">Tasks[[#This Row],[_LeafCost]]+Tasks[[#This Row],[_Res2Cost]]+Tasks[[#This Row],[_Res3Cost]]+Tasks[[#This Row],[_Res4Cost]]</f>
        <v>0</v>
      </c>
      <c r="DY80" s="45" t="n">
        <f aca="false">IF(Tasks[[#This Row],[_LeafTotalCost]]=0,Tasks[[#This Row],[_LeafAC]],Tasks[[#This Row],[_LeafAC]]*Tasks[[#This Row],[_LeafCost]]/Tasks[[#This Row],[_LeafTotalCost]])</f>
        <v>0</v>
      </c>
      <c r="DZ8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8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8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8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8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8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8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8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80" s="45" t="n">
        <f aca="false">IF(NOT(Tasks[[#This Row],[_IsLeaf]]=1),0,MAX(_xlfn.MAXIFS(Tasks[_Row],Tasks[_Pred1UID],Tasks[[#This Row],[UID]]),_xlfn.MAXIFS(Tasks[_Row],Tasks[_Pred2UID],Tasks[[#This Row],[UID]]),_xlfn.MAXIFS(Tasks[_Row],Tasks[_Pred3UID],Tasks[[#This Row],[UID]]),_xlfn.MAXIFS(Tasks[_Row],Tasks[_Pred4UID],Tasks[[#This Row],[UID]])))</f>
        <v>0</v>
      </c>
      <c r="EI8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8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80" s="74" t="str">
        <f aca="false">IF(NOT(Tasks[[#This Row],[_IsLeaf]]=1),"",IF(N(Tasks[[#This Row],[Duration]])&lt;=0,Tasks[[#This Row],[_LeafLateFinish]],WORKDAY.INTL(Tasks[[#This Row],[_LeafLateFinish]],-(Tasks[[#This Row],[Duration]]-1),WorkWeek,Holidays)))</f>
        <v/>
      </c>
      <c r="EL8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80" s="73" t="b">
        <f aca="false">AND(Tasks[[#This Row],[_IsLeaf]]=1,Tasks[[#This Row],[_LeafProgress]]&lt;1,N(Tasks[[#This Row],[_LeafTotalSlack]])&lt;=CriticalSlackDays)</f>
        <v>0</v>
      </c>
      <c r="EN80" s="45" t="n">
        <f aca="false">IF(AND(Tasks[[#This Row],[_IsLeaf]]=1,Tasks[[#This Row],[_ConstraintCode]]=1,Tasks[[#This Row],[Mode]]&lt;&gt;"Manual",N(Tasks[[#This Row],[Actual Start]])=0),MAX(0,N(Tasks[[#This Row],[Free Slack]])),0)</f>
        <v>0</v>
      </c>
      <c r="EO80" s="74" t="str">
        <f aca="false">IF(NOT(Tasks[[#This Row],[_IsLeaf]]=1),"",IF(Tasks[[#This Row],[_AlapShift]]=0,Tasks[[#This Row],[_LeafCalcStart]],WORKDAY.INTL(Tasks[[#This Row],[_LeafCalcStart]],Tasks[[#This Row],[_AlapShift]],WorkWeek,Holidays)))</f>
        <v/>
      </c>
      <c r="EP80" s="74" t="str">
        <f aca="false">IF(NOT(Tasks[[#This Row],[_IsLeaf]]=1),"",IF(Tasks[[#This Row],[_AlapShift]]=0,Tasks[[#This Row],[_LeafCalcFinish]],WORKDAY.INTL(Tasks[[#This Row],[_LeafCalcFinish]],Tasks[[#This Row],[_AlapShift]],WorkWeek,Holidays)))</f>
        <v/>
      </c>
      <c r="EQ80" s="74" t="str">
        <f aca="false">IF(NOT(Tasks[[#This Row],[_IsLeaf]]=1),"",IF(Tasks[[#This Row],[_AlapShift]]=0,Tasks[[#This Row],[_LeafFcstStart]],WORKDAY.INTL(Tasks[[#This Row],[_LeafFcstStart]],Tasks[[#This Row],[_AlapShift]],WorkWeek,Holidays)))</f>
        <v/>
      </c>
      <c r="ER80" s="74" t="str">
        <f aca="false">IF(NOT(Tasks[[#This Row],[_IsLeaf]]=1),"",IF(Tasks[[#This Row],[_AlapShift]]=0,Tasks[[#This Row],[_LeafFcstFinish]],WORKDAY.INTL(Tasks[[#This Row],[_LeafFcstFinish]],Tasks[[#This Row],[_AlapShift]],WorkWeek,Holidays)))</f>
        <v/>
      </c>
      <c r="ES80" s="74" t="str">
        <f aca="false">IF(Tasks[[#This Row],[Task Name]]="","",IF(Tasks[[#This Row],[_IsSummary]],MIN(INDEX(Tasks[_ShownCalcStart],Tasks[[#This Row],[_Row]]+1):INDEX(Tasks[_ShownCalcStart],Tasks[[#This Row],[_Row]]+Tasks[[#This Row],[_Descendants]])),Tasks[[#This Row],[_ShownCalcStart]]))</f>
        <v/>
      </c>
      <c r="ET80" s="74" t="str">
        <f aca="false">IF(Tasks[[#This Row],[Task Name]]="","",IF(Tasks[[#This Row],[_IsSummary]],MAX(INDEX(Tasks[_ShownCalcFinish],Tasks[[#This Row],[_Row]]+1):INDEX(Tasks[_ShownCalcFinish],Tasks[[#This Row],[_Row]]+Tasks[[#This Row],[_Descendants]])),Tasks[[#This Row],[_ShownCalcFinish]]))</f>
        <v/>
      </c>
      <c r="EU8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8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8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8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8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8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8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8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8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8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8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8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80" s="45" t="n">
        <f aca="false">IF(AND(Tasks[[#This Row],[_IsLeaf]]=1,Tasks[[#This Row],[_LeafTotalWork]]&gt;0),NETWORKDAYS.INTL(ProjectStart,Tasks[[#This Row],[_ShownFcstStart]],WorkWeek,Holidays),0)</f>
        <v>0</v>
      </c>
      <c r="FH80" s="45" t="n">
        <f aca="false">IF(AND(Tasks[[#This Row],[_IsLeaf]]=1,Tasks[[#This Row],[_LeafTotalWork]]&gt;0),MAX(Tasks[[#This Row],[_StartWorkday]],NETWORKDAYS.INTL(ProjectStart,Tasks[[#This Row],[_ShownFcstFinish]],WorkWeek,Holidays)),0)</f>
        <v>0</v>
      </c>
      <c r="FI80" s="45" t="n">
        <f aca="false">IF(AND(Tasks[[#This Row],[_IsLeaf]]=1,Tasks[[#This Row],[_LeafTotalWork]]&gt;0),Tasks[[#This Row],[_LeafWork]]/(Tasks[[#This Row],[_FinishWorkday]]-Tasks[[#This Row],[_StartWorkday]]+1),0)</f>
        <v>0</v>
      </c>
      <c r="FJ80" s="45" t="n">
        <f aca="false">Tasks[[#This Row],[_WorkPerWorkday]]*(Tasks[[#This Row],[_StartWorkday]]-1)</f>
        <v>-0</v>
      </c>
      <c r="FK80" s="45" t="n">
        <f aca="false">IF(Tasks[[#This Row],[_IsLeaf]]=1,MAX(N(Tasks[[#This Row],[Duration]]),0.1),0)</f>
        <v>0</v>
      </c>
      <c r="FL80" s="45" t="n">
        <f aca="false">Tasks[[#This Row],[_WeightDur]]*Tasks[[#This Row],[_LeafProgress]]</f>
        <v>0</v>
      </c>
      <c r="FM8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80" s="45" t="str">
        <f aca="false">IF(AND(Tasks[[#This Row],[_IsLeaf]]=1,N(Tasks[[#This Row],[Duration]])=0,Tasks[[#This Row],[_LeafProgress]]&lt;1),Tasks[[#This Row],[_ShownFcstFinish]]+Tasks[[#This Row],[_Row]]/100000,"")</f>
        <v/>
      </c>
      <c r="FO8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80" s="45" t="n">
        <f aca="false">IF(NOT(Tasks[[#This Row],[_IsLeaf]]=1),0,IF(Tasks[[#This Row],[Baseline Cost]]="",Tasks[[#This Row],[_LeafTotalCost]],N(Tasks[[#This Row],[Baseline Cost]])))</f>
        <v>0</v>
      </c>
      <c r="FQ80" s="45" t="n">
        <f aca="false">Tasks[[#This Row],[_LeafBudget]]*Tasks[[#This Row],[_PlannedPct]]</f>
        <v>0</v>
      </c>
      <c r="FR80" s="45" t="n">
        <f aca="false">Tasks[[#This Row],[_LeafBudget]]*Tasks[[#This Row],[_LeafProgress]]</f>
        <v>0</v>
      </c>
      <c r="FS80" s="45" t="n">
        <f aca="false">IF(NOT(Tasks[[#This Row],[_IsLeaf]]=1),0,IF(Tasks[[#This Row],[Actual Cost]]="",Tasks[[#This Row],[_LeafTotalCost]]*Tasks[[#This Row],[_LeafProgress]],N(Tasks[[#This Row],[Actual Cost]])))</f>
        <v>0</v>
      </c>
      <c r="FT80" s="45" t="str">
        <f aca="false">IF(Tasks[[#This Row],[Task Name]]="","",LEFT(Tasks[[#This Row],[WBS]],FIND(".",Tasks[[#This Row],[WBS]]&amp;".")-1))</f>
        <v/>
      </c>
      <c r="FU80" s="45" t="str">
        <f aca="false">IF(AND(Tasks[[#This Row],[Task Name]]&lt;&gt;"",Tasks[[#This Row],[_Level]]=1),Tasks[[#This Row],[_Row]],"")</f>
        <v/>
      </c>
      <c r="FV80" s="45" t="str">
        <f aca="false">IF(AND(Tasks[[#This Row],[_IsLeaf]]=1,N(Tasks[[#This Row],[Duration]])=0),Tasks[[#This Row],[Planned Finish]]+Tasks[[#This Row],[_Row]]/100000,"")</f>
        <v/>
      </c>
      <c r="FW80" s="45" t="str">
        <f aca="false">IF(AND(Tasks[[#This Row],[_IsLeaf]]=1,Tasks[[#This Row],[_LeafProgress]]&lt;1,OR(N(Tasks[[#This Row],[Finish Var]])&gt;0,Tasks[[#This Row],[Status]]="Late Start")),MAX(0,Tasks[[#This Row],[Finish Var]])+1-Tasks[[#This Row],[_Row]]/1000000,"")</f>
        <v/>
      </c>
      <c r="FX80" s="45" t="str">
        <f aca="false">IF(AND(Tasks[[#This Row],[_IsLeaf]]=1,N(Tasks[[#This Row],[Actual Start]])=0,Tasks[[#This Row],[_ShownFcstStart]]&gt;=StatusDate,Tasks[[#This Row],[_ShownFcstStart]]&lt;=LookaheadEnd),Tasks[[#This Row],[_ShownFcstStart]]+Tasks[[#This Row],[_Row]]/100000,"")</f>
        <v/>
      </c>
      <c r="FY80" s="45" t="str">
        <f aca="false">IF(AND(Tasks[[#This Row],[_IsLeaf]]=1,Tasks[[#This Row],[_LeafProgress]]&lt;1,Tasks[[#This Row],[_ShownFcstFinish]]&gt;=StatusDate,Tasks[[#This Row],[_ShownFcstFinish]]&lt;=LookaheadEnd),Tasks[[#This Row],[_ShownFcstFinish]]+Tasks[[#This Row],[_Row]]/100000,"")</f>
        <v/>
      </c>
      <c r="FZ80" s="45" t="str">
        <f aca="false">IF(Tasks[[#This Row],[_LeafCritical]],Tasks[[#This Row],[_ShownFcstStart]]+Tasks[[#This Row],[_Row]]/100000,"")</f>
        <v/>
      </c>
      <c r="GA80" s="45" t="n">
        <f aca="false">Tasks[[#This Row],[_LeafWork]]*Tasks[[#This Row],[_LeafProgress]]</f>
        <v>0</v>
      </c>
      <c r="GB80" s="74" t="str">
        <f aca="false">IF(AND(Tasks[[#This Row],[_IsLeaf]]=1,Tasks[[#This Row],[_LeafProgress]]&gt;=1),IF(N(Tasks[[#This Row],[Actual Finish]])&gt;0,Tasks[[#This Row],[Actual Finish]],Tasks[[#This Row],[_ShownFcstFinish]]),"")</f>
        <v/>
      </c>
    </row>
    <row r="81" customFormat="false" ht="15" hidden="false" customHeight="false" outlineLevel="0" collapsed="false">
      <c r="A81" s="67" t="str">
        <f aca="false">IF(Tasks[[#This Row],[Task Name]]="","",COUNTA(Tasks[[#Headers],[Task Name]]:Tasks[[#This Row],[Task Name]])-1)</f>
        <v/>
      </c>
      <c r="B81" s="21" t="n">
        <v>76</v>
      </c>
      <c r="C8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21"/>
      <c r="E81" s="22"/>
      <c r="F81" s="21"/>
      <c r="G81" s="22"/>
      <c r="H81" s="22"/>
      <c r="I81" s="22"/>
      <c r="J81" s="7"/>
      <c r="K81" s="7"/>
      <c r="L81" s="22"/>
      <c r="M81" s="58" t="str">
        <f aca="false">IF(Tasks[[#This Row],[Task Name]]="","",IF(Tasks[[#This Row],[_IsSummary]],MIN(INDEX(Tasks[_ShownFcstStart],Tasks[[#This Row],[_Row]]+1):INDEX(Tasks[_ShownFcstStart],Tasks[[#This Row],[_Row]]+Tasks[[#This Row],[_Descendants]])),Tasks[[#This Row],[_ShownFcstStart]]))</f>
        <v/>
      </c>
      <c r="N81" s="58" t="str">
        <f aca="false">IF(Tasks[[#This Row],[Task Name]]="","",IF(Tasks[[#This Row],[_IsSummary]],MAX(INDEX(Tasks[_ShownFcstFinish],Tasks[[#This Row],[_Row]]+1):INDEX(Tasks[_ShownFcstFinish],Tasks[[#This Row],[_Row]]+Tasks[[#This Row],[_Descendants]])),Tasks[[#This Row],[_ShownFcstFinish]]))</f>
        <v/>
      </c>
      <c r="O81" s="20" t="str">
        <f aca="false">IF(Tasks[[#This Row],[Task Name]]="","",IF(Tasks[[#This Row],[Progress]]&gt;=1,"Complete",IF(OR(N(Tasks[[#This Row],[Actual Start]])&gt;0,Tasks[[#This Row],[Progress]]&gt;0),IF(Tasks[[#This Row],[Finish Var]]&gt;0,"Behind","In Progress"),IF(Tasks[[#This Row],[Planned Start]]&lt;StatusDate,"Late Start","Not Started"))))</f>
        <v/>
      </c>
      <c r="P81" s="20" t="str">
        <f aca="false">IF(Tasks[[#This Row],[Task Name]]="","",IF(IF(Tasks[[#This Row],[_IsSummary]],COUNTIF(INDEX(Tasks[_LeafCritical],Tasks[[#This Row],[_Row]]+1):INDEX(Tasks[_LeafCritical],Tasks[[#This Row],[_Row]]+Tasks[[#This Row],[_Descendants]]),TRUE())&gt;0,Tasks[[#This Row],[_LeafCritical]]),"Yes",""))</f>
        <v/>
      </c>
      <c r="Q8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81" s="67" t="str">
        <f aca="false">IF(Tasks[[#This Row],[Task Name]]="","",IF(Tasks[[#This Row],[_Level]]&lt;=OutlineShowLevel,"Yes","No"))</f>
        <v/>
      </c>
      <c r="S81" s="7"/>
      <c r="T81" s="21"/>
      <c r="U81" s="22"/>
      <c r="V81" s="7"/>
      <c r="W81" s="67" t="str">
        <f aca="false">IF(Tasks[[#This Row],[Task Name]]="","",IF(Tasks[[#This Row],[Finish]]&gt;=Tasks[[#This Row],[Planned Finish]],NETWORKDAYS.INTL(Tasks[[#This Row],[Planned Finish]],Tasks[[#This Row],[Finish]],WorkWeek,Holidays)-1,1-NETWORKDAYS.INTL(Tasks[[#This Row],[Finish]],Tasks[[#This Row],[Planned Finish]],WorkWeek,Holidays)))</f>
        <v/>
      </c>
      <c r="X81" s="58" t="str">
        <f aca="false">IF(Tasks[[#This Row],[Task Name]]="","",IF(N(Tasks[[#This Row],[Baseline Start]])&gt;0,Tasks[[#This Row],[Baseline Start]],Tasks[[#This Row],[_CalcStart]]))</f>
        <v/>
      </c>
      <c r="Y81" s="58" t="str">
        <f aca="false">IF(Tasks[[#This Row],[Task Name]]="","",IF(N(Tasks[[#This Row],[Baseline Finish]])&gt;0,Tasks[[#This Row],[Baseline Finish]],Tasks[[#This Row],[_CalcFinish]]))</f>
        <v/>
      </c>
      <c r="Z81" s="67" t="str">
        <f aca="false">IF(Tasks[[#This Row],[Task Name]]="","",IF(Tasks[[#This Row],[Start]]&gt;=Tasks[[#This Row],[Planned Start]],NETWORKDAYS.INTL(Tasks[[#This Row],[Planned Start]],Tasks[[#This Row],[Start]],WorkWeek,Holidays)-1,1-NETWORKDAYS.INTL(Tasks[[#This Row],[Start]],Tasks[[#This Row],[Planned Start]],WorkWeek,Holidays)))</f>
        <v/>
      </c>
      <c r="AA81" s="58" t="str">
        <f aca="false">IF(Tasks[[#This Row],[Task Name]]="","",IF(Tasks[[#This Row],[_IsSummary]],MIN(INDEX(Tasks[_LeafLateStart],Tasks[[#This Row],[_Row]]+1):INDEX(Tasks[_LeafLateStart],Tasks[[#This Row],[_Row]]+Tasks[[#This Row],[_Descendants]])),Tasks[[#This Row],[_LeafLateStart]]))</f>
        <v/>
      </c>
      <c r="AB81" s="58" t="str">
        <f aca="false">IF(Tasks[[#This Row],[Task Name]]="","",IF(Tasks[[#This Row],[_IsSummary]],MAX(INDEX(Tasks[_LeafLateFinish],Tasks[[#This Row],[_Row]]+1):INDEX(Tasks[_LeafLateFinish],Tasks[[#This Row],[_Row]]+Tasks[[#This Row],[_Descendants]])),Tasks[[#This Row],[_LeafLateFinish]]))</f>
        <v/>
      </c>
      <c r="AC81" s="67" t="str">
        <f aca="false">IF(Tasks[[#This Row],[Task Name]]="","",IF(Tasks[[#This Row],[_IsSummary]],MIN(INDEX(Tasks[_LeafTotalSlack],Tasks[[#This Row],[_Row]]+1):INDEX(Tasks[_LeafTotalSlack],Tasks[[#This Row],[_Row]]+Tasks[[#This Row],[_Descendants]])),Tasks[[#This Row],[_LeafTotalSlack]]))</f>
        <v/>
      </c>
      <c r="AD8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8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8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81" s="60"/>
      <c r="AH8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8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81" s="69" t="str">
        <f aca="false">IF(Tasks[[#This Row],[Task Name]]="","",IF(Tasks[[#This Row],[_IsSummary]],SUM(INDEX(Tasks[_LeafTotalWork],Tasks[[#This Row],[_Row]]+1):INDEX(Tasks[_LeafTotalWork],Tasks[[#This Row],[_Row]]+Tasks[[#This Row],[_Descendants]])),Tasks[[#This Row],[_LeafTotalWork]]))</f>
        <v/>
      </c>
      <c r="AK8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81" s="70" t="str">
        <f aca="false">IF(Tasks[[#This Row],[Task Name]]="","",IF(Tasks[[#This Row],[_IsSummary]],SUM(INDEX(Tasks[_LeafTotalCost],Tasks[[#This Row],[_Row]]+1):INDEX(Tasks[_LeafTotalCost],Tasks[[#This Row],[_Row]]+Tasks[[#This Row],[_Descendants]])),Tasks[[#This Row],[_LeafTotalCost]]))</f>
        <v/>
      </c>
      <c r="AM81" s="71"/>
      <c r="AN81" s="20" t="str">
        <f aca="false">IF(OR(Tasks[[#This Row],[Task Name]]="",Tasks[[#This Row],[Baseline Duration]]=""),"",Tasks[[#This Row],[BL Source Duration]]-N(Tasks[[#This Row],[Baseline Duration]]))</f>
        <v/>
      </c>
      <c r="AO81" s="69" t="str">
        <f aca="false">IF(OR(Tasks[[#This Row],[Task Name]]="",Tasks[[#This Row],[Baseline Work]]=""),"",Tasks[[#This Row],[Work]]-N(Tasks[[#This Row],[Baseline Work]]))</f>
        <v/>
      </c>
      <c r="AP81" s="70" t="str">
        <f aca="false">IF(OR(Tasks[[#This Row],[Task Name]]="",Tasks[[#This Row],[Baseline Cost]]=""),"",Tasks[[#This Row],[Cost]]-N(Tasks[[#This Row],[Baseline Cost]]))</f>
        <v/>
      </c>
      <c r="AQ81" s="58" t="str">
        <f aca="false">IF(Tasks[[#This Row],[Task Name]]="","",Tasks[[#This Row],[Start]])</f>
        <v/>
      </c>
      <c r="AR81" s="58" t="str">
        <f aca="false">IF(Tasks[[#This Row],[Task Name]]="","",Tasks[[#This Row],[Finish]])</f>
        <v/>
      </c>
      <c r="AS81" s="67" t="str">
        <f aca="false">IF(Tasks[[#This Row],[Task Name]]="","",IF(Tasks[[#This Row],[_IsSummary]],NETWORKDAYS.INTL(Tasks[[#This Row],[Start]],Tasks[[#This Row],[Finish]],WorkWeek,Holidays),N(Tasks[[#This Row],[Duration]])))</f>
        <v/>
      </c>
      <c r="AT81" s="69" t="str">
        <f aca="false">IF(Tasks[[#This Row],[Task Name]]="","",Tasks[[#This Row],[Work]])</f>
        <v/>
      </c>
      <c r="AU81" s="70" t="str">
        <f aca="false">IF(Tasks[[#This Row],[Task Name]]="","",Tasks[[#This Row],[Cost]])</f>
        <v/>
      </c>
      <c r="AV81" s="7"/>
      <c r="AW81" s="7"/>
      <c r="AX81" s="21"/>
      <c r="AY81" s="72"/>
      <c r="AZ81" s="71"/>
      <c r="BA81" s="70" t="str">
        <f aca="false">IF(Tasks[[#This Row],[Task Name]]="","",IF(Tasks[[#This Row],[_IsSummary]],SUM(INDEX(Tasks[_LeafEV],Tasks[[#This Row],[_Row]]+1):INDEX(Tasks[_LeafEV],Tasks[[#This Row],[_Row]]+Tasks[[#This Row],[_Descendants]])),Tasks[[#This Row],[_LeafEV]]))</f>
        <v/>
      </c>
      <c r="BB81" s="70" t="str">
        <f aca="false">IF(Tasks[[#This Row],[Task Name]]="","",IF(Tasks[[#This Row],[_IsSummary]],SUM(INDEX(Tasks[_LeafBudget],Tasks[[#This Row],[_Row]]+1):INDEX(Tasks[_LeafBudget],Tasks[[#This Row],[_Row]]+Tasks[[#This Row],[_Descendants]])),Tasks[[#This Row],[_LeafBudget]]))</f>
        <v/>
      </c>
      <c r="BC81" s="70" t="str">
        <f aca="false">IF(Tasks[[#This Row],[Task Name]]="","",IF(Tasks[[#This Row],[_IsSummary]],SUM(INDEX(Tasks[_LeafPV],Tasks[[#This Row],[_Row]]+1):INDEX(Tasks[_LeafPV],Tasks[[#This Row],[_Row]]+Tasks[[#This Row],[_Descendants]])),Tasks[[#This Row],[_LeafPV]]))</f>
        <v/>
      </c>
      <c r="BD81" s="70" t="str">
        <f aca="false">IF(Tasks[[#This Row],[Task Name]]="","",IF(Tasks[[#This Row],[_IsSummary]],SUM(INDEX(Tasks[_LeafAC],Tasks[[#This Row],[_Row]]+1):INDEX(Tasks[_LeafAC],Tasks[[#This Row],[_Row]]+Tasks[[#This Row],[_Descendants]])),Tasks[[#This Row],[_LeafAC]]))</f>
        <v/>
      </c>
      <c r="BE81" s="45" t="str">
        <f aca="false">IF(Tasks[[#This Row],[Task Name]]="","",MAX(1,N(Tasks[[#This Row],[Level]])))</f>
        <v/>
      </c>
      <c r="BF81" s="45" t="n">
        <f aca="false">ROW()-ROW(Tasks[[#Headers],[ID]])</f>
        <v>76</v>
      </c>
      <c r="BG81" s="45" t="n">
        <f aca="false">IF(OR(Tasks[[#This Row],[Task Name]]="",Tasks[[#This Row],[_Level]]&lt;=1),0,IFERROR(LOOKUP(2,1/(Tasks[[#Headers],[_Level]]:Tasks[[#This Row],[_Level]]=Tasks[[#This Row],[_Level]]-1),ROW(Tasks[[#Headers],[_Level]]:Tasks[[#This Row],[_Level]])),0))</f>
        <v>0</v>
      </c>
      <c r="BH81" s="45" t="n">
        <f aca="false">IFERROR(N(INDEX(Tasks[_Level],Tasks[[#This Row],[_Row]]+1)),0)</f>
        <v>0</v>
      </c>
      <c r="BI81" s="73" t="b">
        <f aca="false">AND(Tasks[[#This Row],[Task Name]]&lt;&gt;"",Tasks[[#This Row],[_NextLevel]]&gt;Tasks[[#This Row],[_Level]])</f>
        <v>0</v>
      </c>
      <c r="BJ81" s="45" t="n">
        <f aca="false">IF(Tasks[[#This Row],[_IsSummary]],COUNTIF(Tasks[WBS],Tasks[[#This Row],[WBS]]&amp;".*"),0)</f>
        <v>0</v>
      </c>
      <c r="BK81" s="45" t="n">
        <f aca="false">IF(AND(Tasks[[#This Row],[Task Name]]&lt;&gt;"",NOT(Tasks[[#This Row],[_IsSummary]])),1,0)</f>
        <v>0</v>
      </c>
      <c r="BL81" s="45" t="n">
        <f aca="false">IF(N(Tasks[[#This Row],[_Pred1UID]])=0,0,IFERROR(MATCH(Tasks[[#This Row],[_Pred1UID]],Tasks[UID],0),-1))</f>
        <v>0</v>
      </c>
      <c r="BM81" s="45" t="n">
        <f aca="false">IF(N(Tasks[[#This Row],[_Pred2UID]])=0,0,IFERROR(MATCH(Tasks[[#This Row],[_Pred2UID]],Tasks[UID],0),-1))</f>
        <v>0</v>
      </c>
      <c r="BN81" s="45" t="n">
        <f aca="false">IF(N(Tasks[[#This Row],[_Pred3UID]])=0,0,IFERROR(MATCH(Tasks[[#This Row],[_Pred3UID]],Tasks[UID],0),-1))</f>
        <v>0</v>
      </c>
      <c r="BO81" s="45" t="n">
        <f aca="false">IF(N(Tasks[[#This Row],[_Pred4UID]])=0,0,IFERROR(MATCH(Tasks[[#This Row],[_Pred4UID]],Tasks[UID],0),-1))</f>
        <v>0</v>
      </c>
      <c r="BP8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8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81" s="74" t="n">
        <f aca="false">IF(OR(Tasks[[#This Row],[_ConstraintCode]]=2,Tasks[[#This Row],[_ConstraintCode]]=3,Tasks[[#This Row],[_ConstraintCode]]=4,Tasks[[#This Row],[_ConstraintCode]]=6),Tasks[[#This Row],[_ConstraintStart]],0)</f>
        <v>0</v>
      </c>
      <c r="BS81" s="74" t="n">
        <f aca="false">IF(OR(Tasks[[#This Row],[_ConstraintCode]]=2,Tasks[[#This Row],[_ConstraintCode]]=3,Tasks[[#This Row],[_ConstraintCode]]=5,Tasks[[#This Row],[_ConstraintCode]]=7),Tasks[[#This Row],[_ConstraintStart]],2958465)</f>
        <v>2958465</v>
      </c>
      <c r="BT8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81" s="74" t="str">
        <f aca="false">IF(NOT(Tasks[[#This Row],[_IsLeaf]]=1),"",IF(N(Tasks[[#This Row],[Duration]])&lt;=0,Tasks[[#This Row],[_LeafCalcStart]],WORKDAY.INTL(Tasks[[#This Row],[_LeafCalcStart]],Tasks[[#This Row],[Duration]]-1,WorkWeek,Holidays)))</f>
        <v/>
      </c>
      <c r="BV8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8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81" s="45" t="str">
        <f aca="false">IF(Tasks[[#This Row],[Predecessors]]="","",TRIM(MID(SUBSTITUTE(SUBSTITUTE(SUBSTITUTE(UPPER(Tasks[[#This Row],[Predecessors]]),";",",")," ",""),",",REPT(" ",99)),1,99)))</f>
        <v/>
      </c>
      <c r="BY81" s="45" t="str">
        <f aca="false">IF(Tasks[[#This Row],[_Pred1Text]]="","",IFERROR(VALUE(LEFT(Tasks[[#This Row],[_Pred1Text]],MIN(FIND("F",Tasks[[#This Row],[_Pred1Text]]&amp;"F"),FIND("S",Tasks[[#This Row],[_Pred1Text]]&amp;"S"),FIND("+",Tasks[[#This Row],[_Pred1Text]]&amp;"+"),FIND("-",Tasks[[#This Row],[_Pred1Text]]&amp;"-"))-1)),""))</f>
        <v/>
      </c>
      <c r="BZ8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8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81" s="45" t="str">
        <f aca="false">IF(Tasks[[#This Row],[_Pred1Text]]="","",TRIM(MID(SUBSTITUTE(SUBSTITUTE(SUBSTITUTE(UPPER(Tasks[[#This Row],[Predecessors]]),";",",")," ",""),",",REPT(" ",99)),100,99)))</f>
        <v/>
      </c>
      <c r="CC81" s="45" t="str">
        <f aca="false">IF(Tasks[[#This Row],[_Pred2Text]]="","",IFERROR(VALUE(LEFT(Tasks[[#This Row],[_Pred2Text]],MIN(FIND("F",Tasks[[#This Row],[_Pred2Text]]&amp;"F"),FIND("S",Tasks[[#This Row],[_Pred2Text]]&amp;"S"),FIND("+",Tasks[[#This Row],[_Pred2Text]]&amp;"+"),FIND("-",Tasks[[#This Row],[_Pred2Text]]&amp;"-"))-1)),""))</f>
        <v/>
      </c>
      <c r="CD8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8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81" s="45" t="str">
        <f aca="false">IF(Tasks[[#This Row],[_Pred2Text]]="","",TRIM(MID(SUBSTITUTE(SUBSTITUTE(SUBSTITUTE(UPPER(Tasks[[#This Row],[Predecessors]]),";",",")," ",""),",",REPT(" ",99)),199,99)))</f>
        <v/>
      </c>
      <c r="CG81" s="45" t="str">
        <f aca="false">IF(Tasks[[#This Row],[_Pred3Text]]="","",IFERROR(VALUE(LEFT(Tasks[[#This Row],[_Pred3Text]],MIN(FIND("F",Tasks[[#This Row],[_Pred3Text]]&amp;"F"),FIND("S",Tasks[[#This Row],[_Pred3Text]]&amp;"S"),FIND("+",Tasks[[#This Row],[_Pred3Text]]&amp;"+"),FIND("-",Tasks[[#This Row],[_Pred3Text]]&amp;"-"))-1)),""))</f>
        <v/>
      </c>
      <c r="CH8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8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81" s="45" t="str">
        <f aca="false">IF(Tasks[[#This Row],[_Pred3Text]]="","",TRIM(MID(SUBSTITUTE(SUBSTITUTE(SUBSTITUTE(UPPER(Tasks[[#This Row],[Predecessors]]),";",",")," ",""),",",REPT(" ",99)),298,99)))</f>
        <v/>
      </c>
      <c r="CK81" s="45" t="str">
        <f aca="false">IF(Tasks[[#This Row],[_Pred4Text]]="","",IFERROR(VALUE(LEFT(Tasks[[#This Row],[_Pred4Text]],MIN(FIND("F",Tasks[[#This Row],[_Pred4Text]]&amp;"F"),FIND("S",Tasks[[#This Row],[_Pred4Text]]&amp;"S"),FIND("+",Tasks[[#This Row],[_Pred4Text]]&amp;"+"),FIND("-",Tasks[[#This Row],[_Pred4Text]]&amp;"-"))-1)),""))</f>
        <v/>
      </c>
      <c r="CL8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8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81" s="45" t="str">
        <f aca="false">IF(OR(Tasks[[#This Row],[Task Name]]="",Tasks[[#This Row],[Resources]]=""),"",TRIM(MID(SUBSTITUTE(Tasks[[#This Row],[Resources]],",",REPT(" ",99)),1,99)))</f>
        <v/>
      </c>
      <c r="CO81" s="45" t="str">
        <f aca="false">IF(Tasks[[#This Row],[_Res1Text]]="","",TRIM(MID(SUBSTITUTE(Tasks[[#This Row],[Resources]],",",REPT(" ",99)),100,99)))</f>
        <v/>
      </c>
      <c r="CP81" s="45" t="str">
        <f aca="false">IF(Tasks[[#This Row],[_Res2Text]]="","",TRIM(MID(SUBSTITUTE(Tasks[[#This Row],[Resources]],",",REPT(" ",99)),199,99)))</f>
        <v/>
      </c>
      <c r="CQ81" s="45" t="str">
        <f aca="false">IF(Tasks[[#This Row],[_Res3Text]]="","",TRIM(MID(SUBSTITUTE(Tasks[[#This Row],[Resources]],",",REPT(" ",99)),298,99)))</f>
        <v/>
      </c>
      <c r="CR8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8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1" s="45" t="n">
        <f aca="false">IF(NOT(Tasks[[#This Row],[_IsLeaf]]=1),0,(Tasks[[#This Row],[_Resource1]]&lt;&gt;"")+(Tasks[[#This Row],[_Res2]]&lt;&gt;"")+(Tasks[[#This Row],[_Res3]]&lt;&gt;"")+(Tasks[[#This Row],[_Res4]]&lt;&gt;""))</f>
        <v>0</v>
      </c>
      <c r="CU8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8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1" s="45" t="n">
        <f aca="false">IF(OR(NOT(Tasks[[#This Row],[_IsLeaf]]=1),Tasks[[#This Row],[_Res2]]=""),0,IF(ISNA(MATCH(Tasks[[#This Row],[_Res2]],res_Name,0)),0,N(Tasks[[#This Row],[Duration]])*HoursPerDay*IF(Tasks[[#This Row],[_Res2Units]]="",DefaultUnits,Tasks[[#This Row],[_Res2Units]])))</f>
        <v>0</v>
      </c>
      <c r="CX81" s="45" t="n">
        <f aca="false">IF(Tasks[[#This Row],[_Res2Work]]=0,0,Tasks[[#This Row],[_Res2Work]]*IFERROR(INDEX(res_Rate,MATCH(Tasks[[#This Row],[_Res2]],res_Name,0)),0))</f>
        <v>0</v>
      </c>
      <c r="CY81" s="45" t="n">
        <f aca="false">IF(AND(AND(Tasks[[#This Row],[_IsLeaf]]=1,Tasks[[#This Row],[_LeafTotalWork]]&gt;0),Tasks[[#This Row],[_Res2Work]]&gt;0),Tasks[[#This Row],[_Res2Work]]/(Tasks[[#This Row],[_FinishWorkday]]-Tasks[[#This Row],[_StartWorkday]]+1),0)</f>
        <v>0</v>
      </c>
      <c r="CZ81" s="45" t="n">
        <f aca="false">Tasks[[#This Row],[_Res2WorkPerWD]]*MAX(0,Tasks[[#This Row],[_StartWorkday]]-1)</f>
        <v>0</v>
      </c>
      <c r="DA81" s="45" t="n">
        <f aca="false">Tasks[[#This Row],[_Res2Work]]*Tasks[[#This Row],[_LeafProgress]]</f>
        <v>0</v>
      </c>
      <c r="DB81" s="45" t="n">
        <f aca="false">IF(Tasks[[#This Row],[_LeafTotalCost]]=0,0,Tasks[[#This Row],[_LeafAC]]*Tasks[[#This Row],[_Res2Cost]]/Tasks[[#This Row],[_LeafTotalCost]])</f>
        <v>0</v>
      </c>
      <c r="DC8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8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81" s="45" t="n">
        <f aca="false">IF(OR(NOT(Tasks[[#This Row],[_IsLeaf]]=1),Tasks[[#This Row],[_Res3]]=""),0,IF(ISNA(MATCH(Tasks[[#This Row],[_Res3]],res_Name,0)),0,N(Tasks[[#This Row],[Duration]])*HoursPerDay*IF(Tasks[[#This Row],[_Res3Units]]="",DefaultUnits,Tasks[[#This Row],[_Res3Units]])))</f>
        <v>0</v>
      </c>
      <c r="DF81" s="45" t="n">
        <f aca="false">IF(Tasks[[#This Row],[_Res3Work]]=0,0,Tasks[[#This Row],[_Res3Work]]*IFERROR(INDEX(res_Rate,MATCH(Tasks[[#This Row],[_Res3]],res_Name,0)),0))</f>
        <v>0</v>
      </c>
      <c r="DG81" s="45" t="n">
        <f aca="false">IF(AND(AND(Tasks[[#This Row],[_IsLeaf]]=1,Tasks[[#This Row],[_LeafTotalWork]]&gt;0),Tasks[[#This Row],[_Res3Work]]&gt;0),Tasks[[#This Row],[_Res3Work]]/(Tasks[[#This Row],[_FinishWorkday]]-Tasks[[#This Row],[_StartWorkday]]+1),0)</f>
        <v>0</v>
      </c>
      <c r="DH81" s="45" t="n">
        <f aca="false">Tasks[[#This Row],[_Res3WorkPerWD]]*MAX(0,Tasks[[#This Row],[_StartWorkday]]-1)</f>
        <v>0</v>
      </c>
      <c r="DI81" s="45" t="n">
        <f aca="false">Tasks[[#This Row],[_Res3Work]]*Tasks[[#This Row],[_LeafProgress]]</f>
        <v>0</v>
      </c>
      <c r="DJ81" s="45" t="n">
        <f aca="false">IF(Tasks[[#This Row],[_LeafTotalCost]]=0,0,Tasks[[#This Row],[_LeafAC]]*Tasks[[#This Row],[_Res3Cost]]/Tasks[[#This Row],[_LeafTotalCost]])</f>
        <v>0</v>
      </c>
      <c r="DK8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8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81" s="45" t="n">
        <f aca="false">IF(OR(NOT(Tasks[[#This Row],[_IsLeaf]]=1),Tasks[[#This Row],[_Res4]]=""),0,IF(ISNA(MATCH(Tasks[[#This Row],[_Res4]],res_Name,0)),0,N(Tasks[[#This Row],[Duration]])*HoursPerDay*IF(Tasks[[#This Row],[_Res4Units]]="",DefaultUnits,Tasks[[#This Row],[_Res4Units]])))</f>
        <v>0</v>
      </c>
      <c r="DN81" s="45" t="n">
        <f aca="false">IF(Tasks[[#This Row],[_Res4Work]]=0,0,Tasks[[#This Row],[_Res4Work]]*IFERROR(INDEX(res_Rate,MATCH(Tasks[[#This Row],[_Res4]],res_Name,0)),0))</f>
        <v>0</v>
      </c>
      <c r="DO81" s="45" t="n">
        <f aca="false">IF(AND(AND(Tasks[[#This Row],[_IsLeaf]]=1,Tasks[[#This Row],[_LeafTotalWork]]&gt;0),Tasks[[#This Row],[_Res4Work]]&gt;0),Tasks[[#This Row],[_Res4Work]]/(Tasks[[#This Row],[_FinishWorkday]]-Tasks[[#This Row],[_StartWorkday]]+1),0)</f>
        <v>0</v>
      </c>
      <c r="DP81" s="45" t="n">
        <f aca="false">Tasks[[#This Row],[_Res4WorkPerWD]]*MAX(0,Tasks[[#This Row],[_StartWorkday]]-1)</f>
        <v>0</v>
      </c>
      <c r="DQ81" s="45" t="n">
        <f aca="false">Tasks[[#This Row],[_Res4Work]]*Tasks[[#This Row],[_LeafProgress]]</f>
        <v>0</v>
      </c>
      <c r="DR81" s="45" t="n">
        <f aca="false">IF(Tasks[[#This Row],[_LeafTotalCost]]=0,0,Tasks[[#This Row],[_LeafAC]]*Tasks[[#This Row],[_Res4Cost]]/Tasks[[#This Row],[_LeafTotalCost]])</f>
        <v>0</v>
      </c>
      <c r="DS81" s="45" t="n">
        <f aca="false">IF(ISNUMBER(Tasks[[#This Row],[% Complete]]),Tasks[[#This Row],[% Complete]],IF(Tasks[[#This Row],[Stage]]="",0,IFERROR(INDEX(stg_Pct,MATCH(Tasks[[#This Row],[Stage]],stg_Name,0)),0)))</f>
        <v>0</v>
      </c>
      <c r="DT81" s="45" t="n">
        <f aca="false">IF(NOT(Tasks[[#This Row],[_IsLeaf]]=1),0,IF(N(Tasks[[#This Row],[Actual Finish]])&gt;0,1,MIN(1,Tasks[[#This Row],[_Pct]])))</f>
        <v>0</v>
      </c>
      <c r="DU81" s="45" t="n">
        <f aca="false">IF(OR(NOT(Tasks[[#This Row],[_IsLeaf]]=1),Tasks[[#This Row],[_Resource1]]=""),0,IF(ISNA(MATCH(Tasks[[#This Row],[_Resource1]],res_Name,0)),0,N(Tasks[[#This Row],[Duration]])*HoursPerDay*IF(Tasks[[#This Row],[_Units1]]="",DefaultUnits,Tasks[[#This Row],[_Units1]])))</f>
        <v>0</v>
      </c>
      <c r="DV81" s="45" t="n">
        <f aca="false">IF(Tasks[[#This Row],[_LeafWork]]=0,0,Tasks[[#This Row],[_LeafWork]]*IFERROR(INDEX(res_Rate,MATCH(Tasks[[#This Row],[_Resource1]],res_Name,0)),0))</f>
        <v>0</v>
      </c>
      <c r="DW81" s="45" t="n">
        <f aca="false">Tasks[[#This Row],[_LeafWork]]+Tasks[[#This Row],[_Res2Work]]+Tasks[[#This Row],[_Res3Work]]+Tasks[[#This Row],[_Res4Work]]</f>
        <v>0</v>
      </c>
      <c r="DX81" s="45" t="n">
        <f aca="false">Tasks[[#This Row],[_LeafCost]]+Tasks[[#This Row],[_Res2Cost]]+Tasks[[#This Row],[_Res3Cost]]+Tasks[[#This Row],[_Res4Cost]]</f>
        <v>0</v>
      </c>
      <c r="DY81" s="45" t="n">
        <f aca="false">IF(Tasks[[#This Row],[_LeafTotalCost]]=0,Tasks[[#This Row],[_LeafAC]],Tasks[[#This Row],[_LeafAC]]*Tasks[[#This Row],[_LeafCost]]/Tasks[[#This Row],[_LeafTotalCost]])</f>
        <v>0</v>
      </c>
      <c r="DZ8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8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8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8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8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8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8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8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81" s="45" t="n">
        <f aca="false">IF(NOT(Tasks[[#This Row],[_IsLeaf]]=1),0,MAX(_xlfn.MAXIFS(Tasks[_Row],Tasks[_Pred1UID],Tasks[[#This Row],[UID]]),_xlfn.MAXIFS(Tasks[_Row],Tasks[_Pred2UID],Tasks[[#This Row],[UID]]),_xlfn.MAXIFS(Tasks[_Row],Tasks[_Pred3UID],Tasks[[#This Row],[UID]]),_xlfn.MAXIFS(Tasks[_Row],Tasks[_Pred4UID],Tasks[[#This Row],[UID]])))</f>
        <v>0</v>
      </c>
      <c r="EI8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8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81" s="74" t="str">
        <f aca="false">IF(NOT(Tasks[[#This Row],[_IsLeaf]]=1),"",IF(N(Tasks[[#This Row],[Duration]])&lt;=0,Tasks[[#This Row],[_LeafLateFinish]],WORKDAY.INTL(Tasks[[#This Row],[_LeafLateFinish]],-(Tasks[[#This Row],[Duration]]-1),WorkWeek,Holidays)))</f>
        <v/>
      </c>
      <c r="EL8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81" s="73" t="b">
        <f aca="false">AND(Tasks[[#This Row],[_IsLeaf]]=1,Tasks[[#This Row],[_LeafProgress]]&lt;1,N(Tasks[[#This Row],[_LeafTotalSlack]])&lt;=CriticalSlackDays)</f>
        <v>0</v>
      </c>
      <c r="EN81" s="45" t="n">
        <f aca="false">IF(AND(Tasks[[#This Row],[_IsLeaf]]=1,Tasks[[#This Row],[_ConstraintCode]]=1,Tasks[[#This Row],[Mode]]&lt;&gt;"Manual",N(Tasks[[#This Row],[Actual Start]])=0),MAX(0,N(Tasks[[#This Row],[Free Slack]])),0)</f>
        <v>0</v>
      </c>
      <c r="EO81" s="74" t="str">
        <f aca="false">IF(NOT(Tasks[[#This Row],[_IsLeaf]]=1),"",IF(Tasks[[#This Row],[_AlapShift]]=0,Tasks[[#This Row],[_LeafCalcStart]],WORKDAY.INTL(Tasks[[#This Row],[_LeafCalcStart]],Tasks[[#This Row],[_AlapShift]],WorkWeek,Holidays)))</f>
        <v/>
      </c>
      <c r="EP81" s="74" t="str">
        <f aca="false">IF(NOT(Tasks[[#This Row],[_IsLeaf]]=1),"",IF(Tasks[[#This Row],[_AlapShift]]=0,Tasks[[#This Row],[_LeafCalcFinish]],WORKDAY.INTL(Tasks[[#This Row],[_LeafCalcFinish]],Tasks[[#This Row],[_AlapShift]],WorkWeek,Holidays)))</f>
        <v/>
      </c>
      <c r="EQ81" s="74" t="str">
        <f aca="false">IF(NOT(Tasks[[#This Row],[_IsLeaf]]=1),"",IF(Tasks[[#This Row],[_AlapShift]]=0,Tasks[[#This Row],[_LeafFcstStart]],WORKDAY.INTL(Tasks[[#This Row],[_LeafFcstStart]],Tasks[[#This Row],[_AlapShift]],WorkWeek,Holidays)))</f>
        <v/>
      </c>
      <c r="ER81" s="74" t="str">
        <f aca="false">IF(NOT(Tasks[[#This Row],[_IsLeaf]]=1),"",IF(Tasks[[#This Row],[_AlapShift]]=0,Tasks[[#This Row],[_LeafFcstFinish]],WORKDAY.INTL(Tasks[[#This Row],[_LeafFcstFinish]],Tasks[[#This Row],[_AlapShift]],WorkWeek,Holidays)))</f>
        <v/>
      </c>
      <c r="ES81" s="74" t="str">
        <f aca="false">IF(Tasks[[#This Row],[Task Name]]="","",IF(Tasks[[#This Row],[_IsSummary]],MIN(INDEX(Tasks[_ShownCalcStart],Tasks[[#This Row],[_Row]]+1):INDEX(Tasks[_ShownCalcStart],Tasks[[#This Row],[_Row]]+Tasks[[#This Row],[_Descendants]])),Tasks[[#This Row],[_ShownCalcStart]]))</f>
        <v/>
      </c>
      <c r="ET81" s="74" t="str">
        <f aca="false">IF(Tasks[[#This Row],[Task Name]]="","",IF(Tasks[[#This Row],[_IsSummary]],MAX(INDEX(Tasks[_ShownCalcFinish],Tasks[[#This Row],[_Row]]+1):INDEX(Tasks[_ShownCalcFinish],Tasks[[#This Row],[_Row]]+Tasks[[#This Row],[_Descendants]])),Tasks[[#This Row],[_ShownCalcFinish]]))</f>
        <v/>
      </c>
      <c r="EU8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8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8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8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8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8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8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8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8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8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8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8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81" s="45" t="n">
        <f aca="false">IF(AND(Tasks[[#This Row],[_IsLeaf]]=1,Tasks[[#This Row],[_LeafTotalWork]]&gt;0),NETWORKDAYS.INTL(ProjectStart,Tasks[[#This Row],[_ShownFcstStart]],WorkWeek,Holidays),0)</f>
        <v>0</v>
      </c>
      <c r="FH81" s="45" t="n">
        <f aca="false">IF(AND(Tasks[[#This Row],[_IsLeaf]]=1,Tasks[[#This Row],[_LeafTotalWork]]&gt;0),MAX(Tasks[[#This Row],[_StartWorkday]],NETWORKDAYS.INTL(ProjectStart,Tasks[[#This Row],[_ShownFcstFinish]],WorkWeek,Holidays)),0)</f>
        <v>0</v>
      </c>
      <c r="FI81" s="45" t="n">
        <f aca="false">IF(AND(Tasks[[#This Row],[_IsLeaf]]=1,Tasks[[#This Row],[_LeafTotalWork]]&gt;0),Tasks[[#This Row],[_LeafWork]]/(Tasks[[#This Row],[_FinishWorkday]]-Tasks[[#This Row],[_StartWorkday]]+1),0)</f>
        <v>0</v>
      </c>
      <c r="FJ81" s="45" t="n">
        <f aca="false">Tasks[[#This Row],[_WorkPerWorkday]]*(Tasks[[#This Row],[_StartWorkday]]-1)</f>
        <v>-0</v>
      </c>
      <c r="FK81" s="45" t="n">
        <f aca="false">IF(Tasks[[#This Row],[_IsLeaf]]=1,MAX(N(Tasks[[#This Row],[Duration]]),0.1),0)</f>
        <v>0</v>
      </c>
      <c r="FL81" s="45" t="n">
        <f aca="false">Tasks[[#This Row],[_WeightDur]]*Tasks[[#This Row],[_LeafProgress]]</f>
        <v>0</v>
      </c>
      <c r="FM8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81" s="45" t="str">
        <f aca="false">IF(AND(Tasks[[#This Row],[_IsLeaf]]=1,N(Tasks[[#This Row],[Duration]])=0,Tasks[[#This Row],[_LeafProgress]]&lt;1),Tasks[[#This Row],[_ShownFcstFinish]]+Tasks[[#This Row],[_Row]]/100000,"")</f>
        <v/>
      </c>
      <c r="FO8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81" s="45" t="n">
        <f aca="false">IF(NOT(Tasks[[#This Row],[_IsLeaf]]=1),0,IF(Tasks[[#This Row],[Baseline Cost]]="",Tasks[[#This Row],[_LeafTotalCost]],N(Tasks[[#This Row],[Baseline Cost]])))</f>
        <v>0</v>
      </c>
      <c r="FQ81" s="45" t="n">
        <f aca="false">Tasks[[#This Row],[_LeafBudget]]*Tasks[[#This Row],[_PlannedPct]]</f>
        <v>0</v>
      </c>
      <c r="FR81" s="45" t="n">
        <f aca="false">Tasks[[#This Row],[_LeafBudget]]*Tasks[[#This Row],[_LeafProgress]]</f>
        <v>0</v>
      </c>
      <c r="FS81" s="45" t="n">
        <f aca="false">IF(NOT(Tasks[[#This Row],[_IsLeaf]]=1),0,IF(Tasks[[#This Row],[Actual Cost]]="",Tasks[[#This Row],[_LeafTotalCost]]*Tasks[[#This Row],[_LeafProgress]],N(Tasks[[#This Row],[Actual Cost]])))</f>
        <v>0</v>
      </c>
      <c r="FT81" s="45" t="str">
        <f aca="false">IF(Tasks[[#This Row],[Task Name]]="","",LEFT(Tasks[[#This Row],[WBS]],FIND(".",Tasks[[#This Row],[WBS]]&amp;".")-1))</f>
        <v/>
      </c>
      <c r="FU81" s="45" t="str">
        <f aca="false">IF(AND(Tasks[[#This Row],[Task Name]]&lt;&gt;"",Tasks[[#This Row],[_Level]]=1),Tasks[[#This Row],[_Row]],"")</f>
        <v/>
      </c>
      <c r="FV81" s="45" t="str">
        <f aca="false">IF(AND(Tasks[[#This Row],[_IsLeaf]]=1,N(Tasks[[#This Row],[Duration]])=0),Tasks[[#This Row],[Planned Finish]]+Tasks[[#This Row],[_Row]]/100000,"")</f>
        <v/>
      </c>
      <c r="FW81" s="45" t="str">
        <f aca="false">IF(AND(Tasks[[#This Row],[_IsLeaf]]=1,Tasks[[#This Row],[_LeafProgress]]&lt;1,OR(N(Tasks[[#This Row],[Finish Var]])&gt;0,Tasks[[#This Row],[Status]]="Late Start")),MAX(0,Tasks[[#This Row],[Finish Var]])+1-Tasks[[#This Row],[_Row]]/1000000,"")</f>
        <v/>
      </c>
      <c r="FX81" s="45" t="str">
        <f aca="false">IF(AND(Tasks[[#This Row],[_IsLeaf]]=1,N(Tasks[[#This Row],[Actual Start]])=0,Tasks[[#This Row],[_ShownFcstStart]]&gt;=StatusDate,Tasks[[#This Row],[_ShownFcstStart]]&lt;=LookaheadEnd),Tasks[[#This Row],[_ShownFcstStart]]+Tasks[[#This Row],[_Row]]/100000,"")</f>
        <v/>
      </c>
      <c r="FY81" s="45" t="str">
        <f aca="false">IF(AND(Tasks[[#This Row],[_IsLeaf]]=1,Tasks[[#This Row],[_LeafProgress]]&lt;1,Tasks[[#This Row],[_ShownFcstFinish]]&gt;=StatusDate,Tasks[[#This Row],[_ShownFcstFinish]]&lt;=LookaheadEnd),Tasks[[#This Row],[_ShownFcstFinish]]+Tasks[[#This Row],[_Row]]/100000,"")</f>
        <v/>
      </c>
      <c r="FZ81" s="45" t="str">
        <f aca="false">IF(Tasks[[#This Row],[_LeafCritical]],Tasks[[#This Row],[_ShownFcstStart]]+Tasks[[#This Row],[_Row]]/100000,"")</f>
        <v/>
      </c>
      <c r="GA81" s="45" t="n">
        <f aca="false">Tasks[[#This Row],[_LeafWork]]*Tasks[[#This Row],[_LeafProgress]]</f>
        <v>0</v>
      </c>
      <c r="GB81" s="74" t="str">
        <f aca="false">IF(AND(Tasks[[#This Row],[_IsLeaf]]=1,Tasks[[#This Row],[_LeafProgress]]&gt;=1),IF(N(Tasks[[#This Row],[Actual Finish]])&gt;0,Tasks[[#This Row],[Actual Finish]],Tasks[[#This Row],[_ShownFcstFinish]]),"")</f>
        <v/>
      </c>
    </row>
    <row r="82" customFormat="false" ht="15" hidden="false" customHeight="false" outlineLevel="0" collapsed="false">
      <c r="A82" s="67" t="str">
        <f aca="false">IF(Tasks[[#This Row],[Task Name]]="","",COUNTA(Tasks[[#Headers],[Task Name]]:Tasks[[#This Row],[Task Name]])-1)</f>
        <v/>
      </c>
      <c r="B82" s="21" t="n">
        <v>77</v>
      </c>
      <c r="C8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21"/>
      <c r="E82" s="22"/>
      <c r="F82" s="21"/>
      <c r="G82" s="22"/>
      <c r="H82" s="22"/>
      <c r="I82" s="22"/>
      <c r="J82" s="7"/>
      <c r="K82" s="7"/>
      <c r="L82" s="22"/>
      <c r="M82" s="58" t="str">
        <f aca="false">IF(Tasks[[#This Row],[Task Name]]="","",IF(Tasks[[#This Row],[_IsSummary]],MIN(INDEX(Tasks[_ShownFcstStart],Tasks[[#This Row],[_Row]]+1):INDEX(Tasks[_ShownFcstStart],Tasks[[#This Row],[_Row]]+Tasks[[#This Row],[_Descendants]])),Tasks[[#This Row],[_ShownFcstStart]]))</f>
        <v/>
      </c>
      <c r="N82" s="58" t="str">
        <f aca="false">IF(Tasks[[#This Row],[Task Name]]="","",IF(Tasks[[#This Row],[_IsSummary]],MAX(INDEX(Tasks[_ShownFcstFinish],Tasks[[#This Row],[_Row]]+1):INDEX(Tasks[_ShownFcstFinish],Tasks[[#This Row],[_Row]]+Tasks[[#This Row],[_Descendants]])),Tasks[[#This Row],[_ShownFcstFinish]]))</f>
        <v/>
      </c>
      <c r="O82" s="20" t="str">
        <f aca="false">IF(Tasks[[#This Row],[Task Name]]="","",IF(Tasks[[#This Row],[Progress]]&gt;=1,"Complete",IF(OR(N(Tasks[[#This Row],[Actual Start]])&gt;0,Tasks[[#This Row],[Progress]]&gt;0),IF(Tasks[[#This Row],[Finish Var]]&gt;0,"Behind","In Progress"),IF(Tasks[[#This Row],[Planned Start]]&lt;StatusDate,"Late Start","Not Started"))))</f>
        <v/>
      </c>
      <c r="P82" s="20" t="str">
        <f aca="false">IF(Tasks[[#This Row],[Task Name]]="","",IF(IF(Tasks[[#This Row],[_IsSummary]],COUNTIF(INDEX(Tasks[_LeafCritical],Tasks[[#This Row],[_Row]]+1):INDEX(Tasks[_LeafCritical],Tasks[[#This Row],[_Row]]+Tasks[[#This Row],[_Descendants]]),TRUE())&gt;0,Tasks[[#This Row],[_LeafCritical]]),"Yes",""))</f>
        <v/>
      </c>
      <c r="Q8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82" s="67" t="str">
        <f aca="false">IF(Tasks[[#This Row],[Task Name]]="","",IF(Tasks[[#This Row],[_Level]]&lt;=OutlineShowLevel,"Yes","No"))</f>
        <v/>
      </c>
      <c r="S82" s="7"/>
      <c r="T82" s="21"/>
      <c r="U82" s="22"/>
      <c r="V82" s="7"/>
      <c r="W82" s="67" t="str">
        <f aca="false">IF(Tasks[[#This Row],[Task Name]]="","",IF(Tasks[[#This Row],[Finish]]&gt;=Tasks[[#This Row],[Planned Finish]],NETWORKDAYS.INTL(Tasks[[#This Row],[Planned Finish]],Tasks[[#This Row],[Finish]],WorkWeek,Holidays)-1,1-NETWORKDAYS.INTL(Tasks[[#This Row],[Finish]],Tasks[[#This Row],[Planned Finish]],WorkWeek,Holidays)))</f>
        <v/>
      </c>
      <c r="X82" s="58" t="str">
        <f aca="false">IF(Tasks[[#This Row],[Task Name]]="","",IF(N(Tasks[[#This Row],[Baseline Start]])&gt;0,Tasks[[#This Row],[Baseline Start]],Tasks[[#This Row],[_CalcStart]]))</f>
        <v/>
      </c>
      <c r="Y82" s="58" t="str">
        <f aca="false">IF(Tasks[[#This Row],[Task Name]]="","",IF(N(Tasks[[#This Row],[Baseline Finish]])&gt;0,Tasks[[#This Row],[Baseline Finish]],Tasks[[#This Row],[_CalcFinish]]))</f>
        <v/>
      </c>
      <c r="Z82" s="67" t="str">
        <f aca="false">IF(Tasks[[#This Row],[Task Name]]="","",IF(Tasks[[#This Row],[Start]]&gt;=Tasks[[#This Row],[Planned Start]],NETWORKDAYS.INTL(Tasks[[#This Row],[Planned Start]],Tasks[[#This Row],[Start]],WorkWeek,Holidays)-1,1-NETWORKDAYS.INTL(Tasks[[#This Row],[Start]],Tasks[[#This Row],[Planned Start]],WorkWeek,Holidays)))</f>
        <v/>
      </c>
      <c r="AA82" s="58" t="str">
        <f aca="false">IF(Tasks[[#This Row],[Task Name]]="","",IF(Tasks[[#This Row],[_IsSummary]],MIN(INDEX(Tasks[_LeafLateStart],Tasks[[#This Row],[_Row]]+1):INDEX(Tasks[_LeafLateStart],Tasks[[#This Row],[_Row]]+Tasks[[#This Row],[_Descendants]])),Tasks[[#This Row],[_LeafLateStart]]))</f>
        <v/>
      </c>
      <c r="AB82" s="58" t="str">
        <f aca="false">IF(Tasks[[#This Row],[Task Name]]="","",IF(Tasks[[#This Row],[_IsSummary]],MAX(INDEX(Tasks[_LeafLateFinish],Tasks[[#This Row],[_Row]]+1):INDEX(Tasks[_LeafLateFinish],Tasks[[#This Row],[_Row]]+Tasks[[#This Row],[_Descendants]])),Tasks[[#This Row],[_LeafLateFinish]]))</f>
        <v/>
      </c>
      <c r="AC82" s="67" t="str">
        <f aca="false">IF(Tasks[[#This Row],[Task Name]]="","",IF(Tasks[[#This Row],[_IsSummary]],MIN(INDEX(Tasks[_LeafTotalSlack],Tasks[[#This Row],[_Row]]+1):INDEX(Tasks[_LeafTotalSlack],Tasks[[#This Row],[_Row]]+Tasks[[#This Row],[_Descendants]])),Tasks[[#This Row],[_LeafTotalSlack]]))</f>
        <v/>
      </c>
      <c r="AD8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8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8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82" s="60"/>
      <c r="AH8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8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82" s="69" t="str">
        <f aca="false">IF(Tasks[[#This Row],[Task Name]]="","",IF(Tasks[[#This Row],[_IsSummary]],SUM(INDEX(Tasks[_LeafTotalWork],Tasks[[#This Row],[_Row]]+1):INDEX(Tasks[_LeafTotalWork],Tasks[[#This Row],[_Row]]+Tasks[[#This Row],[_Descendants]])),Tasks[[#This Row],[_LeafTotalWork]]))</f>
        <v/>
      </c>
      <c r="AK8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82" s="70" t="str">
        <f aca="false">IF(Tasks[[#This Row],[Task Name]]="","",IF(Tasks[[#This Row],[_IsSummary]],SUM(INDEX(Tasks[_LeafTotalCost],Tasks[[#This Row],[_Row]]+1):INDEX(Tasks[_LeafTotalCost],Tasks[[#This Row],[_Row]]+Tasks[[#This Row],[_Descendants]])),Tasks[[#This Row],[_LeafTotalCost]]))</f>
        <v/>
      </c>
      <c r="AM82" s="71"/>
      <c r="AN82" s="20" t="str">
        <f aca="false">IF(OR(Tasks[[#This Row],[Task Name]]="",Tasks[[#This Row],[Baseline Duration]]=""),"",Tasks[[#This Row],[BL Source Duration]]-N(Tasks[[#This Row],[Baseline Duration]]))</f>
        <v/>
      </c>
      <c r="AO82" s="69" t="str">
        <f aca="false">IF(OR(Tasks[[#This Row],[Task Name]]="",Tasks[[#This Row],[Baseline Work]]=""),"",Tasks[[#This Row],[Work]]-N(Tasks[[#This Row],[Baseline Work]]))</f>
        <v/>
      </c>
      <c r="AP82" s="70" t="str">
        <f aca="false">IF(OR(Tasks[[#This Row],[Task Name]]="",Tasks[[#This Row],[Baseline Cost]]=""),"",Tasks[[#This Row],[Cost]]-N(Tasks[[#This Row],[Baseline Cost]]))</f>
        <v/>
      </c>
      <c r="AQ82" s="58" t="str">
        <f aca="false">IF(Tasks[[#This Row],[Task Name]]="","",Tasks[[#This Row],[Start]])</f>
        <v/>
      </c>
      <c r="AR82" s="58" t="str">
        <f aca="false">IF(Tasks[[#This Row],[Task Name]]="","",Tasks[[#This Row],[Finish]])</f>
        <v/>
      </c>
      <c r="AS82" s="67" t="str">
        <f aca="false">IF(Tasks[[#This Row],[Task Name]]="","",IF(Tasks[[#This Row],[_IsSummary]],NETWORKDAYS.INTL(Tasks[[#This Row],[Start]],Tasks[[#This Row],[Finish]],WorkWeek,Holidays),N(Tasks[[#This Row],[Duration]])))</f>
        <v/>
      </c>
      <c r="AT82" s="69" t="str">
        <f aca="false">IF(Tasks[[#This Row],[Task Name]]="","",Tasks[[#This Row],[Work]])</f>
        <v/>
      </c>
      <c r="AU82" s="70" t="str">
        <f aca="false">IF(Tasks[[#This Row],[Task Name]]="","",Tasks[[#This Row],[Cost]])</f>
        <v/>
      </c>
      <c r="AV82" s="7"/>
      <c r="AW82" s="7"/>
      <c r="AX82" s="21"/>
      <c r="AY82" s="72"/>
      <c r="AZ82" s="71"/>
      <c r="BA82" s="70" t="str">
        <f aca="false">IF(Tasks[[#This Row],[Task Name]]="","",IF(Tasks[[#This Row],[_IsSummary]],SUM(INDEX(Tasks[_LeafEV],Tasks[[#This Row],[_Row]]+1):INDEX(Tasks[_LeafEV],Tasks[[#This Row],[_Row]]+Tasks[[#This Row],[_Descendants]])),Tasks[[#This Row],[_LeafEV]]))</f>
        <v/>
      </c>
      <c r="BB82" s="70" t="str">
        <f aca="false">IF(Tasks[[#This Row],[Task Name]]="","",IF(Tasks[[#This Row],[_IsSummary]],SUM(INDEX(Tasks[_LeafBudget],Tasks[[#This Row],[_Row]]+1):INDEX(Tasks[_LeafBudget],Tasks[[#This Row],[_Row]]+Tasks[[#This Row],[_Descendants]])),Tasks[[#This Row],[_LeafBudget]]))</f>
        <v/>
      </c>
      <c r="BC82" s="70" t="str">
        <f aca="false">IF(Tasks[[#This Row],[Task Name]]="","",IF(Tasks[[#This Row],[_IsSummary]],SUM(INDEX(Tasks[_LeafPV],Tasks[[#This Row],[_Row]]+1):INDEX(Tasks[_LeafPV],Tasks[[#This Row],[_Row]]+Tasks[[#This Row],[_Descendants]])),Tasks[[#This Row],[_LeafPV]]))</f>
        <v/>
      </c>
      <c r="BD82" s="70" t="str">
        <f aca="false">IF(Tasks[[#This Row],[Task Name]]="","",IF(Tasks[[#This Row],[_IsSummary]],SUM(INDEX(Tasks[_LeafAC],Tasks[[#This Row],[_Row]]+1):INDEX(Tasks[_LeafAC],Tasks[[#This Row],[_Row]]+Tasks[[#This Row],[_Descendants]])),Tasks[[#This Row],[_LeafAC]]))</f>
        <v/>
      </c>
      <c r="BE82" s="45" t="str">
        <f aca="false">IF(Tasks[[#This Row],[Task Name]]="","",MAX(1,N(Tasks[[#This Row],[Level]])))</f>
        <v/>
      </c>
      <c r="BF82" s="45" t="n">
        <f aca="false">ROW()-ROW(Tasks[[#Headers],[ID]])</f>
        <v>77</v>
      </c>
      <c r="BG82" s="45" t="n">
        <f aca="false">IF(OR(Tasks[[#This Row],[Task Name]]="",Tasks[[#This Row],[_Level]]&lt;=1),0,IFERROR(LOOKUP(2,1/(Tasks[[#Headers],[_Level]]:Tasks[[#This Row],[_Level]]=Tasks[[#This Row],[_Level]]-1),ROW(Tasks[[#Headers],[_Level]]:Tasks[[#This Row],[_Level]])),0))</f>
        <v>0</v>
      </c>
      <c r="BH82" s="45" t="n">
        <f aca="false">IFERROR(N(INDEX(Tasks[_Level],Tasks[[#This Row],[_Row]]+1)),0)</f>
        <v>0</v>
      </c>
      <c r="BI82" s="73" t="b">
        <f aca="false">AND(Tasks[[#This Row],[Task Name]]&lt;&gt;"",Tasks[[#This Row],[_NextLevel]]&gt;Tasks[[#This Row],[_Level]])</f>
        <v>0</v>
      </c>
      <c r="BJ82" s="45" t="n">
        <f aca="false">IF(Tasks[[#This Row],[_IsSummary]],COUNTIF(Tasks[WBS],Tasks[[#This Row],[WBS]]&amp;".*"),0)</f>
        <v>0</v>
      </c>
      <c r="BK82" s="45" t="n">
        <f aca="false">IF(AND(Tasks[[#This Row],[Task Name]]&lt;&gt;"",NOT(Tasks[[#This Row],[_IsSummary]])),1,0)</f>
        <v>0</v>
      </c>
      <c r="BL82" s="45" t="n">
        <f aca="false">IF(N(Tasks[[#This Row],[_Pred1UID]])=0,0,IFERROR(MATCH(Tasks[[#This Row],[_Pred1UID]],Tasks[UID],0),-1))</f>
        <v>0</v>
      </c>
      <c r="BM82" s="45" t="n">
        <f aca="false">IF(N(Tasks[[#This Row],[_Pred2UID]])=0,0,IFERROR(MATCH(Tasks[[#This Row],[_Pred2UID]],Tasks[UID],0),-1))</f>
        <v>0</v>
      </c>
      <c r="BN82" s="45" t="n">
        <f aca="false">IF(N(Tasks[[#This Row],[_Pred3UID]])=0,0,IFERROR(MATCH(Tasks[[#This Row],[_Pred3UID]],Tasks[UID],0),-1))</f>
        <v>0</v>
      </c>
      <c r="BO82" s="45" t="n">
        <f aca="false">IF(N(Tasks[[#This Row],[_Pred4UID]])=0,0,IFERROR(MATCH(Tasks[[#This Row],[_Pred4UID]],Tasks[UID],0),-1))</f>
        <v>0</v>
      </c>
      <c r="BP8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8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82" s="74" t="n">
        <f aca="false">IF(OR(Tasks[[#This Row],[_ConstraintCode]]=2,Tasks[[#This Row],[_ConstraintCode]]=3,Tasks[[#This Row],[_ConstraintCode]]=4,Tasks[[#This Row],[_ConstraintCode]]=6),Tasks[[#This Row],[_ConstraintStart]],0)</f>
        <v>0</v>
      </c>
      <c r="BS82" s="74" t="n">
        <f aca="false">IF(OR(Tasks[[#This Row],[_ConstraintCode]]=2,Tasks[[#This Row],[_ConstraintCode]]=3,Tasks[[#This Row],[_ConstraintCode]]=5,Tasks[[#This Row],[_ConstraintCode]]=7),Tasks[[#This Row],[_ConstraintStart]],2958465)</f>
        <v>2958465</v>
      </c>
      <c r="BT8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82" s="74" t="str">
        <f aca="false">IF(NOT(Tasks[[#This Row],[_IsLeaf]]=1),"",IF(N(Tasks[[#This Row],[Duration]])&lt;=0,Tasks[[#This Row],[_LeafCalcStart]],WORKDAY.INTL(Tasks[[#This Row],[_LeafCalcStart]],Tasks[[#This Row],[Duration]]-1,WorkWeek,Holidays)))</f>
        <v/>
      </c>
      <c r="BV8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8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82" s="45" t="str">
        <f aca="false">IF(Tasks[[#This Row],[Predecessors]]="","",TRIM(MID(SUBSTITUTE(SUBSTITUTE(SUBSTITUTE(UPPER(Tasks[[#This Row],[Predecessors]]),";",",")," ",""),",",REPT(" ",99)),1,99)))</f>
        <v/>
      </c>
      <c r="BY82" s="45" t="str">
        <f aca="false">IF(Tasks[[#This Row],[_Pred1Text]]="","",IFERROR(VALUE(LEFT(Tasks[[#This Row],[_Pred1Text]],MIN(FIND("F",Tasks[[#This Row],[_Pred1Text]]&amp;"F"),FIND("S",Tasks[[#This Row],[_Pred1Text]]&amp;"S"),FIND("+",Tasks[[#This Row],[_Pred1Text]]&amp;"+"),FIND("-",Tasks[[#This Row],[_Pred1Text]]&amp;"-"))-1)),""))</f>
        <v/>
      </c>
      <c r="BZ8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8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82" s="45" t="str">
        <f aca="false">IF(Tasks[[#This Row],[_Pred1Text]]="","",TRIM(MID(SUBSTITUTE(SUBSTITUTE(SUBSTITUTE(UPPER(Tasks[[#This Row],[Predecessors]]),";",",")," ",""),",",REPT(" ",99)),100,99)))</f>
        <v/>
      </c>
      <c r="CC82" s="45" t="str">
        <f aca="false">IF(Tasks[[#This Row],[_Pred2Text]]="","",IFERROR(VALUE(LEFT(Tasks[[#This Row],[_Pred2Text]],MIN(FIND("F",Tasks[[#This Row],[_Pred2Text]]&amp;"F"),FIND("S",Tasks[[#This Row],[_Pred2Text]]&amp;"S"),FIND("+",Tasks[[#This Row],[_Pred2Text]]&amp;"+"),FIND("-",Tasks[[#This Row],[_Pred2Text]]&amp;"-"))-1)),""))</f>
        <v/>
      </c>
      <c r="CD8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8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82" s="45" t="str">
        <f aca="false">IF(Tasks[[#This Row],[_Pred2Text]]="","",TRIM(MID(SUBSTITUTE(SUBSTITUTE(SUBSTITUTE(UPPER(Tasks[[#This Row],[Predecessors]]),";",",")," ",""),",",REPT(" ",99)),199,99)))</f>
        <v/>
      </c>
      <c r="CG82" s="45" t="str">
        <f aca="false">IF(Tasks[[#This Row],[_Pred3Text]]="","",IFERROR(VALUE(LEFT(Tasks[[#This Row],[_Pred3Text]],MIN(FIND("F",Tasks[[#This Row],[_Pred3Text]]&amp;"F"),FIND("S",Tasks[[#This Row],[_Pred3Text]]&amp;"S"),FIND("+",Tasks[[#This Row],[_Pred3Text]]&amp;"+"),FIND("-",Tasks[[#This Row],[_Pred3Text]]&amp;"-"))-1)),""))</f>
        <v/>
      </c>
      <c r="CH8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8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82" s="45" t="str">
        <f aca="false">IF(Tasks[[#This Row],[_Pred3Text]]="","",TRIM(MID(SUBSTITUTE(SUBSTITUTE(SUBSTITUTE(UPPER(Tasks[[#This Row],[Predecessors]]),";",",")," ",""),",",REPT(" ",99)),298,99)))</f>
        <v/>
      </c>
      <c r="CK82" s="45" t="str">
        <f aca="false">IF(Tasks[[#This Row],[_Pred4Text]]="","",IFERROR(VALUE(LEFT(Tasks[[#This Row],[_Pred4Text]],MIN(FIND("F",Tasks[[#This Row],[_Pred4Text]]&amp;"F"),FIND("S",Tasks[[#This Row],[_Pred4Text]]&amp;"S"),FIND("+",Tasks[[#This Row],[_Pred4Text]]&amp;"+"),FIND("-",Tasks[[#This Row],[_Pred4Text]]&amp;"-"))-1)),""))</f>
        <v/>
      </c>
      <c r="CL8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8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82" s="45" t="str">
        <f aca="false">IF(OR(Tasks[[#This Row],[Task Name]]="",Tasks[[#This Row],[Resources]]=""),"",TRIM(MID(SUBSTITUTE(Tasks[[#This Row],[Resources]],",",REPT(" ",99)),1,99)))</f>
        <v/>
      </c>
      <c r="CO82" s="45" t="str">
        <f aca="false">IF(Tasks[[#This Row],[_Res1Text]]="","",TRIM(MID(SUBSTITUTE(Tasks[[#This Row],[Resources]],",",REPT(" ",99)),100,99)))</f>
        <v/>
      </c>
      <c r="CP82" s="45" t="str">
        <f aca="false">IF(Tasks[[#This Row],[_Res2Text]]="","",TRIM(MID(SUBSTITUTE(Tasks[[#This Row],[Resources]],",",REPT(" ",99)),199,99)))</f>
        <v/>
      </c>
      <c r="CQ82" s="45" t="str">
        <f aca="false">IF(Tasks[[#This Row],[_Res3Text]]="","",TRIM(MID(SUBSTITUTE(Tasks[[#This Row],[Resources]],",",REPT(" ",99)),298,99)))</f>
        <v/>
      </c>
      <c r="CR8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8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2" s="45" t="n">
        <f aca="false">IF(NOT(Tasks[[#This Row],[_IsLeaf]]=1),0,(Tasks[[#This Row],[_Resource1]]&lt;&gt;"")+(Tasks[[#This Row],[_Res2]]&lt;&gt;"")+(Tasks[[#This Row],[_Res3]]&lt;&gt;"")+(Tasks[[#This Row],[_Res4]]&lt;&gt;""))</f>
        <v>0</v>
      </c>
      <c r="CU8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8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2" s="45" t="n">
        <f aca="false">IF(OR(NOT(Tasks[[#This Row],[_IsLeaf]]=1),Tasks[[#This Row],[_Res2]]=""),0,IF(ISNA(MATCH(Tasks[[#This Row],[_Res2]],res_Name,0)),0,N(Tasks[[#This Row],[Duration]])*HoursPerDay*IF(Tasks[[#This Row],[_Res2Units]]="",DefaultUnits,Tasks[[#This Row],[_Res2Units]])))</f>
        <v>0</v>
      </c>
      <c r="CX82" s="45" t="n">
        <f aca="false">IF(Tasks[[#This Row],[_Res2Work]]=0,0,Tasks[[#This Row],[_Res2Work]]*IFERROR(INDEX(res_Rate,MATCH(Tasks[[#This Row],[_Res2]],res_Name,0)),0))</f>
        <v>0</v>
      </c>
      <c r="CY82" s="45" t="n">
        <f aca="false">IF(AND(AND(Tasks[[#This Row],[_IsLeaf]]=1,Tasks[[#This Row],[_LeafTotalWork]]&gt;0),Tasks[[#This Row],[_Res2Work]]&gt;0),Tasks[[#This Row],[_Res2Work]]/(Tasks[[#This Row],[_FinishWorkday]]-Tasks[[#This Row],[_StartWorkday]]+1),0)</f>
        <v>0</v>
      </c>
      <c r="CZ82" s="45" t="n">
        <f aca="false">Tasks[[#This Row],[_Res2WorkPerWD]]*MAX(0,Tasks[[#This Row],[_StartWorkday]]-1)</f>
        <v>0</v>
      </c>
      <c r="DA82" s="45" t="n">
        <f aca="false">Tasks[[#This Row],[_Res2Work]]*Tasks[[#This Row],[_LeafProgress]]</f>
        <v>0</v>
      </c>
      <c r="DB82" s="45" t="n">
        <f aca="false">IF(Tasks[[#This Row],[_LeafTotalCost]]=0,0,Tasks[[#This Row],[_LeafAC]]*Tasks[[#This Row],[_Res2Cost]]/Tasks[[#This Row],[_LeafTotalCost]])</f>
        <v>0</v>
      </c>
      <c r="DC8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8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82" s="45" t="n">
        <f aca="false">IF(OR(NOT(Tasks[[#This Row],[_IsLeaf]]=1),Tasks[[#This Row],[_Res3]]=""),0,IF(ISNA(MATCH(Tasks[[#This Row],[_Res3]],res_Name,0)),0,N(Tasks[[#This Row],[Duration]])*HoursPerDay*IF(Tasks[[#This Row],[_Res3Units]]="",DefaultUnits,Tasks[[#This Row],[_Res3Units]])))</f>
        <v>0</v>
      </c>
      <c r="DF82" s="45" t="n">
        <f aca="false">IF(Tasks[[#This Row],[_Res3Work]]=0,0,Tasks[[#This Row],[_Res3Work]]*IFERROR(INDEX(res_Rate,MATCH(Tasks[[#This Row],[_Res3]],res_Name,0)),0))</f>
        <v>0</v>
      </c>
      <c r="DG82" s="45" t="n">
        <f aca="false">IF(AND(AND(Tasks[[#This Row],[_IsLeaf]]=1,Tasks[[#This Row],[_LeafTotalWork]]&gt;0),Tasks[[#This Row],[_Res3Work]]&gt;0),Tasks[[#This Row],[_Res3Work]]/(Tasks[[#This Row],[_FinishWorkday]]-Tasks[[#This Row],[_StartWorkday]]+1),0)</f>
        <v>0</v>
      </c>
      <c r="DH82" s="45" t="n">
        <f aca="false">Tasks[[#This Row],[_Res3WorkPerWD]]*MAX(0,Tasks[[#This Row],[_StartWorkday]]-1)</f>
        <v>0</v>
      </c>
      <c r="DI82" s="45" t="n">
        <f aca="false">Tasks[[#This Row],[_Res3Work]]*Tasks[[#This Row],[_LeafProgress]]</f>
        <v>0</v>
      </c>
      <c r="DJ82" s="45" t="n">
        <f aca="false">IF(Tasks[[#This Row],[_LeafTotalCost]]=0,0,Tasks[[#This Row],[_LeafAC]]*Tasks[[#This Row],[_Res3Cost]]/Tasks[[#This Row],[_LeafTotalCost]])</f>
        <v>0</v>
      </c>
      <c r="DK8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8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82" s="45" t="n">
        <f aca="false">IF(OR(NOT(Tasks[[#This Row],[_IsLeaf]]=1),Tasks[[#This Row],[_Res4]]=""),0,IF(ISNA(MATCH(Tasks[[#This Row],[_Res4]],res_Name,0)),0,N(Tasks[[#This Row],[Duration]])*HoursPerDay*IF(Tasks[[#This Row],[_Res4Units]]="",DefaultUnits,Tasks[[#This Row],[_Res4Units]])))</f>
        <v>0</v>
      </c>
      <c r="DN82" s="45" t="n">
        <f aca="false">IF(Tasks[[#This Row],[_Res4Work]]=0,0,Tasks[[#This Row],[_Res4Work]]*IFERROR(INDEX(res_Rate,MATCH(Tasks[[#This Row],[_Res4]],res_Name,0)),0))</f>
        <v>0</v>
      </c>
      <c r="DO82" s="45" t="n">
        <f aca="false">IF(AND(AND(Tasks[[#This Row],[_IsLeaf]]=1,Tasks[[#This Row],[_LeafTotalWork]]&gt;0),Tasks[[#This Row],[_Res4Work]]&gt;0),Tasks[[#This Row],[_Res4Work]]/(Tasks[[#This Row],[_FinishWorkday]]-Tasks[[#This Row],[_StartWorkday]]+1),0)</f>
        <v>0</v>
      </c>
      <c r="DP82" s="45" t="n">
        <f aca="false">Tasks[[#This Row],[_Res4WorkPerWD]]*MAX(0,Tasks[[#This Row],[_StartWorkday]]-1)</f>
        <v>0</v>
      </c>
      <c r="DQ82" s="45" t="n">
        <f aca="false">Tasks[[#This Row],[_Res4Work]]*Tasks[[#This Row],[_LeafProgress]]</f>
        <v>0</v>
      </c>
      <c r="DR82" s="45" t="n">
        <f aca="false">IF(Tasks[[#This Row],[_LeafTotalCost]]=0,0,Tasks[[#This Row],[_LeafAC]]*Tasks[[#This Row],[_Res4Cost]]/Tasks[[#This Row],[_LeafTotalCost]])</f>
        <v>0</v>
      </c>
      <c r="DS82" s="45" t="n">
        <f aca="false">IF(ISNUMBER(Tasks[[#This Row],[% Complete]]),Tasks[[#This Row],[% Complete]],IF(Tasks[[#This Row],[Stage]]="",0,IFERROR(INDEX(stg_Pct,MATCH(Tasks[[#This Row],[Stage]],stg_Name,0)),0)))</f>
        <v>0</v>
      </c>
      <c r="DT82" s="45" t="n">
        <f aca="false">IF(NOT(Tasks[[#This Row],[_IsLeaf]]=1),0,IF(N(Tasks[[#This Row],[Actual Finish]])&gt;0,1,MIN(1,Tasks[[#This Row],[_Pct]])))</f>
        <v>0</v>
      </c>
      <c r="DU82" s="45" t="n">
        <f aca="false">IF(OR(NOT(Tasks[[#This Row],[_IsLeaf]]=1),Tasks[[#This Row],[_Resource1]]=""),0,IF(ISNA(MATCH(Tasks[[#This Row],[_Resource1]],res_Name,0)),0,N(Tasks[[#This Row],[Duration]])*HoursPerDay*IF(Tasks[[#This Row],[_Units1]]="",DefaultUnits,Tasks[[#This Row],[_Units1]])))</f>
        <v>0</v>
      </c>
      <c r="DV82" s="45" t="n">
        <f aca="false">IF(Tasks[[#This Row],[_LeafWork]]=0,0,Tasks[[#This Row],[_LeafWork]]*IFERROR(INDEX(res_Rate,MATCH(Tasks[[#This Row],[_Resource1]],res_Name,0)),0))</f>
        <v>0</v>
      </c>
      <c r="DW82" s="45" t="n">
        <f aca="false">Tasks[[#This Row],[_LeafWork]]+Tasks[[#This Row],[_Res2Work]]+Tasks[[#This Row],[_Res3Work]]+Tasks[[#This Row],[_Res4Work]]</f>
        <v>0</v>
      </c>
      <c r="DX82" s="45" t="n">
        <f aca="false">Tasks[[#This Row],[_LeafCost]]+Tasks[[#This Row],[_Res2Cost]]+Tasks[[#This Row],[_Res3Cost]]+Tasks[[#This Row],[_Res4Cost]]</f>
        <v>0</v>
      </c>
      <c r="DY82" s="45" t="n">
        <f aca="false">IF(Tasks[[#This Row],[_LeafTotalCost]]=0,Tasks[[#This Row],[_LeafAC]],Tasks[[#This Row],[_LeafAC]]*Tasks[[#This Row],[_LeafCost]]/Tasks[[#This Row],[_LeafTotalCost]])</f>
        <v>0</v>
      </c>
      <c r="DZ8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8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8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8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8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8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8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8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82" s="45" t="n">
        <f aca="false">IF(NOT(Tasks[[#This Row],[_IsLeaf]]=1),0,MAX(_xlfn.MAXIFS(Tasks[_Row],Tasks[_Pred1UID],Tasks[[#This Row],[UID]]),_xlfn.MAXIFS(Tasks[_Row],Tasks[_Pred2UID],Tasks[[#This Row],[UID]]),_xlfn.MAXIFS(Tasks[_Row],Tasks[_Pred3UID],Tasks[[#This Row],[UID]]),_xlfn.MAXIFS(Tasks[_Row],Tasks[_Pred4UID],Tasks[[#This Row],[UID]])))</f>
        <v>0</v>
      </c>
      <c r="EI8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8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82" s="74" t="str">
        <f aca="false">IF(NOT(Tasks[[#This Row],[_IsLeaf]]=1),"",IF(N(Tasks[[#This Row],[Duration]])&lt;=0,Tasks[[#This Row],[_LeafLateFinish]],WORKDAY.INTL(Tasks[[#This Row],[_LeafLateFinish]],-(Tasks[[#This Row],[Duration]]-1),WorkWeek,Holidays)))</f>
        <v/>
      </c>
      <c r="EL8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82" s="73" t="b">
        <f aca="false">AND(Tasks[[#This Row],[_IsLeaf]]=1,Tasks[[#This Row],[_LeafProgress]]&lt;1,N(Tasks[[#This Row],[_LeafTotalSlack]])&lt;=CriticalSlackDays)</f>
        <v>0</v>
      </c>
      <c r="EN82" s="45" t="n">
        <f aca="false">IF(AND(Tasks[[#This Row],[_IsLeaf]]=1,Tasks[[#This Row],[_ConstraintCode]]=1,Tasks[[#This Row],[Mode]]&lt;&gt;"Manual",N(Tasks[[#This Row],[Actual Start]])=0),MAX(0,N(Tasks[[#This Row],[Free Slack]])),0)</f>
        <v>0</v>
      </c>
      <c r="EO82" s="74" t="str">
        <f aca="false">IF(NOT(Tasks[[#This Row],[_IsLeaf]]=1),"",IF(Tasks[[#This Row],[_AlapShift]]=0,Tasks[[#This Row],[_LeafCalcStart]],WORKDAY.INTL(Tasks[[#This Row],[_LeafCalcStart]],Tasks[[#This Row],[_AlapShift]],WorkWeek,Holidays)))</f>
        <v/>
      </c>
      <c r="EP82" s="74" t="str">
        <f aca="false">IF(NOT(Tasks[[#This Row],[_IsLeaf]]=1),"",IF(Tasks[[#This Row],[_AlapShift]]=0,Tasks[[#This Row],[_LeafCalcFinish]],WORKDAY.INTL(Tasks[[#This Row],[_LeafCalcFinish]],Tasks[[#This Row],[_AlapShift]],WorkWeek,Holidays)))</f>
        <v/>
      </c>
      <c r="EQ82" s="74" t="str">
        <f aca="false">IF(NOT(Tasks[[#This Row],[_IsLeaf]]=1),"",IF(Tasks[[#This Row],[_AlapShift]]=0,Tasks[[#This Row],[_LeafFcstStart]],WORKDAY.INTL(Tasks[[#This Row],[_LeafFcstStart]],Tasks[[#This Row],[_AlapShift]],WorkWeek,Holidays)))</f>
        <v/>
      </c>
      <c r="ER82" s="74" t="str">
        <f aca="false">IF(NOT(Tasks[[#This Row],[_IsLeaf]]=1),"",IF(Tasks[[#This Row],[_AlapShift]]=0,Tasks[[#This Row],[_LeafFcstFinish]],WORKDAY.INTL(Tasks[[#This Row],[_LeafFcstFinish]],Tasks[[#This Row],[_AlapShift]],WorkWeek,Holidays)))</f>
        <v/>
      </c>
      <c r="ES82" s="74" t="str">
        <f aca="false">IF(Tasks[[#This Row],[Task Name]]="","",IF(Tasks[[#This Row],[_IsSummary]],MIN(INDEX(Tasks[_ShownCalcStart],Tasks[[#This Row],[_Row]]+1):INDEX(Tasks[_ShownCalcStart],Tasks[[#This Row],[_Row]]+Tasks[[#This Row],[_Descendants]])),Tasks[[#This Row],[_ShownCalcStart]]))</f>
        <v/>
      </c>
      <c r="ET82" s="74" t="str">
        <f aca="false">IF(Tasks[[#This Row],[Task Name]]="","",IF(Tasks[[#This Row],[_IsSummary]],MAX(INDEX(Tasks[_ShownCalcFinish],Tasks[[#This Row],[_Row]]+1):INDEX(Tasks[_ShownCalcFinish],Tasks[[#This Row],[_Row]]+Tasks[[#This Row],[_Descendants]])),Tasks[[#This Row],[_ShownCalcFinish]]))</f>
        <v/>
      </c>
      <c r="EU8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8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8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8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8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8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8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8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8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8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8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8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82" s="45" t="n">
        <f aca="false">IF(AND(Tasks[[#This Row],[_IsLeaf]]=1,Tasks[[#This Row],[_LeafTotalWork]]&gt;0),NETWORKDAYS.INTL(ProjectStart,Tasks[[#This Row],[_ShownFcstStart]],WorkWeek,Holidays),0)</f>
        <v>0</v>
      </c>
      <c r="FH82" s="45" t="n">
        <f aca="false">IF(AND(Tasks[[#This Row],[_IsLeaf]]=1,Tasks[[#This Row],[_LeafTotalWork]]&gt;0),MAX(Tasks[[#This Row],[_StartWorkday]],NETWORKDAYS.INTL(ProjectStart,Tasks[[#This Row],[_ShownFcstFinish]],WorkWeek,Holidays)),0)</f>
        <v>0</v>
      </c>
      <c r="FI82" s="45" t="n">
        <f aca="false">IF(AND(Tasks[[#This Row],[_IsLeaf]]=1,Tasks[[#This Row],[_LeafTotalWork]]&gt;0),Tasks[[#This Row],[_LeafWork]]/(Tasks[[#This Row],[_FinishWorkday]]-Tasks[[#This Row],[_StartWorkday]]+1),0)</f>
        <v>0</v>
      </c>
      <c r="FJ82" s="45" t="n">
        <f aca="false">Tasks[[#This Row],[_WorkPerWorkday]]*(Tasks[[#This Row],[_StartWorkday]]-1)</f>
        <v>-0</v>
      </c>
      <c r="FK82" s="45" t="n">
        <f aca="false">IF(Tasks[[#This Row],[_IsLeaf]]=1,MAX(N(Tasks[[#This Row],[Duration]]),0.1),0)</f>
        <v>0</v>
      </c>
      <c r="FL82" s="45" t="n">
        <f aca="false">Tasks[[#This Row],[_WeightDur]]*Tasks[[#This Row],[_LeafProgress]]</f>
        <v>0</v>
      </c>
      <c r="FM8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82" s="45" t="str">
        <f aca="false">IF(AND(Tasks[[#This Row],[_IsLeaf]]=1,N(Tasks[[#This Row],[Duration]])=0,Tasks[[#This Row],[_LeafProgress]]&lt;1),Tasks[[#This Row],[_ShownFcstFinish]]+Tasks[[#This Row],[_Row]]/100000,"")</f>
        <v/>
      </c>
      <c r="FO8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82" s="45" t="n">
        <f aca="false">IF(NOT(Tasks[[#This Row],[_IsLeaf]]=1),0,IF(Tasks[[#This Row],[Baseline Cost]]="",Tasks[[#This Row],[_LeafTotalCost]],N(Tasks[[#This Row],[Baseline Cost]])))</f>
        <v>0</v>
      </c>
      <c r="FQ82" s="45" t="n">
        <f aca="false">Tasks[[#This Row],[_LeafBudget]]*Tasks[[#This Row],[_PlannedPct]]</f>
        <v>0</v>
      </c>
      <c r="FR82" s="45" t="n">
        <f aca="false">Tasks[[#This Row],[_LeafBudget]]*Tasks[[#This Row],[_LeafProgress]]</f>
        <v>0</v>
      </c>
      <c r="FS82" s="45" t="n">
        <f aca="false">IF(NOT(Tasks[[#This Row],[_IsLeaf]]=1),0,IF(Tasks[[#This Row],[Actual Cost]]="",Tasks[[#This Row],[_LeafTotalCost]]*Tasks[[#This Row],[_LeafProgress]],N(Tasks[[#This Row],[Actual Cost]])))</f>
        <v>0</v>
      </c>
      <c r="FT82" s="45" t="str">
        <f aca="false">IF(Tasks[[#This Row],[Task Name]]="","",LEFT(Tasks[[#This Row],[WBS]],FIND(".",Tasks[[#This Row],[WBS]]&amp;".")-1))</f>
        <v/>
      </c>
      <c r="FU82" s="45" t="str">
        <f aca="false">IF(AND(Tasks[[#This Row],[Task Name]]&lt;&gt;"",Tasks[[#This Row],[_Level]]=1),Tasks[[#This Row],[_Row]],"")</f>
        <v/>
      </c>
      <c r="FV82" s="45" t="str">
        <f aca="false">IF(AND(Tasks[[#This Row],[_IsLeaf]]=1,N(Tasks[[#This Row],[Duration]])=0),Tasks[[#This Row],[Planned Finish]]+Tasks[[#This Row],[_Row]]/100000,"")</f>
        <v/>
      </c>
      <c r="FW82" s="45" t="str">
        <f aca="false">IF(AND(Tasks[[#This Row],[_IsLeaf]]=1,Tasks[[#This Row],[_LeafProgress]]&lt;1,OR(N(Tasks[[#This Row],[Finish Var]])&gt;0,Tasks[[#This Row],[Status]]="Late Start")),MAX(0,Tasks[[#This Row],[Finish Var]])+1-Tasks[[#This Row],[_Row]]/1000000,"")</f>
        <v/>
      </c>
      <c r="FX82" s="45" t="str">
        <f aca="false">IF(AND(Tasks[[#This Row],[_IsLeaf]]=1,N(Tasks[[#This Row],[Actual Start]])=0,Tasks[[#This Row],[_ShownFcstStart]]&gt;=StatusDate,Tasks[[#This Row],[_ShownFcstStart]]&lt;=LookaheadEnd),Tasks[[#This Row],[_ShownFcstStart]]+Tasks[[#This Row],[_Row]]/100000,"")</f>
        <v/>
      </c>
      <c r="FY82" s="45" t="str">
        <f aca="false">IF(AND(Tasks[[#This Row],[_IsLeaf]]=1,Tasks[[#This Row],[_LeafProgress]]&lt;1,Tasks[[#This Row],[_ShownFcstFinish]]&gt;=StatusDate,Tasks[[#This Row],[_ShownFcstFinish]]&lt;=LookaheadEnd),Tasks[[#This Row],[_ShownFcstFinish]]+Tasks[[#This Row],[_Row]]/100000,"")</f>
        <v/>
      </c>
      <c r="FZ82" s="45" t="str">
        <f aca="false">IF(Tasks[[#This Row],[_LeafCritical]],Tasks[[#This Row],[_ShownFcstStart]]+Tasks[[#This Row],[_Row]]/100000,"")</f>
        <v/>
      </c>
      <c r="GA82" s="45" t="n">
        <f aca="false">Tasks[[#This Row],[_LeafWork]]*Tasks[[#This Row],[_LeafProgress]]</f>
        <v>0</v>
      </c>
      <c r="GB82" s="74" t="str">
        <f aca="false">IF(AND(Tasks[[#This Row],[_IsLeaf]]=1,Tasks[[#This Row],[_LeafProgress]]&gt;=1),IF(N(Tasks[[#This Row],[Actual Finish]])&gt;0,Tasks[[#This Row],[Actual Finish]],Tasks[[#This Row],[_ShownFcstFinish]]),"")</f>
        <v/>
      </c>
    </row>
    <row r="83" customFormat="false" ht="15" hidden="false" customHeight="false" outlineLevel="0" collapsed="false">
      <c r="A83" s="67" t="str">
        <f aca="false">IF(Tasks[[#This Row],[Task Name]]="","",COUNTA(Tasks[[#Headers],[Task Name]]:Tasks[[#This Row],[Task Name]])-1)</f>
        <v/>
      </c>
      <c r="B83" s="21" t="n">
        <v>78</v>
      </c>
      <c r="C8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21"/>
      <c r="E83" s="22"/>
      <c r="F83" s="21"/>
      <c r="G83" s="22"/>
      <c r="H83" s="22"/>
      <c r="I83" s="22"/>
      <c r="J83" s="7"/>
      <c r="K83" s="7"/>
      <c r="L83" s="22"/>
      <c r="M83" s="58" t="str">
        <f aca="false">IF(Tasks[[#This Row],[Task Name]]="","",IF(Tasks[[#This Row],[_IsSummary]],MIN(INDEX(Tasks[_ShownFcstStart],Tasks[[#This Row],[_Row]]+1):INDEX(Tasks[_ShownFcstStart],Tasks[[#This Row],[_Row]]+Tasks[[#This Row],[_Descendants]])),Tasks[[#This Row],[_ShownFcstStart]]))</f>
        <v/>
      </c>
      <c r="N83" s="58" t="str">
        <f aca="false">IF(Tasks[[#This Row],[Task Name]]="","",IF(Tasks[[#This Row],[_IsSummary]],MAX(INDEX(Tasks[_ShownFcstFinish],Tasks[[#This Row],[_Row]]+1):INDEX(Tasks[_ShownFcstFinish],Tasks[[#This Row],[_Row]]+Tasks[[#This Row],[_Descendants]])),Tasks[[#This Row],[_ShownFcstFinish]]))</f>
        <v/>
      </c>
      <c r="O83" s="20" t="str">
        <f aca="false">IF(Tasks[[#This Row],[Task Name]]="","",IF(Tasks[[#This Row],[Progress]]&gt;=1,"Complete",IF(OR(N(Tasks[[#This Row],[Actual Start]])&gt;0,Tasks[[#This Row],[Progress]]&gt;0),IF(Tasks[[#This Row],[Finish Var]]&gt;0,"Behind","In Progress"),IF(Tasks[[#This Row],[Planned Start]]&lt;StatusDate,"Late Start","Not Started"))))</f>
        <v/>
      </c>
      <c r="P83" s="20" t="str">
        <f aca="false">IF(Tasks[[#This Row],[Task Name]]="","",IF(IF(Tasks[[#This Row],[_IsSummary]],COUNTIF(INDEX(Tasks[_LeafCritical],Tasks[[#This Row],[_Row]]+1):INDEX(Tasks[_LeafCritical],Tasks[[#This Row],[_Row]]+Tasks[[#This Row],[_Descendants]]),TRUE())&gt;0,Tasks[[#This Row],[_LeafCritical]]),"Yes",""))</f>
        <v/>
      </c>
      <c r="Q8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83" s="67" t="str">
        <f aca="false">IF(Tasks[[#This Row],[Task Name]]="","",IF(Tasks[[#This Row],[_Level]]&lt;=OutlineShowLevel,"Yes","No"))</f>
        <v/>
      </c>
      <c r="S83" s="7"/>
      <c r="T83" s="21"/>
      <c r="U83" s="22"/>
      <c r="V83" s="7"/>
      <c r="W83" s="67" t="str">
        <f aca="false">IF(Tasks[[#This Row],[Task Name]]="","",IF(Tasks[[#This Row],[Finish]]&gt;=Tasks[[#This Row],[Planned Finish]],NETWORKDAYS.INTL(Tasks[[#This Row],[Planned Finish]],Tasks[[#This Row],[Finish]],WorkWeek,Holidays)-1,1-NETWORKDAYS.INTL(Tasks[[#This Row],[Finish]],Tasks[[#This Row],[Planned Finish]],WorkWeek,Holidays)))</f>
        <v/>
      </c>
      <c r="X83" s="58" t="str">
        <f aca="false">IF(Tasks[[#This Row],[Task Name]]="","",IF(N(Tasks[[#This Row],[Baseline Start]])&gt;0,Tasks[[#This Row],[Baseline Start]],Tasks[[#This Row],[_CalcStart]]))</f>
        <v/>
      </c>
      <c r="Y83" s="58" t="str">
        <f aca="false">IF(Tasks[[#This Row],[Task Name]]="","",IF(N(Tasks[[#This Row],[Baseline Finish]])&gt;0,Tasks[[#This Row],[Baseline Finish]],Tasks[[#This Row],[_CalcFinish]]))</f>
        <v/>
      </c>
      <c r="Z83" s="67" t="str">
        <f aca="false">IF(Tasks[[#This Row],[Task Name]]="","",IF(Tasks[[#This Row],[Start]]&gt;=Tasks[[#This Row],[Planned Start]],NETWORKDAYS.INTL(Tasks[[#This Row],[Planned Start]],Tasks[[#This Row],[Start]],WorkWeek,Holidays)-1,1-NETWORKDAYS.INTL(Tasks[[#This Row],[Start]],Tasks[[#This Row],[Planned Start]],WorkWeek,Holidays)))</f>
        <v/>
      </c>
      <c r="AA83" s="58" t="str">
        <f aca="false">IF(Tasks[[#This Row],[Task Name]]="","",IF(Tasks[[#This Row],[_IsSummary]],MIN(INDEX(Tasks[_LeafLateStart],Tasks[[#This Row],[_Row]]+1):INDEX(Tasks[_LeafLateStart],Tasks[[#This Row],[_Row]]+Tasks[[#This Row],[_Descendants]])),Tasks[[#This Row],[_LeafLateStart]]))</f>
        <v/>
      </c>
      <c r="AB83" s="58" t="str">
        <f aca="false">IF(Tasks[[#This Row],[Task Name]]="","",IF(Tasks[[#This Row],[_IsSummary]],MAX(INDEX(Tasks[_LeafLateFinish],Tasks[[#This Row],[_Row]]+1):INDEX(Tasks[_LeafLateFinish],Tasks[[#This Row],[_Row]]+Tasks[[#This Row],[_Descendants]])),Tasks[[#This Row],[_LeafLateFinish]]))</f>
        <v/>
      </c>
      <c r="AC83" s="67" t="str">
        <f aca="false">IF(Tasks[[#This Row],[Task Name]]="","",IF(Tasks[[#This Row],[_IsSummary]],MIN(INDEX(Tasks[_LeafTotalSlack],Tasks[[#This Row],[_Row]]+1):INDEX(Tasks[_LeafTotalSlack],Tasks[[#This Row],[_Row]]+Tasks[[#This Row],[_Descendants]])),Tasks[[#This Row],[_LeafTotalSlack]]))</f>
        <v/>
      </c>
      <c r="AD8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8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8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83" s="60"/>
      <c r="AH8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8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83" s="69" t="str">
        <f aca="false">IF(Tasks[[#This Row],[Task Name]]="","",IF(Tasks[[#This Row],[_IsSummary]],SUM(INDEX(Tasks[_LeafTotalWork],Tasks[[#This Row],[_Row]]+1):INDEX(Tasks[_LeafTotalWork],Tasks[[#This Row],[_Row]]+Tasks[[#This Row],[_Descendants]])),Tasks[[#This Row],[_LeafTotalWork]]))</f>
        <v/>
      </c>
      <c r="AK8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83" s="70" t="str">
        <f aca="false">IF(Tasks[[#This Row],[Task Name]]="","",IF(Tasks[[#This Row],[_IsSummary]],SUM(INDEX(Tasks[_LeafTotalCost],Tasks[[#This Row],[_Row]]+1):INDEX(Tasks[_LeafTotalCost],Tasks[[#This Row],[_Row]]+Tasks[[#This Row],[_Descendants]])),Tasks[[#This Row],[_LeafTotalCost]]))</f>
        <v/>
      </c>
      <c r="AM83" s="71"/>
      <c r="AN83" s="20" t="str">
        <f aca="false">IF(OR(Tasks[[#This Row],[Task Name]]="",Tasks[[#This Row],[Baseline Duration]]=""),"",Tasks[[#This Row],[BL Source Duration]]-N(Tasks[[#This Row],[Baseline Duration]]))</f>
        <v/>
      </c>
      <c r="AO83" s="69" t="str">
        <f aca="false">IF(OR(Tasks[[#This Row],[Task Name]]="",Tasks[[#This Row],[Baseline Work]]=""),"",Tasks[[#This Row],[Work]]-N(Tasks[[#This Row],[Baseline Work]]))</f>
        <v/>
      </c>
      <c r="AP83" s="70" t="str">
        <f aca="false">IF(OR(Tasks[[#This Row],[Task Name]]="",Tasks[[#This Row],[Baseline Cost]]=""),"",Tasks[[#This Row],[Cost]]-N(Tasks[[#This Row],[Baseline Cost]]))</f>
        <v/>
      </c>
      <c r="AQ83" s="58" t="str">
        <f aca="false">IF(Tasks[[#This Row],[Task Name]]="","",Tasks[[#This Row],[Start]])</f>
        <v/>
      </c>
      <c r="AR83" s="58" t="str">
        <f aca="false">IF(Tasks[[#This Row],[Task Name]]="","",Tasks[[#This Row],[Finish]])</f>
        <v/>
      </c>
      <c r="AS83" s="67" t="str">
        <f aca="false">IF(Tasks[[#This Row],[Task Name]]="","",IF(Tasks[[#This Row],[_IsSummary]],NETWORKDAYS.INTL(Tasks[[#This Row],[Start]],Tasks[[#This Row],[Finish]],WorkWeek,Holidays),N(Tasks[[#This Row],[Duration]])))</f>
        <v/>
      </c>
      <c r="AT83" s="69" t="str">
        <f aca="false">IF(Tasks[[#This Row],[Task Name]]="","",Tasks[[#This Row],[Work]])</f>
        <v/>
      </c>
      <c r="AU83" s="70" t="str">
        <f aca="false">IF(Tasks[[#This Row],[Task Name]]="","",Tasks[[#This Row],[Cost]])</f>
        <v/>
      </c>
      <c r="AV83" s="7"/>
      <c r="AW83" s="7"/>
      <c r="AX83" s="21"/>
      <c r="AY83" s="72"/>
      <c r="AZ83" s="71"/>
      <c r="BA83" s="70" t="str">
        <f aca="false">IF(Tasks[[#This Row],[Task Name]]="","",IF(Tasks[[#This Row],[_IsSummary]],SUM(INDEX(Tasks[_LeafEV],Tasks[[#This Row],[_Row]]+1):INDEX(Tasks[_LeafEV],Tasks[[#This Row],[_Row]]+Tasks[[#This Row],[_Descendants]])),Tasks[[#This Row],[_LeafEV]]))</f>
        <v/>
      </c>
      <c r="BB83" s="70" t="str">
        <f aca="false">IF(Tasks[[#This Row],[Task Name]]="","",IF(Tasks[[#This Row],[_IsSummary]],SUM(INDEX(Tasks[_LeafBudget],Tasks[[#This Row],[_Row]]+1):INDEX(Tasks[_LeafBudget],Tasks[[#This Row],[_Row]]+Tasks[[#This Row],[_Descendants]])),Tasks[[#This Row],[_LeafBudget]]))</f>
        <v/>
      </c>
      <c r="BC83" s="70" t="str">
        <f aca="false">IF(Tasks[[#This Row],[Task Name]]="","",IF(Tasks[[#This Row],[_IsSummary]],SUM(INDEX(Tasks[_LeafPV],Tasks[[#This Row],[_Row]]+1):INDEX(Tasks[_LeafPV],Tasks[[#This Row],[_Row]]+Tasks[[#This Row],[_Descendants]])),Tasks[[#This Row],[_LeafPV]]))</f>
        <v/>
      </c>
      <c r="BD83" s="70" t="str">
        <f aca="false">IF(Tasks[[#This Row],[Task Name]]="","",IF(Tasks[[#This Row],[_IsSummary]],SUM(INDEX(Tasks[_LeafAC],Tasks[[#This Row],[_Row]]+1):INDEX(Tasks[_LeafAC],Tasks[[#This Row],[_Row]]+Tasks[[#This Row],[_Descendants]])),Tasks[[#This Row],[_LeafAC]]))</f>
        <v/>
      </c>
      <c r="BE83" s="45" t="str">
        <f aca="false">IF(Tasks[[#This Row],[Task Name]]="","",MAX(1,N(Tasks[[#This Row],[Level]])))</f>
        <v/>
      </c>
      <c r="BF83" s="45" t="n">
        <f aca="false">ROW()-ROW(Tasks[[#Headers],[ID]])</f>
        <v>78</v>
      </c>
      <c r="BG83" s="45" t="n">
        <f aca="false">IF(OR(Tasks[[#This Row],[Task Name]]="",Tasks[[#This Row],[_Level]]&lt;=1),0,IFERROR(LOOKUP(2,1/(Tasks[[#Headers],[_Level]]:Tasks[[#This Row],[_Level]]=Tasks[[#This Row],[_Level]]-1),ROW(Tasks[[#Headers],[_Level]]:Tasks[[#This Row],[_Level]])),0))</f>
        <v>0</v>
      </c>
      <c r="BH83" s="45" t="n">
        <f aca="false">IFERROR(N(INDEX(Tasks[_Level],Tasks[[#This Row],[_Row]]+1)),0)</f>
        <v>0</v>
      </c>
      <c r="BI83" s="73" t="b">
        <f aca="false">AND(Tasks[[#This Row],[Task Name]]&lt;&gt;"",Tasks[[#This Row],[_NextLevel]]&gt;Tasks[[#This Row],[_Level]])</f>
        <v>0</v>
      </c>
      <c r="BJ83" s="45" t="n">
        <f aca="false">IF(Tasks[[#This Row],[_IsSummary]],COUNTIF(Tasks[WBS],Tasks[[#This Row],[WBS]]&amp;".*"),0)</f>
        <v>0</v>
      </c>
      <c r="BK83" s="45" t="n">
        <f aca="false">IF(AND(Tasks[[#This Row],[Task Name]]&lt;&gt;"",NOT(Tasks[[#This Row],[_IsSummary]])),1,0)</f>
        <v>0</v>
      </c>
      <c r="BL83" s="45" t="n">
        <f aca="false">IF(N(Tasks[[#This Row],[_Pred1UID]])=0,0,IFERROR(MATCH(Tasks[[#This Row],[_Pred1UID]],Tasks[UID],0),-1))</f>
        <v>0</v>
      </c>
      <c r="BM83" s="45" t="n">
        <f aca="false">IF(N(Tasks[[#This Row],[_Pred2UID]])=0,0,IFERROR(MATCH(Tasks[[#This Row],[_Pred2UID]],Tasks[UID],0),-1))</f>
        <v>0</v>
      </c>
      <c r="BN83" s="45" t="n">
        <f aca="false">IF(N(Tasks[[#This Row],[_Pred3UID]])=0,0,IFERROR(MATCH(Tasks[[#This Row],[_Pred3UID]],Tasks[UID],0),-1))</f>
        <v>0</v>
      </c>
      <c r="BO83" s="45" t="n">
        <f aca="false">IF(N(Tasks[[#This Row],[_Pred4UID]])=0,0,IFERROR(MATCH(Tasks[[#This Row],[_Pred4UID]],Tasks[UID],0),-1))</f>
        <v>0</v>
      </c>
      <c r="BP8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8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83" s="74" t="n">
        <f aca="false">IF(OR(Tasks[[#This Row],[_ConstraintCode]]=2,Tasks[[#This Row],[_ConstraintCode]]=3,Tasks[[#This Row],[_ConstraintCode]]=4,Tasks[[#This Row],[_ConstraintCode]]=6),Tasks[[#This Row],[_ConstraintStart]],0)</f>
        <v>0</v>
      </c>
      <c r="BS83" s="74" t="n">
        <f aca="false">IF(OR(Tasks[[#This Row],[_ConstraintCode]]=2,Tasks[[#This Row],[_ConstraintCode]]=3,Tasks[[#This Row],[_ConstraintCode]]=5,Tasks[[#This Row],[_ConstraintCode]]=7),Tasks[[#This Row],[_ConstraintStart]],2958465)</f>
        <v>2958465</v>
      </c>
      <c r="BT8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83" s="74" t="str">
        <f aca="false">IF(NOT(Tasks[[#This Row],[_IsLeaf]]=1),"",IF(N(Tasks[[#This Row],[Duration]])&lt;=0,Tasks[[#This Row],[_LeafCalcStart]],WORKDAY.INTL(Tasks[[#This Row],[_LeafCalcStart]],Tasks[[#This Row],[Duration]]-1,WorkWeek,Holidays)))</f>
        <v/>
      </c>
      <c r="BV8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8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83" s="45" t="str">
        <f aca="false">IF(Tasks[[#This Row],[Predecessors]]="","",TRIM(MID(SUBSTITUTE(SUBSTITUTE(SUBSTITUTE(UPPER(Tasks[[#This Row],[Predecessors]]),";",",")," ",""),",",REPT(" ",99)),1,99)))</f>
        <v/>
      </c>
      <c r="BY83" s="45" t="str">
        <f aca="false">IF(Tasks[[#This Row],[_Pred1Text]]="","",IFERROR(VALUE(LEFT(Tasks[[#This Row],[_Pred1Text]],MIN(FIND("F",Tasks[[#This Row],[_Pred1Text]]&amp;"F"),FIND("S",Tasks[[#This Row],[_Pred1Text]]&amp;"S"),FIND("+",Tasks[[#This Row],[_Pred1Text]]&amp;"+"),FIND("-",Tasks[[#This Row],[_Pred1Text]]&amp;"-"))-1)),""))</f>
        <v/>
      </c>
      <c r="BZ8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8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83" s="45" t="str">
        <f aca="false">IF(Tasks[[#This Row],[_Pred1Text]]="","",TRIM(MID(SUBSTITUTE(SUBSTITUTE(SUBSTITUTE(UPPER(Tasks[[#This Row],[Predecessors]]),";",",")," ",""),",",REPT(" ",99)),100,99)))</f>
        <v/>
      </c>
      <c r="CC83" s="45" t="str">
        <f aca="false">IF(Tasks[[#This Row],[_Pred2Text]]="","",IFERROR(VALUE(LEFT(Tasks[[#This Row],[_Pred2Text]],MIN(FIND("F",Tasks[[#This Row],[_Pred2Text]]&amp;"F"),FIND("S",Tasks[[#This Row],[_Pred2Text]]&amp;"S"),FIND("+",Tasks[[#This Row],[_Pred2Text]]&amp;"+"),FIND("-",Tasks[[#This Row],[_Pred2Text]]&amp;"-"))-1)),""))</f>
        <v/>
      </c>
      <c r="CD8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8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83" s="45" t="str">
        <f aca="false">IF(Tasks[[#This Row],[_Pred2Text]]="","",TRIM(MID(SUBSTITUTE(SUBSTITUTE(SUBSTITUTE(UPPER(Tasks[[#This Row],[Predecessors]]),";",",")," ",""),",",REPT(" ",99)),199,99)))</f>
        <v/>
      </c>
      <c r="CG83" s="45" t="str">
        <f aca="false">IF(Tasks[[#This Row],[_Pred3Text]]="","",IFERROR(VALUE(LEFT(Tasks[[#This Row],[_Pred3Text]],MIN(FIND("F",Tasks[[#This Row],[_Pred3Text]]&amp;"F"),FIND("S",Tasks[[#This Row],[_Pred3Text]]&amp;"S"),FIND("+",Tasks[[#This Row],[_Pred3Text]]&amp;"+"),FIND("-",Tasks[[#This Row],[_Pred3Text]]&amp;"-"))-1)),""))</f>
        <v/>
      </c>
      <c r="CH8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8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83" s="45" t="str">
        <f aca="false">IF(Tasks[[#This Row],[_Pred3Text]]="","",TRIM(MID(SUBSTITUTE(SUBSTITUTE(SUBSTITUTE(UPPER(Tasks[[#This Row],[Predecessors]]),";",",")," ",""),",",REPT(" ",99)),298,99)))</f>
        <v/>
      </c>
      <c r="CK83" s="45" t="str">
        <f aca="false">IF(Tasks[[#This Row],[_Pred4Text]]="","",IFERROR(VALUE(LEFT(Tasks[[#This Row],[_Pred4Text]],MIN(FIND("F",Tasks[[#This Row],[_Pred4Text]]&amp;"F"),FIND("S",Tasks[[#This Row],[_Pred4Text]]&amp;"S"),FIND("+",Tasks[[#This Row],[_Pred4Text]]&amp;"+"),FIND("-",Tasks[[#This Row],[_Pred4Text]]&amp;"-"))-1)),""))</f>
        <v/>
      </c>
      <c r="CL8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8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83" s="45" t="str">
        <f aca="false">IF(OR(Tasks[[#This Row],[Task Name]]="",Tasks[[#This Row],[Resources]]=""),"",TRIM(MID(SUBSTITUTE(Tasks[[#This Row],[Resources]],",",REPT(" ",99)),1,99)))</f>
        <v/>
      </c>
      <c r="CO83" s="45" t="str">
        <f aca="false">IF(Tasks[[#This Row],[_Res1Text]]="","",TRIM(MID(SUBSTITUTE(Tasks[[#This Row],[Resources]],",",REPT(" ",99)),100,99)))</f>
        <v/>
      </c>
      <c r="CP83" s="45" t="str">
        <f aca="false">IF(Tasks[[#This Row],[_Res2Text]]="","",TRIM(MID(SUBSTITUTE(Tasks[[#This Row],[Resources]],",",REPT(" ",99)),199,99)))</f>
        <v/>
      </c>
      <c r="CQ83" s="45" t="str">
        <f aca="false">IF(Tasks[[#This Row],[_Res3Text]]="","",TRIM(MID(SUBSTITUTE(Tasks[[#This Row],[Resources]],",",REPT(" ",99)),298,99)))</f>
        <v/>
      </c>
      <c r="CR8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8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3" s="45" t="n">
        <f aca="false">IF(NOT(Tasks[[#This Row],[_IsLeaf]]=1),0,(Tasks[[#This Row],[_Resource1]]&lt;&gt;"")+(Tasks[[#This Row],[_Res2]]&lt;&gt;"")+(Tasks[[#This Row],[_Res3]]&lt;&gt;"")+(Tasks[[#This Row],[_Res4]]&lt;&gt;""))</f>
        <v>0</v>
      </c>
      <c r="CU8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8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3" s="45" t="n">
        <f aca="false">IF(OR(NOT(Tasks[[#This Row],[_IsLeaf]]=1),Tasks[[#This Row],[_Res2]]=""),0,IF(ISNA(MATCH(Tasks[[#This Row],[_Res2]],res_Name,0)),0,N(Tasks[[#This Row],[Duration]])*HoursPerDay*IF(Tasks[[#This Row],[_Res2Units]]="",DefaultUnits,Tasks[[#This Row],[_Res2Units]])))</f>
        <v>0</v>
      </c>
      <c r="CX83" s="45" t="n">
        <f aca="false">IF(Tasks[[#This Row],[_Res2Work]]=0,0,Tasks[[#This Row],[_Res2Work]]*IFERROR(INDEX(res_Rate,MATCH(Tasks[[#This Row],[_Res2]],res_Name,0)),0))</f>
        <v>0</v>
      </c>
      <c r="CY83" s="45" t="n">
        <f aca="false">IF(AND(AND(Tasks[[#This Row],[_IsLeaf]]=1,Tasks[[#This Row],[_LeafTotalWork]]&gt;0),Tasks[[#This Row],[_Res2Work]]&gt;0),Tasks[[#This Row],[_Res2Work]]/(Tasks[[#This Row],[_FinishWorkday]]-Tasks[[#This Row],[_StartWorkday]]+1),0)</f>
        <v>0</v>
      </c>
      <c r="CZ83" s="45" t="n">
        <f aca="false">Tasks[[#This Row],[_Res2WorkPerWD]]*MAX(0,Tasks[[#This Row],[_StartWorkday]]-1)</f>
        <v>0</v>
      </c>
      <c r="DA83" s="45" t="n">
        <f aca="false">Tasks[[#This Row],[_Res2Work]]*Tasks[[#This Row],[_LeafProgress]]</f>
        <v>0</v>
      </c>
      <c r="DB83" s="45" t="n">
        <f aca="false">IF(Tasks[[#This Row],[_LeafTotalCost]]=0,0,Tasks[[#This Row],[_LeafAC]]*Tasks[[#This Row],[_Res2Cost]]/Tasks[[#This Row],[_LeafTotalCost]])</f>
        <v>0</v>
      </c>
      <c r="DC8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8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83" s="45" t="n">
        <f aca="false">IF(OR(NOT(Tasks[[#This Row],[_IsLeaf]]=1),Tasks[[#This Row],[_Res3]]=""),0,IF(ISNA(MATCH(Tasks[[#This Row],[_Res3]],res_Name,0)),0,N(Tasks[[#This Row],[Duration]])*HoursPerDay*IF(Tasks[[#This Row],[_Res3Units]]="",DefaultUnits,Tasks[[#This Row],[_Res3Units]])))</f>
        <v>0</v>
      </c>
      <c r="DF83" s="45" t="n">
        <f aca="false">IF(Tasks[[#This Row],[_Res3Work]]=0,0,Tasks[[#This Row],[_Res3Work]]*IFERROR(INDEX(res_Rate,MATCH(Tasks[[#This Row],[_Res3]],res_Name,0)),0))</f>
        <v>0</v>
      </c>
      <c r="DG83" s="45" t="n">
        <f aca="false">IF(AND(AND(Tasks[[#This Row],[_IsLeaf]]=1,Tasks[[#This Row],[_LeafTotalWork]]&gt;0),Tasks[[#This Row],[_Res3Work]]&gt;0),Tasks[[#This Row],[_Res3Work]]/(Tasks[[#This Row],[_FinishWorkday]]-Tasks[[#This Row],[_StartWorkday]]+1),0)</f>
        <v>0</v>
      </c>
      <c r="DH83" s="45" t="n">
        <f aca="false">Tasks[[#This Row],[_Res3WorkPerWD]]*MAX(0,Tasks[[#This Row],[_StartWorkday]]-1)</f>
        <v>0</v>
      </c>
      <c r="DI83" s="45" t="n">
        <f aca="false">Tasks[[#This Row],[_Res3Work]]*Tasks[[#This Row],[_LeafProgress]]</f>
        <v>0</v>
      </c>
      <c r="DJ83" s="45" t="n">
        <f aca="false">IF(Tasks[[#This Row],[_LeafTotalCost]]=0,0,Tasks[[#This Row],[_LeafAC]]*Tasks[[#This Row],[_Res3Cost]]/Tasks[[#This Row],[_LeafTotalCost]])</f>
        <v>0</v>
      </c>
      <c r="DK8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8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83" s="45" t="n">
        <f aca="false">IF(OR(NOT(Tasks[[#This Row],[_IsLeaf]]=1),Tasks[[#This Row],[_Res4]]=""),0,IF(ISNA(MATCH(Tasks[[#This Row],[_Res4]],res_Name,0)),0,N(Tasks[[#This Row],[Duration]])*HoursPerDay*IF(Tasks[[#This Row],[_Res4Units]]="",DefaultUnits,Tasks[[#This Row],[_Res4Units]])))</f>
        <v>0</v>
      </c>
      <c r="DN83" s="45" t="n">
        <f aca="false">IF(Tasks[[#This Row],[_Res4Work]]=0,0,Tasks[[#This Row],[_Res4Work]]*IFERROR(INDEX(res_Rate,MATCH(Tasks[[#This Row],[_Res4]],res_Name,0)),0))</f>
        <v>0</v>
      </c>
      <c r="DO83" s="45" t="n">
        <f aca="false">IF(AND(AND(Tasks[[#This Row],[_IsLeaf]]=1,Tasks[[#This Row],[_LeafTotalWork]]&gt;0),Tasks[[#This Row],[_Res4Work]]&gt;0),Tasks[[#This Row],[_Res4Work]]/(Tasks[[#This Row],[_FinishWorkday]]-Tasks[[#This Row],[_StartWorkday]]+1),0)</f>
        <v>0</v>
      </c>
      <c r="DP83" s="45" t="n">
        <f aca="false">Tasks[[#This Row],[_Res4WorkPerWD]]*MAX(0,Tasks[[#This Row],[_StartWorkday]]-1)</f>
        <v>0</v>
      </c>
      <c r="DQ83" s="45" t="n">
        <f aca="false">Tasks[[#This Row],[_Res4Work]]*Tasks[[#This Row],[_LeafProgress]]</f>
        <v>0</v>
      </c>
      <c r="DR83" s="45" t="n">
        <f aca="false">IF(Tasks[[#This Row],[_LeafTotalCost]]=0,0,Tasks[[#This Row],[_LeafAC]]*Tasks[[#This Row],[_Res4Cost]]/Tasks[[#This Row],[_LeafTotalCost]])</f>
        <v>0</v>
      </c>
      <c r="DS83" s="45" t="n">
        <f aca="false">IF(ISNUMBER(Tasks[[#This Row],[% Complete]]),Tasks[[#This Row],[% Complete]],IF(Tasks[[#This Row],[Stage]]="",0,IFERROR(INDEX(stg_Pct,MATCH(Tasks[[#This Row],[Stage]],stg_Name,0)),0)))</f>
        <v>0</v>
      </c>
      <c r="DT83" s="45" t="n">
        <f aca="false">IF(NOT(Tasks[[#This Row],[_IsLeaf]]=1),0,IF(N(Tasks[[#This Row],[Actual Finish]])&gt;0,1,MIN(1,Tasks[[#This Row],[_Pct]])))</f>
        <v>0</v>
      </c>
      <c r="DU83" s="45" t="n">
        <f aca="false">IF(OR(NOT(Tasks[[#This Row],[_IsLeaf]]=1),Tasks[[#This Row],[_Resource1]]=""),0,IF(ISNA(MATCH(Tasks[[#This Row],[_Resource1]],res_Name,0)),0,N(Tasks[[#This Row],[Duration]])*HoursPerDay*IF(Tasks[[#This Row],[_Units1]]="",DefaultUnits,Tasks[[#This Row],[_Units1]])))</f>
        <v>0</v>
      </c>
      <c r="DV83" s="45" t="n">
        <f aca="false">IF(Tasks[[#This Row],[_LeafWork]]=0,0,Tasks[[#This Row],[_LeafWork]]*IFERROR(INDEX(res_Rate,MATCH(Tasks[[#This Row],[_Resource1]],res_Name,0)),0))</f>
        <v>0</v>
      </c>
      <c r="DW83" s="45" t="n">
        <f aca="false">Tasks[[#This Row],[_LeafWork]]+Tasks[[#This Row],[_Res2Work]]+Tasks[[#This Row],[_Res3Work]]+Tasks[[#This Row],[_Res4Work]]</f>
        <v>0</v>
      </c>
      <c r="DX83" s="45" t="n">
        <f aca="false">Tasks[[#This Row],[_LeafCost]]+Tasks[[#This Row],[_Res2Cost]]+Tasks[[#This Row],[_Res3Cost]]+Tasks[[#This Row],[_Res4Cost]]</f>
        <v>0</v>
      </c>
      <c r="DY83" s="45" t="n">
        <f aca="false">IF(Tasks[[#This Row],[_LeafTotalCost]]=0,Tasks[[#This Row],[_LeafAC]],Tasks[[#This Row],[_LeafAC]]*Tasks[[#This Row],[_LeafCost]]/Tasks[[#This Row],[_LeafTotalCost]])</f>
        <v>0</v>
      </c>
      <c r="DZ8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8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8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8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8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8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8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8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83" s="45" t="n">
        <f aca="false">IF(NOT(Tasks[[#This Row],[_IsLeaf]]=1),0,MAX(_xlfn.MAXIFS(Tasks[_Row],Tasks[_Pred1UID],Tasks[[#This Row],[UID]]),_xlfn.MAXIFS(Tasks[_Row],Tasks[_Pred2UID],Tasks[[#This Row],[UID]]),_xlfn.MAXIFS(Tasks[_Row],Tasks[_Pred3UID],Tasks[[#This Row],[UID]]),_xlfn.MAXIFS(Tasks[_Row],Tasks[_Pred4UID],Tasks[[#This Row],[UID]])))</f>
        <v>0</v>
      </c>
      <c r="EI8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8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83" s="74" t="str">
        <f aca="false">IF(NOT(Tasks[[#This Row],[_IsLeaf]]=1),"",IF(N(Tasks[[#This Row],[Duration]])&lt;=0,Tasks[[#This Row],[_LeafLateFinish]],WORKDAY.INTL(Tasks[[#This Row],[_LeafLateFinish]],-(Tasks[[#This Row],[Duration]]-1),WorkWeek,Holidays)))</f>
        <v/>
      </c>
      <c r="EL8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83" s="73" t="b">
        <f aca="false">AND(Tasks[[#This Row],[_IsLeaf]]=1,Tasks[[#This Row],[_LeafProgress]]&lt;1,N(Tasks[[#This Row],[_LeafTotalSlack]])&lt;=CriticalSlackDays)</f>
        <v>0</v>
      </c>
      <c r="EN83" s="45" t="n">
        <f aca="false">IF(AND(Tasks[[#This Row],[_IsLeaf]]=1,Tasks[[#This Row],[_ConstraintCode]]=1,Tasks[[#This Row],[Mode]]&lt;&gt;"Manual",N(Tasks[[#This Row],[Actual Start]])=0),MAX(0,N(Tasks[[#This Row],[Free Slack]])),0)</f>
        <v>0</v>
      </c>
      <c r="EO83" s="74" t="str">
        <f aca="false">IF(NOT(Tasks[[#This Row],[_IsLeaf]]=1),"",IF(Tasks[[#This Row],[_AlapShift]]=0,Tasks[[#This Row],[_LeafCalcStart]],WORKDAY.INTL(Tasks[[#This Row],[_LeafCalcStart]],Tasks[[#This Row],[_AlapShift]],WorkWeek,Holidays)))</f>
        <v/>
      </c>
      <c r="EP83" s="74" t="str">
        <f aca="false">IF(NOT(Tasks[[#This Row],[_IsLeaf]]=1),"",IF(Tasks[[#This Row],[_AlapShift]]=0,Tasks[[#This Row],[_LeafCalcFinish]],WORKDAY.INTL(Tasks[[#This Row],[_LeafCalcFinish]],Tasks[[#This Row],[_AlapShift]],WorkWeek,Holidays)))</f>
        <v/>
      </c>
      <c r="EQ83" s="74" t="str">
        <f aca="false">IF(NOT(Tasks[[#This Row],[_IsLeaf]]=1),"",IF(Tasks[[#This Row],[_AlapShift]]=0,Tasks[[#This Row],[_LeafFcstStart]],WORKDAY.INTL(Tasks[[#This Row],[_LeafFcstStart]],Tasks[[#This Row],[_AlapShift]],WorkWeek,Holidays)))</f>
        <v/>
      </c>
      <c r="ER83" s="74" t="str">
        <f aca="false">IF(NOT(Tasks[[#This Row],[_IsLeaf]]=1),"",IF(Tasks[[#This Row],[_AlapShift]]=0,Tasks[[#This Row],[_LeafFcstFinish]],WORKDAY.INTL(Tasks[[#This Row],[_LeafFcstFinish]],Tasks[[#This Row],[_AlapShift]],WorkWeek,Holidays)))</f>
        <v/>
      </c>
      <c r="ES83" s="74" t="str">
        <f aca="false">IF(Tasks[[#This Row],[Task Name]]="","",IF(Tasks[[#This Row],[_IsSummary]],MIN(INDEX(Tasks[_ShownCalcStart],Tasks[[#This Row],[_Row]]+1):INDEX(Tasks[_ShownCalcStart],Tasks[[#This Row],[_Row]]+Tasks[[#This Row],[_Descendants]])),Tasks[[#This Row],[_ShownCalcStart]]))</f>
        <v/>
      </c>
      <c r="ET83" s="74" t="str">
        <f aca="false">IF(Tasks[[#This Row],[Task Name]]="","",IF(Tasks[[#This Row],[_IsSummary]],MAX(INDEX(Tasks[_ShownCalcFinish],Tasks[[#This Row],[_Row]]+1):INDEX(Tasks[_ShownCalcFinish],Tasks[[#This Row],[_Row]]+Tasks[[#This Row],[_Descendants]])),Tasks[[#This Row],[_ShownCalcFinish]]))</f>
        <v/>
      </c>
      <c r="EU8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8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8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8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8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8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8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8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8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8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8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8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83" s="45" t="n">
        <f aca="false">IF(AND(Tasks[[#This Row],[_IsLeaf]]=1,Tasks[[#This Row],[_LeafTotalWork]]&gt;0),NETWORKDAYS.INTL(ProjectStart,Tasks[[#This Row],[_ShownFcstStart]],WorkWeek,Holidays),0)</f>
        <v>0</v>
      </c>
      <c r="FH83" s="45" t="n">
        <f aca="false">IF(AND(Tasks[[#This Row],[_IsLeaf]]=1,Tasks[[#This Row],[_LeafTotalWork]]&gt;0),MAX(Tasks[[#This Row],[_StartWorkday]],NETWORKDAYS.INTL(ProjectStart,Tasks[[#This Row],[_ShownFcstFinish]],WorkWeek,Holidays)),0)</f>
        <v>0</v>
      </c>
      <c r="FI83" s="45" t="n">
        <f aca="false">IF(AND(Tasks[[#This Row],[_IsLeaf]]=1,Tasks[[#This Row],[_LeafTotalWork]]&gt;0),Tasks[[#This Row],[_LeafWork]]/(Tasks[[#This Row],[_FinishWorkday]]-Tasks[[#This Row],[_StartWorkday]]+1),0)</f>
        <v>0</v>
      </c>
      <c r="FJ83" s="45" t="n">
        <f aca="false">Tasks[[#This Row],[_WorkPerWorkday]]*(Tasks[[#This Row],[_StartWorkday]]-1)</f>
        <v>-0</v>
      </c>
      <c r="FK83" s="45" t="n">
        <f aca="false">IF(Tasks[[#This Row],[_IsLeaf]]=1,MAX(N(Tasks[[#This Row],[Duration]]),0.1),0)</f>
        <v>0</v>
      </c>
      <c r="FL83" s="45" t="n">
        <f aca="false">Tasks[[#This Row],[_WeightDur]]*Tasks[[#This Row],[_LeafProgress]]</f>
        <v>0</v>
      </c>
      <c r="FM8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83" s="45" t="str">
        <f aca="false">IF(AND(Tasks[[#This Row],[_IsLeaf]]=1,N(Tasks[[#This Row],[Duration]])=0,Tasks[[#This Row],[_LeafProgress]]&lt;1),Tasks[[#This Row],[_ShownFcstFinish]]+Tasks[[#This Row],[_Row]]/100000,"")</f>
        <v/>
      </c>
      <c r="FO8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83" s="45" t="n">
        <f aca="false">IF(NOT(Tasks[[#This Row],[_IsLeaf]]=1),0,IF(Tasks[[#This Row],[Baseline Cost]]="",Tasks[[#This Row],[_LeafTotalCost]],N(Tasks[[#This Row],[Baseline Cost]])))</f>
        <v>0</v>
      </c>
      <c r="FQ83" s="45" t="n">
        <f aca="false">Tasks[[#This Row],[_LeafBudget]]*Tasks[[#This Row],[_PlannedPct]]</f>
        <v>0</v>
      </c>
      <c r="FR83" s="45" t="n">
        <f aca="false">Tasks[[#This Row],[_LeafBudget]]*Tasks[[#This Row],[_LeafProgress]]</f>
        <v>0</v>
      </c>
      <c r="FS83" s="45" t="n">
        <f aca="false">IF(NOT(Tasks[[#This Row],[_IsLeaf]]=1),0,IF(Tasks[[#This Row],[Actual Cost]]="",Tasks[[#This Row],[_LeafTotalCost]]*Tasks[[#This Row],[_LeafProgress]],N(Tasks[[#This Row],[Actual Cost]])))</f>
        <v>0</v>
      </c>
      <c r="FT83" s="45" t="str">
        <f aca="false">IF(Tasks[[#This Row],[Task Name]]="","",LEFT(Tasks[[#This Row],[WBS]],FIND(".",Tasks[[#This Row],[WBS]]&amp;".")-1))</f>
        <v/>
      </c>
      <c r="FU83" s="45" t="str">
        <f aca="false">IF(AND(Tasks[[#This Row],[Task Name]]&lt;&gt;"",Tasks[[#This Row],[_Level]]=1),Tasks[[#This Row],[_Row]],"")</f>
        <v/>
      </c>
      <c r="FV83" s="45" t="str">
        <f aca="false">IF(AND(Tasks[[#This Row],[_IsLeaf]]=1,N(Tasks[[#This Row],[Duration]])=0),Tasks[[#This Row],[Planned Finish]]+Tasks[[#This Row],[_Row]]/100000,"")</f>
        <v/>
      </c>
      <c r="FW83" s="45" t="str">
        <f aca="false">IF(AND(Tasks[[#This Row],[_IsLeaf]]=1,Tasks[[#This Row],[_LeafProgress]]&lt;1,OR(N(Tasks[[#This Row],[Finish Var]])&gt;0,Tasks[[#This Row],[Status]]="Late Start")),MAX(0,Tasks[[#This Row],[Finish Var]])+1-Tasks[[#This Row],[_Row]]/1000000,"")</f>
        <v/>
      </c>
      <c r="FX83" s="45" t="str">
        <f aca="false">IF(AND(Tasks[[#This Row],[_IsLeaf]]=1,N(Tasks[[#This Row],[Actual Start]])=0,Tasks[[#This Row],[_ShownFcstStart]]&gt;=StatusDate,Tasks[[#This Row],[_ShownFcstStart]]&lt;=LookaheadEnd),Tasks[[#This Row],[_ShownFcstStart]]+Tasks[[#This Row],[_Row]]/100000,"")</f>
        <v/>
      </c>
      <c r="FY83" s="45" t="str">
        <f aca="false">IF(AND(Tasks[[#This Row],[_IsLeaf]]=1,Tasks[[#This Row],[_LeafProgress]]&lt;1,Tasks[[#This Row],[_ShownFcstFinish]]&gt;=StatusDate,Tasks[[#This Row],[_ShownFcstFinish]]&lt;=LookaheadEnd),Tasks[[#This Row],[_ShownFcstFinish]]+Tasks[[#This Row],[_Row]]/100000,"")</f>
        <v/>
      </c>
      <c r="FZ83" s="45" t="str">
        <f aca="false">IF(Tasks[[#This Row],[_LeafCritical]],Tasks[[#This Row],[_ShownFcstStart]]+Tasks[[#This Row],[_Row]]/100000,"")</f>
        <v/>
      </c>
      <c r="GA83" s="45" t="n">
        <f aca="false">Tasks[[#This Row],[_LeafWork]]*Tasks[[#This Row],[_LeafProgress]]</f>
        <v>0</v>
      </c>
      <c r="GB83" s="74" t="str">
        <f aca="false">IF(AND(Tasks[[#This Row],[_IsLeaf]]=1,Tasks[[#This Row],[_LeafProgress]]&gt;=1),IF(N(Tasks[[#This Row],[Actual Finish]])&gt;0,Tasks[[#This Row],[Actual Finish]],Tasks[[#This Row],[_ShownFcstFinish]]),"")</f>
        <v/>
      </c>
    </row>
    <row r="84" customFormat="false" ht="15" hidden="false" customHeight="false" outlineLevel="0" collapsed="false">
      <c r="A84" s="67" t="str">
        <f aca="false">IF(Tasks[[#This Row],[Task Name]]="","",COUNTA(Tasks[[#Headers],[Task Name]]:Tasks[[#This Row],[Task Name]])-1)</f>
        <v/>
      </c>
      <c r="B84" s="21" t="n">
        <v>79</v>
      </c>
      <c r="C8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21"/>
      <c r="E84" s="22"/>
      <c r="F84" s="21"/>
      <c r="G84" s="22"/>
      <c r="H84" s="22"/>
      <c r="I84" s="22"/>
      <c r="J84" s="7"/>
      <c r="K84" s="7"/>
      <c r="L84" s="22"/>
      <c r="M84" s="58" t="str">
        <f aca="false">IF(Tasks[[#This Row],[Task Name]]="","",IF(Tasks[[#This Row],[_IsSummary]],MIN(INDEX(Tasks[_ShownFcstStart],Tasks[[#This Row],[_Row]]+1):INDEX(Tasks[_ShownFcstStart],Tasks[[#This Row],[_Row]]+Tasks[[#This Row],[_Descendants]])),Tasks[[#This Row],[_ShownFcstStart]]))</f>
        <v/>
      </c>
      <c r="N84" s="58" t="str">
        <f aca="false">IF(Tasks[[#This Row],[Task Name]]="","",IF(Tasks[[#This Row],[_IsSummary]],MAX(INDEX(Tasks[_ShownFcstFinish],Tasks[[#This Row],[_Row]]+1):INDEX(Tasks[_ShownFcstFinish],Tasks[[#This Row],[_Row]]+Tasks[[#This Row],[_Descendants]])),Tasks[[#This Row],[_ShownFcstFinish]]))</f>
        <v/>
      </c>
      <c r="O84" s="20" t="str">
        <f aca="false">IF(Tasks[[#This Row],[Task Name]]="","",IF(Tasks[[#This Row],[Progress]]&gt;=1,"Complete",IF(OR(N(Tasks[[#This Row],[Actual Start]])&gt;0,Tasks[[#This Row],[Progress]]&gt;0),IF(Tasks[[#This Row],[Finish Var]]&gt;0,"Behind","In Progress"),IF(Tasks[[#This Row],[Planned Start]]&lt;StatusDate,"Late Start","Not Started"))))</f>
        <v/>
      </c>
      <c r="P84" s="20" t="str">
        <f aca="false">IF(Tasks[[#This Row],[Task Name]]="","",IF(IF(Tasks[[#This Row],[_IsSummary]],COUNTIF(INDEX(Tasks[_LeafCritical],Tasks[[#This Row],[_Row]]+1):INDEX(Tasks[_LeafCritical],Tasks[[#This Row],[_Row]]+Tasks[[#This Row],[_Descendants]]),TRUE())&gt;0,Tasks[[#This Row],[_LeafCritical]]),"Yes",""))</f>
        <v/>
      </c>
      <c r="Q8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84" s="67" t="str">
        <f aca="false">IF(Tasks[[#This Row],[Task Name]]="","",IF(Tasks[[#This Row],[_Level]]&lt;=OutlineShowLevel,"Yes","No"))</f>
        <v/>
      </c>
      <c r="S84" s="7"/>
      <c r="T84" s="21"/>
      <c r="U84" s="22"/>
      <c r="V84" s="7"/>
      <c r="W84" s="67" t="str">
        <f aca="false">IF(Tasks[[#This Row],[Task Name]]="","",IF(Tasks[[#This Row],[Finish]]&gt;=Tasks[[#This Row],[Planned Finish]],NETWORKDAYS.INTL(Tasks[[#This Row],[Planned Finish]],Tasks[[#This Row],[Finish]],WorkWeek,Holidays)-1,1-NETWORKDAYS.INTL(Tasks[[#This Row],[Finish]],Tasks[[#This Row],[Planned Finish]],WorkWeek,Holidays)))</f>
        <v/>
      </c>
      <c r="X84" s="58" t="str">
        <f aca="false">IF(Tasks[[#This Row],[Task Name]]="","",IF(N(Tasks[[#This Row],[Baseline Start]])&gt;0,Tasks[[#This Row],[Baseline Start]],Tasks[[#This Row],[_CalcStart]]))</f>
        <v/>
      </c>
      <c r="Y84" s="58" t="str">
        <f aca="false">IF(Tasks[[#This Row],[Task Name]]="","",IF(N(Tasks[[#This Row],[Baseline Finish]])&gt;0,Tasks[[#This Row],[Baseline Finish]],Tasks[[#This Row],[_CalcFinish]]))</f>
        <v/>
      </c>
      <c r="Z84" s="67" t="str">
        <f aca="false">IF(Tasks[[#This Row],[Task Name]]="","",IF(Tasks[[#This Row],[Start]]&gt;=Tasks[[#This Row],[Planned Start]],NETWORKDAYS.INTL(Tasks[[#This Row],[Planned Start]],Tasks[[#This Row],[Start]],WorkWeek,Holidays)-1,1-NETWORKDAYS.INTL(Tasks[[#This Row],[Start]],Tasks[[#This Row],[Planned Start]],WorkWeek,Holidays)))</f>
        <v/>
      </c>
      <c r="AA84" s="58" t="str">
        <f aca="false">IF(Tasks[[#This Row],[Task Name]]="","",IF(Tasks[[#This Row],[_IsSummary]],MIN(INDEX(Tasks[_LeafLateStart],Tasks[[#This Row],[_Row]]+1):INDEX(Tasks[_LeafLateStart],Tasks[[#This Row],[_Row]]+Tasks[[#This Row],[_Descendants]])),Tasks[[#This Row],[_LeafLateStart]]))</f>
        <v/>
      </c>
      <c r="AB84" s="58" t="str">
        <f aca="false">IF(Tasks[[#This Row],[Task Name]]="","",IF(Tasks[[#This Row],[_IsSummary]],MAX(INDEX(Tasks[_LeafLateFinish],Tasks[[#This Row],[_Row]]+1):INDEX(Tasks[_LeafLateFinish],Tasks[[#This Row],[_Row]]+Tasks[[#This Row],[_Descendants]])),Tasks[[#This Row],[_LeafLateFinish]]))</f>
        <v/>
      </c>
      <c r="AC84" s="67" t="str">
        <f aca="false">IF(Tasks[[#This Row],[Task Name]]="","",IF(Tasks[[#This Row],[_IsSummary]],MIN(INDEX(Tasks[_LeafTotalSlack],Tasks[[#This Row],[_Row]]+1):INDEX(Tasks[_LeafTotalSlack],Tasks[[#This Row],[_Row]]+Tasks[[#This Row],[_Descendants]])),Tasks[[#This Row],[_LeafTotalSlack]]))</f>
        <v/>
      </c>
      <c r="AD8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8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8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84" s="60"/>
      <c r="AH8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8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84" s="69" t="str">
        <f aca="false">IF(Tasks[[#This Row],[Task Name]]="","",IF(Tasks[[#This Row],[_IsSummary]],SUM(INDEX(Tasks[_LeafTotalWork],Tasks[[#This Row],[_Row]]+1):INDEX(Tasks[_LeafTotalWork],Tasks[[#This Row],[_Row]]+Tasks[[#This Row],[_Descendants]])),Tasks[[#This Row],[_LeafTotalWork]]))</f>
        <v/>
      </c>
      <c r="AK8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84" s="70" t="str">
        <f aca="false">IF(Tasks[[#This Row],[Task Name]]="","",IF(Tasks[[#This Row],[_IsSummary]],SUM(INDEX(Tasks[_LeafTotalCost],Tasks[[#This Row],[_Row]]+1):INDEX(Tasks[_LeafTotalCost],Tasks[[#This Row],[_Row]]+Tasks[[#This Row],[_Descendants]])),Tasks[[#This Row],[_LeafTotalCost]]))</f>
        <v/>
      </c>
      <c r="AM84" s="71"/>
      <c r="AN84" s="20" t="str">
        <f aca="false">IF(OR(Tasks[[#This Row],[Task Name]]="",Tasks[[#This Row],[Baseline Duration]]=""),"",Tasks[[#This Row],[BL Source Duration]]-N(Tasks[[#This Row],[Baseline Duration]]))</f>
        <v/>
      </c>
      <c r="AO84" s="69" t="str">
        <f aca="false">IF(OR(Tasks[[#This Row],[Task Name]]="",Tasks[[#This Row],[Baseline Work]]=""),"",Tasks[[#This Row],[Work]]-N(Tasks[[#This Row],[Baseline Work]]))</f>
        <v/>
      </c>
      <c r="AP84" s="70" t="str">
        <f aca="false">IF(OR(Tasks[[#This Row],[Task Name]]="",Tasks[[#This Row],[Baseline Cost]]=""),"",Tasks[[#This Row],[Cost]]-N(Tasks[[#This Row],[Baseline Cost]]))</f>
        <v/>
      </c>
      <c r="AQ84" s="58" t="str">
        <f aca="false">IF(Tasks[[#This Row],[Task Name]]="","",Tasks[[#This Row],[Start]])</f>
        <v/>
      </c>
      <c r="AR84" s="58" t="str">
        <f aca="false">IF(Tasks[[#This Row],[Task Name]]="","",Tasks[[#This Row],[Finish]])</f>
        <v/>
      </c>
      <c r="AS84" s="67" t="str">
        <f aca="false">IF(Tasks[[#This Row],[Task Name]]="","",IF(Tasks[[#This Row],[_IsSummary]],NETWORKDAYS.INTL(Tasks[[#This Row],[Start]],Tasks[[#This Row],[Finish]],WorkWeek,Holidays),N(Tasks[[#This Row],[Duration]])))</f>
        <v/>
      </c>
      <c r="AT84" s="69" t="str">
        <f aca="false">IF(Tasks[[#This Row],[Task Name]]="","",Tasks[[#This Row],[Work]])</f>
        <v/>
      </c>
      <c r="AU84" s="70" t="str">
        <f aca="false">IF(Tasks[[#This Row],[Task Name]]="","",Tasks[[#This Row],[Cost]])</f>
        <v/>
      </c>
      <c r="AV84" s="7"/>
      <c r="AW84" s="7"/>
      <c r="AX84" s="21"/>
      <c r="AY84" s="72"/>
      <c r="AZ84" s="71"/>
      <c r="BA84" s="70" t="str">
        <f aca="false">IF(Tasks[[#This Row],[Task Name]]="","",IF(Tasks[[#This Row],[_IsSummary]],SUM(INDEX(Tasks[_LeafEV],Tasks[[#This Row],[_Row]]+1):INDEX(Tasks[_LeafEV],Tasks[[#This Row],[_Row]]+Tasks[[#This Row],[_Descendants]])),Tasks[[#This Row],[_LeafEV]]))</f>
        <v/>
      </c>
      <c r="BB84" s="70" t="str">
        <f aca="false">IF(Tasks[[#This Row],[Task Name]]="","",IF(Tasks[[#This Row],[_IsSummary]],SUM(INDEX(Tasks[_LeafBudget],Tasks[[#This Row],[_Row]]+1):INDEX(Tasks[_LeafBudget],Tasks[[#This Row],[_Row]]+Tasks[[#This Row],[_Descendants]])),Tasks[[#This Row],[_LeafBudget]]))</f>
        <v/>
      </c>
      <c r="BC84" s="70" t="str">
        <f aca="false">IF(Tasks[[#This Row],[Task Name]]="","",IF(Tasks[[#This Row],[_IsSummary]],SUM(INDEX(Tasks[_LeafPV],Tasks[[#This Row],[_Row]]+1):INDEX(Tasks[_LeafPV],Tasks[[#This Row],[_Row]]+Tasks[[#This Row],[_Descendants]])),Tasks[[#This Row],[_LeafPV]]))</f>
        <v/>
      </c>
      <c r="BD84" s="70" t="str">
        <f aca="false">IF(Tasks[[#This Row],[Task Name]]="","",IF(Tasks[[#This Row],[_IsSummary]],SUM(INDEX(Tasks[_LeafAC],Tasks[[#This Row],[_Row]]+1):INDEX(Tasks[_LeafAC],Tasks[[#This Row],[_Row]]+Tasks[[#This Row],[_Descendants]])),Tasks[[#This Row],[_LeafAC]]))</f>
        <v/>
      </c>
      <c r="BE84" s="45" t="str">
        <f aca="false">IF(Tasks[[#This Row],[Task Name]]="","",MAX(1,N(Tasks[[#This Row],[Level]])))</f>
        <v/>
      </c>
      <c r="BF84" s="45" t="n">
        <f aca="false">ROW()-ROW(Tasks[[#Headers],[ID]])</f>
        <v>79</v>
      </c>
      <c r="BG84" s="45" t="n">
        <f aca="false">IF(OR(Tasks[[#This Row],[Task Name]]="",Tasks[[#This Row],[_Level]]&lt;=1),0,IFERROR(LOOKUP(2,1/(Tasks[[#Headers],[_Level]]:Tasks[[#This Row],[_Level]]=Tasks[[#This Row],[_Level]]-1),ROW(Tasks[[#Headers],[_Level]]:Tasks[[#This Row],[_Level]])),0))</f>
        <v>0</v>
      </c>
      <c r="BH84" s="45" t="n">
        <f aca="false">IFERROR(N(INDEX(Tasks[_Level],Tasks[[#This Row],[_Row]]+1)),0)</f>
        <v>0</v>
      </c>
      <c r="BI84" s="73" t="b">
        <f aca="false">AND(Tasks[[#This Row],[Task Name]]&lt;&gt;"",Tasks[[#This Row],[_NextLevel]]&gt;Tasks[[#This Row],[_Level]])</f>
        <v>0</v>
      </c>
      <c r="BJ84" s="45" t="n">
        <f aca="false">IF(Tasks[[#This Row],[_IsSummary]],COUNTIF(Tasks[WBS],Tasks[[#This Row],[WBS]]&amp;".*"),0)</f>
        <v>0</v>
      </c>
      <c r="BK84" s="45" t="n">
        <f aca="false">IF(AND(Tasks[[#This Row],[Task Name]]&lt;&gt;"",NOT(Tasks[[#This Row],[_IsSummary]])),1,0)</f>
        <v>0</v>
      </c>
      <c r="BL84" s="45" t="n">
        <f aca="false">IF(N(Tasks[[#This Row],[_Pred1UID]])=0,0,IFERROR(MATCH(Tasks[[#This Row],[_Pred1UID]],Tasks[UID],0),-1))</f>
        <v>0</v>
      </c>
      <c r="BM84" s="45" t="n">
        <f aca="false">IF(N(Tasks[[#This Row],[_Pred2UID]])=0,0,IFERROR(MATCH(Tasks[[#This Row],[_Pred2UID]],Tasks[UID],0),-1))</f>
        <v>0</v>
      </c>
      <c r="BN84" s="45" t="n">
        <f aca="false">IF(N(Tasks[[#This Row],[_Pred3UID]])=0,0,IFERROR(MATCH(Tasks[[#This Row],[_Pred3UID]],Tasks[UID],0),-1))</f>
        <v>0</v>
      </c>
      <c r="BO84" s="45" t="n">
        <f aca="false">IF(N(Tasks[[#This Row],[_Pred4UID]])=0,0,IFERROR(MATCH(Tasks[[#This Row],[_Pred4UID]],Tasks[UID],0),-1))</f>
        <v>0</v>
      </c>
      <c r="BP8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8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84" s="74" t="n">
        <f aca="false">IF(OR(Tasks[[#This Row],[_ConstraintCode]]=2,Tasks[[#This Row],[_ConstraintCode]]=3,Tasks[[#This Row],[_ConstraintCode]]=4,Tasks[[#This Row],[_ConstraintCode]]=6),Tasks[[#This Row],[_ConstraintStart]],0)</f>
        <v>0</v>
      </c>
      <c r="BS84" s="74" t="n">
        <f aca="false">IF(OR(Tasks[[#This Row],[_ConstraintCode]]=2,Tasks[[#This Row],[_ConstraintCode]]=3,Tasks[[#This Row],[_ConstraintCode]]=5,Tasks[[#This Row],[_ConstraintCode]]=7),Tasks[[#This Row],[_ConstraintStart]],2958465)</f>
        <v>2958465</v>
      </c>
      <c r="BT8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84" s="74" t="str">
        <f aca="false">IF(NOT(Tasks[[#This Row],[_IsLeaf]]=1),"",IF(N(Tasks[[#This Row],[Duration]])&lt;=0,Tasks[[#This Row],[_LeafCalcStart]],WORKDAY.INTL(Tasks[[#This Row],[_LeafCalcStart]],Tasks[[#This Row],[Duration]]-1,WorkWeek,Holidays)))</f>
        <v/>
      </c>
      <c r="BV8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8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84" s="45" t="str">
        <f aca="false">IF(Tasks[[#This Row],[Predecessors]]="","",TRIM(MID(SUBSTITUTE(SUBSTITUTE(SUBSTITUTE(UPPER(Tasks[[#This Row],[Predecessors]]),";",",")," ",""),",",REPT(" ",99)),1,99)))</f>
        <v/>
      </c>
      <c r="BY84" s="45" t="str">
        <f aca="false">IF(Tasks[[#This Row],[_Pred1Text]]="","",IFERROR(VALUE(LEFT(Tasks[[#This Row],[_Pred1Text]],MIN(FIND("F",Tasks[[#This Row],[_Pred1Text]]&amp;"F"),FIND("S",Tasks[[#This Row],[_Pred1Text]]&amp;"S"),FIND("+",Tasks[[#This Row],[_Pred1Text]]&amp;"+"),FIND("-",Tasks[[#This Row],[_Pred1Text]]&amp;"-"))-1)),""))</f>
        <v/>
      </c>
      <c r="BZ8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8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84" s="45" t="str">
        <f aca="false">IF(Tasks[[#This Row],[_Pred1Text]]="","",TRIM(MID(SUBSTITUTE(SUBSTITUTE(SUBSTITUTE(UPPER(Tasks[[#This Row],[Predecessors]]),";",",")," ",""),",",REPT(" ",99)),100,99)))</f>
        <v/>
      </c>
      <c r="CC84" s="45" t="str">
        <f aca="false">IF(Tasks[[#This Row],[_Pred2Text]]="","",IFERROR(VALUE(LEFT(Tasks[[#This Row],[_Pred2Text]],MIN(FIND("F",Tasks[[#This Row],[_Pred2Text]]&amp;"F"),FIND("S",Tasks[[#This Row],[_Pred2Text]]&amp;"S"),FIND("+",Tasks[[#This Row],[_Pred2Text]]&amp;"+"),FIND("-",Tasks[[#This Row],[_Pred2Text]]&amp;"-"))-1)),""))</f>
        <v/>
      </c>
      <c r="CD8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8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84" s="45" t="str">
        <f aca="false">IF(Tasks[[#This Row],[_Pred2Text]]="","",TRIM(MID(SUBSTITUTE(SUBSTITUTE(SUBSTITUTE(UPPER(Tasks[[#This Row],[Predecessors]]),";",",")," ",""),",",REPT(" ",99)),199,99)))</f>
        <v/>
      </c>
      <c r="CG84" s="45" t="str">
        <f aca="false">IF(Tasks[[#This Row],[_Pred3Text]]="","",IFERROR(VALUE(LEFT(Tasks[[#This Row],[_Pred3Text]],MIN(FIND("F",Tasks[[#This Row],[_Pred3Text]]&amp;"F"),FIND("S",Tasks[[#This Row],[_Pred3Text]]&amp;"S"),FIND("+",Tasks[[#This Row],[_Pred3Text]]&amp;"+"),FIND("-",Tasks[[#This Row],[_Pred3Text]]&amp;"-"))-1)),""))</f>
        <v/>
      </c>
      <c r="CH8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8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84" s="45" t="str">
        <f aca="false">IF(Tasks[[#This Row],[_Pred3Text]]="","",TRIM(MID(SUBSTITUTE(SUBSTITUTE(SUBSTITUTE(UPPER(Tasks[[#This Row],[Predecessors]]),";",",")," ",""),",",REPT(" ",99)),298,99)))</f>
        <v/>
      </c>
      <c r="CK84" s="45" t="str">
        <f aca="false">IF(Tasks[[#This Row],[_Pred4Text]]="","",IFERROR(VALUE(LEFT(Tasks[[#This Row],[_Pred4Text]],MIN(FIND("F",Tasks[[#This Row],[_Pred4Text]]&amp;"F"),FIND("S",Tasks[[#This Row],[_Pred4Text]]&amp;"S"),FIND("+",Tasks[[#This Row],[_Pred4Text]]&amp;"+"),FIND("-",Tasks[[#This Row],[_Pred4Text]]&amp;"-"))-1)),""))</f>
        <v/>
      </c>
      <c r="CL8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8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84" s="45" t="str">
        <f aca="false">IF(OR(Tasks[[#This Row],[Task Name]]="",Tasks[[#This Row],[Resources]]=""),"",TRIM(MID(SUBSTITUTE(Tasks[[#This Row],[Resources]],",",REPT(" ",99)),1,99)))</f>
        <v/>
      </c>
      <c r="CO84" s="45" t="str">
        <f aca="false">IF(Tasks[[#This Row],[_Res1Text]]="","",TRIM(MID(SUBSTITUTE(Tasks[[#This Row],[Resources]],",",REPT(" ",99)),100,99)))</f>
        <v/>
      </c>
      <c r="CP84" s="45" t="str">
        <f aca="false">IF(Tasks[[#This Row],[_Res2Text]]="","",TRIM(MID(SUBSTITUTE(Tasks[[#This Row],[Resources]],",",REPT(" ",99)),199,99)))</f>
        <v/>
      </c>
      <c r="CQ84" s="45" t="str">
        <f aca="false">IF(Tasks[[#This Row],[_Res3Text]]="","",TRIM(MID(SUBSTITUTE(Tasks[[#This Row],[Resources]],",",REPT(" ",99)),298,99)))</f>
        <v/>
      </c>
      <c r="CR8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8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4" s="45" t="n">
        <f aca="false">IF(NOT(Tasks[[#This Row],[_IsLeaf]]=1),0,(Tasks[[#This Row],[_Resource1]]&lt;&gt;"")+(Tasks[[#This Row],[_Res2]]&lt;&gt;"")+(Tasks[[#This Row],[_Res3]]&lt;&gt;"")+(Tasks[[#This Row],[_Res4]]&lt;&gt;""))</f>
        <v>0</v>
      </c>
      <c r="CU8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8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4" s="45" t="n">
        <f aca="false">IF(OR(NOT(Tasks[[#This Row],[_IsLeaf]]=1),Tasks[[#This Row],[_Res2]]=""),0,IF(ISNA(MATCH(Tasks[[#This Row],[_Res2]],res_Name,0)),0,N(Tasks[[#This Row],[Duration]])*HoursPerDay*IF(Tasks[[#This Row],[_Res2Units]]="",DefaultUnits,Tasks[[#This Row],[_Res2Units]])))</f>
        <v>0</v>
      </c>
      <c r="CX84" s="45" t="n">
        <f aca="false">IF(Tasks[[#This Row],[_Res2Work]]=0,0,Tasks[[#This Row],[_Res2Work]]*IFERROR(INDEX(res_Rate,MATCH(Tasks[[#This Row],[_Res2]],res_Name,0)),0))</f>
        <v>0</v>
      </c>
      <c r="CY84" s="45" t="n">
        <f aca="false">IF(AND(AND(Tasks[[#This Row],[_IsLeaf]]=1,Tasks[[#This Row],[_LeafTotalWork]]&gt;0),Tasks[[#This Row],[_Res2Work]]&gt;0),Tasks[[#This Row],[_Res2Work]]/(Tasks[[#This Row],[_FinishWorkday]]-Tasks[[#This Row],[_StartWorkday]]+1),0)</f>
        <v>0</v>
      </c>
      <c r="CZ84" s="45" t="n">
        <f aca="false">Tasks[[#This Row],[_Res2WorkPerWD]]*MAX(0,Tasks[[#This Row],[_StartWorkday]]-1)</f>
        <v>0</v>
      </c>
      <c r="DA84" s="45" t="n">
        <f aca="false">Tasks[[#This Row],[_Res2Work]]*Tasks[[#This Row],[_LeafProgress]]</f>
        <v>0</v>
      </c>
      <c r="DB84" s="45" t="n">
        <f aca="false">IF(Tasks[[#This Row],[_LeafTotalCost]]=0,0,Tasks[[#This Row],[_LeafAC]]*Tasks[[#This Row],[_Res2Cost]]/Tasks[[#This Row],[_LeafTotalCost]])</f>
        <v>0</v>
      </c>
      <c r="DC8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8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84" s="45" t="n">
        <f aca="false">IF(OR(NOT(Tasks[[#This Row],[_IsLeaf]]=1),Tasks[[#This Row],[_Res3]]=""),0,IF(ISNA(MATCH(Tasks[[#This Row],[_Res3]],res_Name,0)),0,N(Tasks[[#This Row],[Duration]])*HoursPerDay*IF(Tasks[[#This Row],[_Res3Units]]="",DefaultUnits,Tasks[[#This Row],[_Res3Units]])))</f>
        <v>0</v>
      </c>
      <c r="DF84" s="45" t="n">
        <f aca="false">IF(Tasks[[#This Row],[_Res3Work]]=0,0,Tasks[[#This Row],[_Res3Work]]*IFERROR(INDEX(res_Rate,MATCH(Tasks[[#This Row],[_Res3]],res_Name,0)),0))</f>
        <v>0</v>
      </c>
      <c r="DG84" s="45" t="n">
        <f aca="false">IF(AND(AND(Tasks[[#This Row],[_IsLeaf]]=1,Tasks[[#This Row],[_LeafTotalWork]]&gt;0),Tasks[[#This Row],[_Res3Work]]&gt;0),Tasks[[#This Row],[_Res3Work]]/(Tasks[[#This Row],[_FinishWorkday]]-Tasks[[#This Row],[_StartWorkday]]+1),0)</f>
        <v>0</v>
      </c>
      <c r="DH84" s="45" t="n">
        <f aca="false">Tasks[[#This Row],[_Res3WorkPerWD]]*MAX(0,Tasks[[#This Row],[_StartWorkday]]-1)</f>
        <v>0</v>
      </c>
      <c r="DI84" s="45" t="n">
        <f aca="false">Tasks[[#This Row],[_Res3Work]]*Tasks[[#This Row],[_LeafProgress]]</f>
        <v>0</v>
      </c>
      <c r="DJ84" s="45" t="n">
        <f aca="false">IF(Tasks[[#This Row],[_LeafTotalCost]]=0,0,Tasks[[#This Row],[_LeafAC]]*Tasks[[#This Row],[_Res3Cost]]/Tasks[[#This Row],[_LeafTotalCost]])</f>
        <v>0</v>
      </c>
      <c r="DK8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8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84" s="45" t="n">
        <f aca="false">IF(OR(NOT(Tasks[[#This Row],[_IsLeaf]]=1),Tasks[[#This Row],[_Res4]]=""),0,IF(ISNA(MATCH(Tasks[[#This Row],[_Res4]],res_Name,0)),0,N(Tasks[[#This Row],[Duration]])*HoursPerDay*IF(Tasks[[#This Row],[_Res4Units]]="",DefaultUnits,Tasks[[#This Row],[_Res4Units]])))</f>
        <v>0</v>
      </c>
      <c r="DN84" s="45" t="n">
        <f aca="false">IF(Tasks[[#This Row],[_Res4Work]]=0,0,Tasks[[#This Row],[_Res4Work]]*IFERROR(INDEX(res_Rate,MATCH(Tasks[[#This Row],[_Res4]],res_Name,0)),0))</f>
        <v>0</v>
      </c>
      <c r="DO84" s="45" t="n">
        <f aca="false">IF(AND(AND(Tasks[[#This Row],[_IsLeaf]]=1,Tasks[[#This Row],[_LeafTotalWork]]&gt;0),Tasks[[#This Row],[_Res4Work]]&gt;0),Tasks[[#This Row],[_Res4Work]]/(Tasks[[#This Row],[_FinishWorkday]]-Tasks[[#This Row],[_StartWorkday]]+1),0)</f>
        <v>0</v>
      </c>
      <c r="DP84" s="45" t="n">
        <f aca="false">Tasks[[#This Row],[_Res4WorkPerWD]]*MAX(0,Tasks[[#This Row],[_StartWorkday]]-1)</f>
        <v>0</v>
      </c>
      <c r="DQ84" s="45" t="n">
        <f aca="false">Tasks[[#This Row],[_Res4Work]]*Tasks[[#This Row],[_LeafProgress]]</f>
        <v>0</v>
      </c>
      <c r="DR84" s="45" t="n">
        <f aca="false">IF(Tasks[[#This Row],[_LeafTotalCost]]=0,0,Tasks[[#This Row],[_LeafAC]]*Tasks[[#This Row],[_Res4Cost]]/Tasks[[#This Row],[_LeafTotalCost]])</f>
        <v>0</v>
      </c>
      <c r="DS84" s="45" t="n">
        <f aca="false">IF(ISNUMBER(Tasks[[#This Row],[% Complete]]),Tasks[[#This Row],[% Complete]],IF(Tasks[[#This Row],[Stage]]="",0,IFERROR(INDEX(stg_Pct,MATCH(Tasks[[#This Row],[Stage]],stg_Name,0)),0)))</f>
        <v>0</v>
      </c>
      <c r="DT84" s="45" t="n">
        <f aca="false">IF(NOT(Tasks[[#This Row],[_IsLeaf]]=1),0,IF(N(Tasks[[#This Row],[Actual Finish]])&gt;0,1,MIN(1,Tasks[[#This Row],[_Pct]])))</f>
        <v>0</v>
      </c>
      <c r="DU84" s="45" t="n">
        <f aca="false">IF(OR(NOT(Tasks[[#This Row],[_IsLeaf]]=1),Tasks[[#This Row],[_Resource1]]=""),0,IF(ISNA(MATCH(Tasks[[#This Row],[_Resource1]],res_Name,0)),0,N(Tasks[[#This Row],[Duration]])*HoursPerDay*IF(Tasks[[#This Row],[_Units1]]="",DefaultUnits,Tasks[[#This Row],[_Units1]])))</f>
        <v>0</v>
      </c>
      <c r="DV84" s="45" t="n">
        <f aca="false">IF(Tasks[[#This Row],[_LeafWork]]=0,0,Tasks[[#This Row],[_LeafWork]]*IFERROR(INDEX(res_Rate,MATCH(Tasks[[#This Row],[_Resource1]],res_Name,0)),0))</f>
        <v>0</v>
      </c>
      <c r="DW84" s="45" t="n">
        <f aca="false">Tasks[[#This Row],[_LeafWork]]+Tasks[[#This Row],[_Res2Work]]+Tasks[[#This Row],[_Res3Work]]+Tasks[[#This Row],[_Res4Work]]</f>
        <v>0</v>
      </c>
      <c r="DX84" s="45" t="n">
        <f aca="false">Tasks[[#This Row],[_LeafCost]]+Tasks[[#This Row],[_Res2Cost]]+Tasks[[#This Row],[_Res3Cost]]+Tasks[[#This Row],[_Res4Cost]]</f>
        <v>0</v>
      </c>
      <c r="DY84" s="45" t="n">
        <f aca="false">IF(Tasks[[#This Row],[_LeafTotalCost]]=0,Tasks[[#This Row],[_LeafAC]],Tasks[[#This Row],[_LeafAC]]*Tasks[[#This Row],[_LeafCost]]/Tasks[[#This Row],[_LeafTotalCost]])</f>
        <v>0</v>
      </c>
      <c r="DZ8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8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8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8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8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8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8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8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84" s="45" t="n">
        <f aca="false">IF(NOT(Tasks[[#This Row],[_IsLeaf]]=1),0,MAX(_xlfn.MAXIFS(Tasks[_Row],Tasks[_Pred1UID],Tasks[[#This Row],[UID]]),_xlfn.MAXIFS(Tasks[_Row],Tasks[_Pred2UID],Tasks[[#This Row],[UID]]),_xlfn.MAXIFS(Tasks[_Row],Tasks[_Pred3UID],Tasks[[#This Row],[UID]]),_xlfn.MAXIFS(Tasks[_Row],Tasks[_Pred4UID],Tasks[[#This Row],[UID]])))</f>
        <v>0</v>
      </c>
      <c r="EI8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8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84" s="74" t="str">
        <f aca="false">IF(NOT(Tasks[[#This Row],[_IsLeaf]]=1),"",IF(N(Tasks[[#This Row],[Duration]])&lt;=0,Tasks[[#This Row],[_LeafLateFinish]],WORKDAY.INTL(Tasks[[#This Row],[_LeafLateFinish]],-(Tasks[[#This Row],[Duration]]-1),WorkWeek,Holidays)))</f>
        <v/>
      </c>
      <c r="EL8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84" s="73" t="b">
        <f aca="false">AND(Tasks[[#This Row],[_IsLeaf]]=1,Tasks[[#This Row],[_LeafProgress]]&lt;1,N(Tasks[[#This Row],[_LeafTotalSlack]])&lt;=CriticalSlackDays)</f>
        <v>0</v>
      </c>
      <c r="EN84" s="45" t="n">
        <f aca="false">IF(AND(Tasks[[#This Row],[_IsLeaf]]=1,Tasks[[#This Row],[_ConstraintCode]]=1,Tasks[[#This Row],[Mode]]&lt;&gt;"Manual",N(Tasks[[#This Row],[Actual Start]])=0),MAX(0,N(Tasks[[#This Row],[Free Slack]])),0)</f>
        <v>0</v>
      </c>
      <c r="EO84" s="74" t="str">
        <f aca="false">IF(NOT(Tasks[[#This Row],[_IsLeaf]]=1),"",IF(Tasks[[#This Row],[_AlapShift]]=0,Tasks[[#This Row],[_LeafCalcStart]],WORKDAY.INTL(Tasks[[#This Row],[_LeafCalcStart]],Tasks[[#This Row],[_AlapShift]],WorkWeek,Holidays)))</f>
        <v/>
      </c>
      <c r="EP84" s="74" t="str">
        <f aca="false">IF(NOT(Tasks[[#This Row],[_IsLeaf]]=1),"",IF(Tasks[[#This Row],[_AlapShift]]=0,Tasks[[#This Row],[_LeafCalcFinish]],WORKDAY.INTL(Tasks[[#This Row],[_LeafCalcFinish]],Tasks[[#This Row],[_AlapShift]],WorkWeek,Holidays)))</f>
        <v/>
      </c>
      <c r="EQ84" s="74" t="str">
        <f aca="false">IF(NOT(Tasks[[#This Row],[_IsLeaf]]=1),"",IF(Tasks[[#This Row],[_AlapShift]]=0,Tasks[[#This Row],[_LeafFcstStart]],WORKDAY.INTL(Tasks[[#This Row],[_LeafFcstStart]],Tasks[[#This Row],[_AlapShift]],WorkWeek,Holidays)))</f>
        <v/>
      </c>
      <c r="ER84" s="74" t="str">
        <f aca="false">IF(NOT(Tasks[[#This Row],[_IsLeaf]]=1),"",IF(Tasks[[#This Row],[_AlapShift]]=0,Tasks[[#This Row],[_LeafFcstFinish]],WORKDAY.INTL(Tasks[[#This Row],[_LeafFcstFinish]],Tasks[[#This Row],[_AlapShift]],WorkWeek,Holidays)))</f>
        <v/>
      </c>
      <c r="ES84" s="74" t="str">
        <f aca="false">IF(Tasks[[#This Row],[Task Name]]="","",IF(Tasks[[#This Row],[_IsSummary]],MIN(INDEX(Tasks[_ShownCalcStart],Tasks[[#This Row],[_Row]]+1):INDEX(Tasks[_ShownCalcStart],Tasks[[#This Row],[_Row]]+Tasks[[#This Row],[_Descendants]])),Tasks[[#This Row],[_ShownCalcStart]]))</f>
        <v/>
      </c>
      <c r="ET84" s="74" t="str">
        <f aca="false">IF(Tasks[[#This Row],[Task Name]]="","",IF(Tasks[[#This Row],[_IsSummary]],MAX(INDEX(Tasks[_ShownCalcFinish],Tasks[[#This Row],[_Row]]+1):INDEX(Tasks[_ShownCalcFinish],Tasks[[#This Row],[_Row]]+Tasks[[#This Row],[_Descendants]])),Tasks[[#This Row],[_ShownCalcFinish]]))</f>
        <v/>
      </c>
      <c r="EU8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8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8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8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8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8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8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8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8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8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8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8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84" s="45" t="n">
        <f aca="false">IF(AND(Tasks[[#This Row],[_IsLeaf]]=1,Tasks[[#This Row],[_LeafTotalWork]]&gt;0),NETWORKDAYS.INTL(ProjectStart,Tasks[[#This Row],[_ShownFcstStart]],WorkWeek,Holidays),0)</f>
        <v>0</v>
      </c>
      <c r="FH84" s="45" t="n">
        <f aca="false">IF(AND(Tasks[[#This Row],[_IsLeaf]]=1,Tasks[[#This Row],[_LeafTotalWork]]&gt;0),MAX(Tasks[[#This Row],[_StartWorkday]],NETWORKDAYS.INTL(ProjectStart,Tasks[[#This Row],[_ShownFcstFinish]],WorkWeek,Holidays)),0)</f>
        <v>0</v>
      </c>
      <c r="FI84" s="45" t="n">
        <f aca="false">IF(AND(Tasks[[#This Row],[_IsLeaf]]=1,Tasks[[#This Row],[_LeafTotalWork]]&gt;0),Tasks[[#This Row],[_LeafWork]]/(Tasks[[#This Row],[_FinishWorkday]]-Tasks[[#This Row],[_StartWorkday]]+1),0)</f>
        <v>0</v>
      </c>
      <c r="FJ84" s="45" t="n">
        <f aca="false">Tasks[[#This Row],[_WorkPerWorkday]]*(Tasks[[#This Row],[_StartWorkday]]-1)</f>
        <v>-0</v>
      </c>
      <c r="FK84" s="45" t="n">
        <f aca="false">IF(Tasks[[#This Row],[_IsLeaf]]=1,MAX(N(Tasks[[#This Row],[Duration]]),0.1),0)</f>
        <v>0</v>
      </c>
      <c r="FL84" s="45" t="n">
        <f aca="false">Tasks[[#This Row],[_WeightDur]]*Tasks[[#This Row],[_LeafProgress]]</f>
        <v>0</v>
      </c>
      <c r="FM8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84" s="45" t="str">
        <f aca="false">IF(AND(Tasks[[#This Row],[_IsLeaf]]=1,N(Tasks[[#This Row],[Duration]])=0,Tasks[[#This Row],[_LeafProgress]]&lt;1),Tasks[[#This Row],[_ShownFcstFinish]]+Tasks[[#This Row],[_Row]]/100000,"")</f>
        <v/>
      </c>
      <c r="FO8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84" s="45" t="n">
        <f aca="false">IF(NOT(Tasks[[#This Row],[_IsLeaf]]=1),0,IF(Tasks[[#This Row],[Baseline Cost]]="",Tasks[[#This Row],[_LeafTotalCost]],N(Tasks[[#This Row],[Baseline Cost]])))</f>
        <v>0</v>
      </c>
      <c r="FQ84" s="45" t="n">
        <f aca="false">Tasks[[#This Row],[_LeafBudget]]*Tasks[[#This Row],[_PlannedPct]]</f>
        <v>0</v>
      </c>
      <c r="FR84" s="45" t="n">
        <f aca="false">Tasks[[#This Row],[_LeafBudget]]*Tasks[[#This Row],[_LeafProgress]]</f>
        <v>0</v>
      </c>
      <c r="FS84" s="45" t="n">
        <f aca="false">IF(NOT(Tasks[[#This Row],[_IsLeaf]]=1),0,IF(Tasks[[#This Row],[Actual Cost]]="",Tasks[[#This Row],[_LeafTotalCost]]*Tasks[[#This Row],[_LeafProgress]],N(Tasks[[#This Row],[Actual Cost]])))</f>
        <v>0</v>
      </c>
      <c r="FT84" s="45" t="str">
        <f aca="false">IF(Tasks[[#This Row],[Task Name]]="","",LEFT(Tasks[[#This Row],[WBS]],FIND(".",Tasks[[#This Row],[WBS]]&amp;".")-1))</f>
        <v/>
      </c>
      <c r="FU84" s="45" t="str">
        <f aca="false">IF(AND(Tasks[[#This Row],[Task Name]]&lt;&gt;"",Tasks[[#This Row],[_Level]]=1),Tasks[[#This Row],[_Row]],"")</f>
        <v/>
      </c>
      <c r="FV84" s="45" t="str">
        <f aca="false">IF(AND(Tasks[[#This Row],[_IsLeaf]]=1,N(Tasks[[#This Row],[Duration]])=0),Tasks[[#This Row],[Planned Finish]]+Tasks[[#This Row],[_Row]]/100000,"")</f>
        <v/>
      </c>
      <c r="FW84" s="45" t="str">
        <f aca="false">IF(AND(Tasks[[#This Row],[_IsLeaf]]=1,Tasks[[#This Row],[_LeafProgress]]&lt;1,OR(N(Tasks[[#This Row],[Finish Var]])&gt;0,Tasks[[#This Row],[Status]]="Late Start")),MAX(0,Tasks[[#This Row],[Finish Var]])+1-Tasks[[#This Row],[_Row]]/1000000,"")</f>
        <v/>
      </c>
      <c r="FX84" s="45" t="str">
        <f aca="false">IF(AND(Tasks[[#This Row],[_IsLeaf]]=1,N(Tasks[[#This Row],[Actual Start]])=0,Tasks[[#This Row],[_ShownFcstStart]]&gt;=StatusDate,Tasks[[#This Row],[_ShownFcstStart]]&lt;=LookaheadEnd),Tasks[[#This Row],[_ShownFcstStart]]+Tasks[[#This Row],[_Row]]/100000,"")</f>
        <v/>
      </c>
      <c r="FY84" s="45" t="str">
        <f aca="false">IF(AND(Tasks[[#This Row],[_IsLeaf]]=1,Tasks[[#This Row],[_LeafProgress]]&lt;1,Tasks[[#This Row],[_ShownFcstFinish]]&gt;=StatusDate,Tasks[[#This Row],[_ShownFcstFinish]]&lt;=LookaheadEnd),Tasks[[#This Row],[_ShownFcstFinish]]+Tasks[[#This Row],[_Row]]/100000,"")</f>
        <v/>
      </c>
      <c r="FZ84" s="45" t="str">
        <f aca="false">IF(Tasks[[#This Row],[_LeafCritical]],Tasks[[#This Row],[_ShownFcstStart]]+Tasks[[#This Row],[_Row]]/100000,"")</f>
        <v/>
      </c>
      <c r="GA84" s="45" t="n">
        <f aca="false">Tasks[[#This Row],[_LeafWork]]*Tasks[[#This Row],[_LeafProgress]]</f>
        <v>0</v>
      </c>
      <c r="GB84" s="74" t="str">
        <f aca="false">IF(AND(Tasks[[#This Row],[_IsLeaf]]=1,Tasks[[#This Row],[_LeafProgress]]&gt;=1),IF(N(Tasks[[#This Row],[Actual Finish]])&gt;0,Tasks[[#This Row],[Actual Finish]],Tasks[[#This Row],[_ShownFcstFinish]]),"")</f>
        <v/>
      </c>
    </row>
    <row r="85" customFormat="false" ht="15" hidden="false" customHeight="false" outlineLevel="0" collapsed="false">
      <c r="A85" s="67" t="str">
        <f aca="false">IF(Tasks[[#This Row],[Task Name]]="","",COUNTA(Tasks[[#Headers],[Task Name]]:Tasks[[#This Row],[Task Name]])-1)</f>
        <v/>
      </c>
      <c r="B85" s="21" t="n">
        <v>80</v>
      </c>
      <c r="C8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21"/>
      <c r="E85" s="22"/>
      <c r="F85" s="21"/>
      <c r="G85" s="22"/>
      <c r="H85" s="22"/>
      <c r="I85" s="22"/>
      <c r="J85" s="7"/>
      <c r="K85" s="7"/>
      <c r="L85" s="22"/>
      <c r="M85" s="58" t="str">
        <f aca="false">IF(Tasks[[#This Row],[Task Name]]="","",IF(Tasks[[#This Row],[_IsSummary]],MIN(INDEX(Tasks[_ShownFcstStart],Tasks[[#This Row],[_Row]]+1):INDEX(Tasks[_ShownFcstStart],Tasks[[#This Row],[_Row]]+Tasks[[#This Row],[_Descendants]])),Tasks[[#This Row],[_ShownFcstStart]]))</f>
        <v/>
      </c>
      <c r="N85" s="58" t="str">
        <f aca="false">IF(Tasks[[#This Row],[Task Name]]="","",IF(Tasks[[#This Row],[_IsSummary]],MAX(INDEX(Tasks[_ShownFcstFinish],Tasks[[#This Row],[_Row]]+1):INDEX(Tasks[_ShownFcstFinish],Tasks[[#This Row],[_Row]]+Tasks[[#This Row],[_Descendants]])),Tasks[[#This Row],[_ShownFcstFinish]]))</f>
        <v/>
      </c>
      <c r="O85" s="20" t="str">
        <f aca="false">IF(Tasks[[#This Row],[Task Name]]="","",IF(Tasks[[#This Row],[Progress]]&gt;=1,"Complete",IF(OR(N(Tasks[[#This Row],[Actual Start]])&gt;0,Tasks[[#This Row],[Progress]]&gt;0),IF(Tasks[[#This Row],[Finish Var]]&gt;0,"Behind","In Progress"),IF(Tasks[[#This Row],[Planned Start]]&lt;StatusDate,"Late Start","Not Started"))))</f>
        <v/>
      </c>
      <c r="P85" s="20" t="str">
        <f aca="false">IF(Tasks[[#This Row],[Task Name]]="","",IF(IF(Tasks[[#This Row],[_IsSummary]],COUNTIF(INDEX(Tasks[_LeafCritical],Tasks[[#This Row],[_Row]]+1):INDEX(Tasks[_LeafCritical],Tasks[[#This Row],[_Row]]+Tasks[[#This Row],[_Descendants]]),TRUE())&gt;0,Tasks[[#This Row],[_LeafCritical]]),"Yes",""))</f>
        <v/>
      </c>
      <c r="Q8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85" s="67" t="str">
        <f aca="false">IF(Tasks[[#This Row],[Task Name]]="","",IF(Tasks[[#This Row],[_Level]]&lt;=OutlineShowLevel,"Yes","No"))</f>
        <v/>
      </c>
      <c r="S85" s="7"/>
      <c r="T85" s="21"/>
      <c r="U85" s="22"/>
      <c r="V85" s="7"/>
      <c r="W85" s="67" t="str">
        <f aca="false">IF(Tasks[[#This Row],[Task Name]]="","",IF(Tasks[[#This Row],[Finish]]&gt;=Tasks[[#This Row],[Planned Finish]],NETWORKDAYS.INTL(Tasks[[#This Row],[Planned Finish]],Tasks[[#This Row],[Finish]],WorkWeek,Holidays)-1,1-NETWORKDAYS.INTL(Tasks[[#This Row],[Finish]],Tasks[[#This Row],[Planned Finish]],WorkWeek,Holidays)))</f>
        <v/>
      </c>
      <c r="X85" s="58" t="str">
        <f aca="false">IF(Tasks[[#This Row],[Task Name]]="","",IF(N(Tasks[[#This Row],[Baseline Start]])&gt;0,Tasks[[#This Row],[Baseline Start]],Tasks[[#This Row],[_CalcStart]]))</f>
        <v/>
      </c>
      <c r="Y85" s="58" t="str">
        <f aca="false">IF(Tasks[[#This Row],[Task Name]]="","",IF(N(Tasks[[#This Row],[Baseline Finish]])&gt;0,Tasks[[#This Row],[Baseline Finish]],Tasks[[#This Row],[_CalcFinish]]))</f>
        <v/>
      </c>
      <c r="Z85" s="67" t="str">
        <f aca="false">IF(Tasks[[#This Row],[Task Name]]="","",IF(Tasks[[#This Row],[Start]]&gt;=Tasks[[#This Row],[Planned Start]],NETWORKDAYS.INTL(Tasks[[#This Row],[Planned Start]],Tasks[[#This Row],[Start]],WorkWeek,Holidays)-1,1-NETWORKDAYS.INTL(Tasks[[#This Row],[Start]],Tasks[[#This Row],[Planned Start]],WorkWeek,Holidays)))</f>
        <v/>
      </c>
      <c r="AA85" s="58" t="str">
        <f aca="false">IF(Tasks[[#This Row],[Task Name]]="","",IF(Tasks[[#This Row],[_IsSummary]],MIN(INDEX(Tasks[_LeafLateStart],Tasks[[#This Row],[_Row]]+1):INDEX(Tasks[_LeafLateStart],Tasks[[#This Row],[_Row]]+Tasks[[#This Row],[_Descendants]])),Tasks[[#This Row],[_LeafLateStart]]))</f>
        <v/>
      </c>
      <c r="AB85" s="58" t="str">
        <f aca="false">IF(Tasks[[#This Row],[Task Name]]="","",IF(Tasks[[#This Row],[_IsSummary]],MAX(INDEX(Tasks[_LeafLateFinish],Tasks[[#This Row],[_Row]]+1):INDEX(Tasks[_LeafLateFinish],Tasks[[#This Row],[_Row]]+Tasks[[#This Row],[_Descendants]])),Tasks[[#This Row],[_LeafLateFinish]]))</f>
        <v/>
      </c>
      <c r="AC85" s="67" t="str">
        <f aca="false">IF(Tasks[[#This Row],[Task Name]]="","",IF(Tasks[[#This Row],[_IsSummary]],MIN(INDEX(Tasks[_LeafTotalSlack],Tasks[[#This Row],[_Row]]+1):INDEX(Tasks[_LeafTotalSlack],Tasks[[#This Row],[_Row]]+Tasks[[#This Row],[_Descendants]])),Tasks[[#This Row],[_LeafTotalSlack]]))</f>
        <v/>
      </c>
      <c r="AD8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8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8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85" s="60"/>
      <c r="AH8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8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85" s="69" t="str">
        <f aca="false">IF(Tasks[[#This Row],[Task Name]]="","",IF(Tasks[[#This Row],[_IsSummary]],SUM(INDEX(Tasks[_LeafTotalWork],Tasks[[#This Row],[_Row]]+1):INDEX(Tasks[_LeafTotalWork],Tasks[[#This Row],[_Row]]+Tasks[[#This Row],[_Descendants]])),Tasks[[#This Row],[_LeafTotalWork]]))</f>
        <v/>
      </c>
      <c r="AK8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85" s="70" t="str">
        <f aca="false">IF(Tasks[[#This Row],[Task Name]]="","",IF(Tasks[[#This Row],[_IsSummary]],SUM(INDEX(Tasks[_LeafTotalCost],Tasks[[#This Row],[_Row]]+1):INDEX(Tasks[_LeafTotalCost],Tasks[[#This Row],[_Row]]+Tasks[[#This Row],[_Descendants]])),Tasks[[#This Row],[_LeafTotalCost]]))</f>
        <v/>
      </c>
      <c r="AM85" s="71"/>
      <c r="AN85" s="20" t="str">
        <f aca="false">IF(OR(Tasks[[#This Row],[Task Name]]="",Tasks[[#This Row],[Baseline Duration]]=""),"",Tasks[[#This Row],[BL Source Duration]]-N(Tasks[[#This Row],[Baseline Duration]]))</f>
        <v/>
      </c>
      <c r="AO85" s="69" t="str">
        <f aca="false">IF(OR(Tasks[[#This Row],[Task Name]]="",Tasks[[#This Row],[Baseline Work]]=""),"",Tasks[[#This Row],[Work]]-N(Tasks[[#This Row],[Baseline Work]]))</f>
        <v/>
      </c>
      <c r="AP85" s="70" t="str">
        <f aca="false">IF(OR(Tasks[[#This Row],[Task Name]]="",Tasks[[#This Row],[Baseline Cost]]=""),"",Tasks[[#This Row],[Cost]]-N(Tasks[[#This Row],[Baseline Cost]]))</f>
        <v/>
      </c>
      <c r="AQ85" s="58" t="str">
        <f aca="false">IF(Tasks[[#This Row],[Task Name]]="","",Tasks[[#This Row],[Start]])</f>
        <v/>
      </c>
      <c r="AR85" s="58" t="str">
        <f aca="false">IF(Tasks[[#This Row],[Task Name]]="","",Tasks[[#This Row],[Finish]])</f>
        <v/>
      </c>
      <c r="AS85" s="67" t="str">
        <f aca="false">IF(Tasks[[#This Row],[Task Name]]="","",IF(Tasks[[#This Row],[_IsSummary]],NETWORKDAYS.INTL(Tasks[[#This Row],[Start]],Tasks[[#This Row],[Finish]],WorkWeek,Holidays),N(Tasks[[#This Row],[Duration]])))</f>
        <v/>
      </c>
      <c r="AT85" s="69" t="str">
        <f aca="false">IF(Tasks[[#This Row],[Task Name]]="","",Tasks[[#This Row],[Work]])</f>
        <v/>
      </c>
      <c r="AU85" s="70" t="str">
        <f aca="false">IF(Tasks[[#This Row],[Task Name]]="","",Tasks[[#This Row],[Cost]])</f>
        <v/>
      </c>
      <c r="AV85" s="7"/>
      <c r="AW85" s="7"/>
      <c r="AX85" s="21"/>
      <c r="AY85" s="72"/>
      <c r="AZ85" s="71"/>
      <c r="BA85" s="70" t="str">
        <f aca="false">IF(Tasks[[#This Row],[Task Name]]="","",IF(Tasks[[#This Row],[_IsSummary]],SUM(INDEX(Tasks[_LeafEV],Tasks[[#This Row],[_Row]]+1):INDEX(Tasks[_LeafEV],Tasks[[#This Row],[_Row]]+Tasks[[#This Row],[_Descendants]])),Tasks[[#This Row],[_LeafEV]]))</f>
        <v/>
      </c>
      <c r="BB85" s="70" t="str">
        <f aca="false">IF(Tasks[[#This Row],[Task Name]]="","",IF(Tasks[[#This Row],[_IsSummary]],SUM(INDEX(Tasks[_LeafBudget],Tasks[[#This Row],[_Row]]+1):INDEX(Tasks[_LeafBudget],Tasks[[#This Row],[_Row]]+Tasks[[#This Row],[_Descendants]])),Tasks[[#This Row],[_LeafBudget]]))</f>
        <v/>
      </c>
      <c r="BC85" s="70" t="str">
        <f aca="false">IF(Tasks[[#This Row],[Task Name]]="","",IF(Tasks[[#This Row],[_IsSummary]],SUM(INDEX(Tasks[_LeafPV],Tasks[[#This Row],[_Row]]+1):INDEX(Tasks[_LeafPV],Tasks[[#This Row],[_Row]]+Tasks[[#This Row],[_Descendants]])),Tasks[[#This Row],[_LeafPV]]))</f>
        <v/>
      </c>
      <c r="BD85" s="70" t="str">
        <f aca="false">IF(Tasks[[#This Row],[Task Name]]="","",IF(Tasks[[#This Row],[_IsSummary]],SUM(INDEX(Tasks[_LeafAC],Tasks[[#This Row],[_Row]]+1):INDEX(Tasks[_LeafAC],Tasks[[#This Row],[_Row]]+Tasks[[#This Row],[_Descendants]])),Tasks[[#This Row],[_LeafAC]]))</f>
        <v/>
      </c>
      <c r="BE85" s="45" t="str">
        <f aca="false">IF(Tasks[[#This Row],[Task Name]]="","",MAX(1,N(Tasks[[#This Row],[Level]])))</f>
        <v/>
      </c>
      <c r="BF85" s="45" t="n">
        <f aca="false">ROW()-ROW(Tasks[[#Headers],[ID]])</f>
        <v>80</v>
      </c>
      <c r="BG85" s="45" t="n">
        <f aca="false">IF(OR(Tasks[[#This Row],[Task Name]]="",Tasks[[#This Row],[_Level]]&lt;=1),0,IFERROR(LOOKUP(2,1/(Tasks[[#Headers],[_Level]]:Tasks[[#This Row],[_Level]]=Tasks[[#This Row],[_Level]]-1),ROW(Tasks[[#Headers],[_Level]]:Tasks[[#This Row],[_Level]])),0))</f>
        <v>0</v>
      </c>
      <c r="BH85" s="45" t="n">
        <f aca="false">IFERROR(N(INDEX(Tasks[_Level],Tasks[[#This Row],[_Row]]+1)),0)</f>
        <v>0</v>
      </c>
      <c r="BI85" s="73" t="b">
        <f aca="false">AND(Tasks[[#This Row],[Task Name]]&lt;&gt;"",Tasks[[#This Row],[_NextLevel]]&gt;Tasks[[#This Row],[_Level]])</f>
        <v>0</v>
      </c>
      <c r="BJ85" s="45" t="n">
        <f aca="false">IF(Tasks[[#This Row],[_IsSummary]],COUNTIF(Tasks[WBS],Tasks[[#This Row],[WBS]]&amp;".*"),0)</f>
        <v>0</v>
      </c>
      <c r="BK85" s="45" t="n">
        <f aca="false">IF(AND(Tasks[[#This Row],[Task Name]]&lt;&gt;"",NOT(Tasks[[#This Row],[_IsSummary]])),1,0)</f>
        <v>0</v>
      </c>
      <c r="BL85" s="45" t="n">
        <f aca="false">IF(N(Tasks[[#This Row],[_Pred1UID]])=0,0,IFERROR(MATCH(Tasks[[#This Row],[_Pred1UID]],Tasks[UID],0),-1))</f>
        <v>0</v>
      </c>
      <c r="BM85" s="45" t="n">
        <f aca="false">IF(N(Tasks[[#This Row],[_Pred2UID]])=0,0,IFERROR(MATCH(Tasks[[#This Row],[_Pred2UID]],Tasks[UID],0),-1))</f>
        <v>0</v>
      </c>
      <c r="BN85" s="45" t="n">
        <f aca="false">IF(N(Tasks[[#This Row],[_Pred3UID]])=0,0,IFERROR(MATCH(Tasks[[#This Row],[_Pred3UID]],Tasks[UID],0),-1))</f>
        <v>0</v>
      </c>
      <c r="BO85" s="45" t="n">
        <f aca="false">IF(N(Tasks[[#This Row],[_Pred4UID]])=0,0,IFERROR(MATCH(Tasks[[#This Row],[_Pred4UID]],Tasks[UID],0),-1))</f>
        <v>0</v>
      </c>
      <c r="BP8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8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85" s="74" t="n">
        <f aca="false">IF(OR(Tasks[[#This Row],[_ConstraintCode]]=2,Tasks[[#This Row],[_ConstraintCode]]=3,Tasks[[#This Row],[_ConstraintCode]]=4,Tasks[[#This Row],[_ConstraintCode]]=6),Tasks[[#This Row],[_ConstraintStart]],0)</f>
        <v>0</v>
      </c>
      <c r="BS85" s="74" t="n">
        <f aca="false">IF(OR(Tasks[[#This Row],[_ConstraintCode]]=2,Tasks[[#This Row],[_ConstraintCode]]=3,Tasks[[#This Row],[_ConstraintCode]]=5,Tasks[[#This Row],[_ConstraintCode]]=7),Tasks[[#This Row],[_ConstraintStart]],2958465)</f>
        <v>2958465</v>
      </c>
      <c r="BT8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85" s="74" t="str">
        <f aca="false">IF(NOT(Tasks[[#This Row],[_IsLeaf]]=1),"",IF(N(Tasks[[#This Row],[Duration]])&lt;=0,Tasks[[#This Row],[_LeafCalcStart]],WORKDAY.INTL(Tasks[[#This Row],[_LeafCalcStart]],Tasks[[#This Row],[Duration]]-1,WorkWeek,Holidays)))</f>
        <v/>
      </c>
      <c r="BV8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8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85" s="45" t="str">
        <f aca="false">IF(Tasks[[#This Row],[Predecessors]]="","",TRIM(MID(SUBSTITUTE(SUBSTITUTE(SUBSTITUTE(UPPER(Tasks[[#This Row],[Predecessors]]),";",",")," ",""),",",REPT(" ",99)),1,99)))</f>
        <v/>
      </c>
      <c r="BY85" s="45" t="str">
        <f aca="false">IF(Tasks[[#This Row],[_Pred1Text]]="","",IFERROR(VALUE(LEFT(Tasks[[#This Row],[_Pred1Text]],MIN(FIND("F",Tasks[[#This Row],[_Pred1Text]]&amp;"F"),FIND("S",Tasks[[#This Row],[_Pred1Text]]&amp;"S"),FIND("+",Tasks[[#This Row],[_Pred1Text]]&amp;"+"),FIND("-",Tasks[[#This Row],[_Pred1Text]]&amp;"-"))-1)),""))</f>
        <v/>
      </c>
      <c r="BZ8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8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85" s="45" t="str">
        <f aca="false">IF(Tasks[[#This Row],[_Pred1Text]]="","",TRIM(MID(SUBSTITUTE(SUBSTITUTE(SUBSTITUTE(UPPER(Tasks[[#This Row],[Predecessors]]),";",",")," ",""),",",REPT(" ",99)),100,99)))</f>
        <v/>
      </c>
      <c r="CC85" s="45" t="str">
        <f aca="false">IF(Tasks[[#This Row],[_Pred2Text]]="","",IFERROR(VALUE(LEFT(Tasks[[#This Row],[_Pred2Text]],MIN(FIND("F",Tasks[[#This Row],[_Pred2Text]]&amp;"F"),FIND("S",Tasks[[#This Row],[_Pred2Text]]&amp;"S"),FIND("+",Tasks[[#This Row],[_Pred2Text]]&amp;"+"),FIND("-",Tasks[[#This Row],[_Pred2Text]]&amp;"-"))-1)),""))</f>
        <v/>
      </c>
      <c r="CD8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8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85" s="45" t="str">
        <f aca="false">IF(Tasks[[#This Row],[_Pred2Text]]="","",TRIM(MID(SUBSTITUTE(SUBSTITUTE(SUBSTITUTE(UPPER(Tasks[[#This Row],[Predecessors]]),";",",")," ",""),",",REPT(" ",99)),199,99)))</f>
        <v/>
      </c>
      <c r="CG85" s="45" t="str">
        <f aca="false">IF(Tasks[[#This Row],[_Pred3Text]]="","",IFERROR(VALUE(LEFT(Tasks[[#This Row],[_Pred3Text]],MIN(FIND("F",Tasks[[#This Row],[_Pred3Text]]&amp;"F"),FIND("S",Tasks[[#This Row],[_Pred3Text]]&amp;"S"),FIND("+",Tasks[[#This Row],[_Pred3Text]]&amp;"+"),FIND("-",Tasks[[#This Row],[_Pred3Text]]&amp;"-"))-1)),""))</f>
        <v/>
      </c>
      <c r="CH8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8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85" s="45" t="str">
        <f aca="false">IF(Tasks[[#This Row],[_Pred3Text]]="","",TRIM(MID(SUBSTITUTE(SUBSTITUTE(SUBSTITUTE(UPPER(Tasks[[#This Row],[Predecessors]]),";",",")," ",""),",",REPT(" ",99)),298,99)))</f>
        <v/>
      </c>
      <c r="CK85" s="45" t="str">
        <f aca="false">IF(Tasks[[#This Row],[_Pred4Text]]="","",IFERROR(VALUE(LEFT(Tasks[[#This Row],[_Pred4Text]],MIN(FIND("F",Tasks[[#This Row],[_Pred4Text]]&amp;"F"),FIND("S",Tasks[[#This Row],[_Pred4Text]]&amp;"S"),FIND("+",Tasks[[#This Row],[_Pred4Text]]&amp;"+"),FIND("-",Tasks[[#This Row],[_Pred4Text]]&amp;"-"))-1)),""))</f>
        <v/>
      </c>
      <c r="CL8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8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85" s="45" t="str">
        <f aca="false">IF(OR(Tasks[[#This Row],[Task Name]]="",Tasks[[#This Row],[Resources]]=""),"",TRIM(MID(SUBSTITUTE(Tasks[[#This Row],[Resources]],",",REPT(" ",99)),1,99)))</f>
        <v/>
      </c>
      <c r="CO85" s="45" t="str">
        <f aca="false">IF(Tasks[[#This Row],[_Res1Text]]="","",TRIM(MID(SUBSTITUTE(Tasks[[#This Row],[Resources]],",",REPT(" ",99)),100,99)))</f>
        <v/>
      </c>
      <c r="CP85" s="45" t="str">
        <f aca="false">IF(Tasks[[#This Row],[_Res2Text]]="","",TRIM(MID(SUBSTITUTE(Tasks[[#This Row],[Resources]],",",REPT(" ",99)),199,99)))</f>
        <v/>
      </c>
      <c r="CQ85" s="45" t="str">
        <f aca="false">IF(Tasks[[#This Row],[_Res3Text]]="","",TRIM(MID(SUBSTITUTE(Tasks[[#This Row],[Resources]],",",REPT(" ",99)),298,99)))</f>
        <v/>
      </c>
      <c r="CR8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8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5" s="45" t="n">
        <f aca="false">IF(NOT(Tasks[[#This Row],[_IsLeaf]]=1),0,(Tasks[[#This Row],[_Resource1]]&lt;&gt;"")+(Tasks[[#This Row],[_Res2]]&lt;&gt;"")+(Tasks[[#This Row],[_Res3]]&lt;&gt;"")+(Tasks[[#This Row],[_Res4]]&lt;&gt;""))</f>
        <v>0</v>
      </c>
      <c r="CU8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8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5" s="45" t="n">
        <f aca="false">IF(OR(NOT(Tasks[[#This Row],[_IsLeaf]]=1),Tasks[[#This Row],[_Res2]]=""),0,IF(ISNA(MATCH(Tasks[[#This Row],[_Res2]],res_Name,0)),0,N(Tasks[[#This Row],[Duration]])*HoursPerDay*IF(Tasks[[#This Row],[_Res2Units]]="",DefaultUnits,Tasks[[#This Row],[_Res2Units]])))</f>
        <v>0</v>
      </c>
      <c r="CX85" s="45" t="n">
        <f aca="false">IF(Tasks[[#This Row],[_Res2Work]]=0,0,Tasks[[#This Row],[_Res2Work]]*IFERROR(INDEX(res_Rate,MATCH(Tasks[[#This Row],[_Res2]],res_Name,0)),0))</f>
        <v>0</v>
      </c>
      <c r="CY85" s="45" t="n">
        <f aca="false">IF(AND(AND(Tasks[[#This Row],[_IsLeaf]]=1,Tasks[[#This Row],[_LeafTotalWork]]&gt;0),Tasks[[#This Row],[_Res2Work]]&gt;0),Tasks[[#This Row],[_Res2Work]]/(Tasks[[#This Row],[_FinishWorkday]]-Tasks[[#This Row],[_StartWorkday]]+1),0)</f>
        <v>0</v>
      </c>
      <c r="CZ85" s="45" t="n">
        <f aca="false">Tasks[[#This Row],[_Res2WorkPerWD]]*MAX(0,Tasks[[#This Row],[_StartWorkday]]-1)</f>
        <v>0</v>
      </c>
      <c r="DA85" s="45" t="n">
        <f aca="false">Tasks[[#This Row],[_Res2Work]]*Tasks[[#This Row],[_LeafProgress]]</f>
        <v>0</v>
      </c>
      <c r="DB85" s="45" t="n">
        <f aca="false">IF(Tasks[[#This Row],[_LeafTotalCost]]=0,0,Tasks[[#This Row],[_LeafAC]]*Tasks[[#This Row],[_Res2Cost]]/Tasks[[#This Row],[_LeafTotalCost]])</f>
        <v>0</v>
      </c>
      <c r="DC8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8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85" s="45" t="n">
        <f aca="false">IF(OR(NOT(Tasks[[#This Row],[_IsLeaf]]=1),Tasks[[#This Row],[_Res3]]=""),0,IF(ISNA(MATCH(Tasks[[#This Row],[_Res3]],res_Name,0)),0,N(Tasks[[#This Row],[Duration]])*HoursPerDay*IF(Tasks[[#This Row],[_Res3Units]]="",DefaultUnits,Tasks[[#This Row],[_Res3Units]])))</f>
        <v>0</v>
      </c>
      <c r="DF85" s="45" t="n">
        <f aca="false">IF(Tasks[[#This Row],[_Res3Work]]=0,0,Tasks[[#This Row],[_Res3Work]]*IFERROR(INDEX(res_Rate,MATCH(Tasks[[#This Row],[_Res3]],res_Name,0)),0))</f>
        <v>0</v>
      </c>
      <c r="DG85" s="45" t="n">
        <f aca="false">IF(AND(AND(Tasks[[#This Row],[_IsLeaf]]=1,Tasks[[#This Row],[_LeafTotalWork]]&gt;0),Tasks[[#This Row],[_Res3Work]]&gt;0),Tasks[[#This Row],[_Res3Work]]/(Tasks[[#This Row],[_FinishWorkday]]-Tasks[[#This Row],[_StartWorkday]]+1),0)</f>
        <v>0</v>
      </c>
      <c r="DH85" s="45" t="n">
        <f aca="false">Tasks[[#This Row],[_Res3WorkPerWD]]*MAX(0,Tasks[[#This Row],[_StartWorkday]]-1)</f>
        <v>0</v>
      </c>
      <c r="DI85" s="45" t="n">
        <f aca="false">Tasks[[#This Row],[_Res3Work]]*Tasks[[#This Row],[_LeafProgress]]</f>
        <v>0</v>
      </c>
      <c r="DJ85" s="45" t="n">
        <f aca="false">IF(Tasks[[#This Row],[_LeafTotalCost]]=0,0,Tasks[[#This Row],[_LeafAC]]*Tasks[[#This Row],[_Res3Cost]]/Tasks[[#This Row],[_LeafTotalCost]])</f>
        <v>0</v>
      </c>
      <c r="DK8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8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85" s="45" t="n">
        <f aca="false">IF(OR(NOT(Tasks[[#This Row],[_IsLeaf]]=1),Tasks[[#This Row],[_Res4]]=""),0,IF(ISNA(MATCH(Tasks[[#This Row],[_Res4]],res_Name,0)),0,N(Tasks[[#This Row],[Duration]])*HoursPerDay*IF(Tasks[[#This Row],[_Res4Units]]="",DefaultUnits,Tasks[[#This Row],[_Res4Units]])))</f>
        <v>0</v>
      </c>
      <c r="DN85" s="45" t="n">
        <f aca="false">IF(Tasks[[#This Row],[_Res4Work]]=0,0,Tasks[[#This Row],[_Res4Work]]*IFERROR(INDEX(res_Rate,MATCH(Tasks[[#This Row],[_Res4]],res_Name,0)),0))</f>
        <v>0</v>
      </c>
      <c r="DO85" s="45" t="n">
        <f aca="false">IF(AND(AND(Tasks[[#This Row],[_IsLeaf]]=1,Tasks[[#This Row],[_LeafTotalWork]]&gt;0),Tasks[[#This Row],[_Res4Work]]&gt;0),Tasks[[#This Row],[_Res4Work]]/(Tasks[[#This Row],[_FinishWorkday]]-Tasks[[#This Row],[_StartWorkday]]+1),0)</f>
        <v>0</v>
      </c>
      <c r="DP85" s="45" t="n">
        <f aca="false">Tasks[[#This Row],[_Res4WorkPerWD]]*MAX(0,Tasks[[#This Row],[_StartWorkday]]-1)</f>
        <v>0</v>
      </c>
      <c r="DQ85" s="45" t="n">
        <f aca="false">Tasks[[#This Row],[_Res4Work]]*Tasks[[#This Row],[_LeafProgress]]</f>
        <v>0</v>
      </c>
      <c r="DR85" s="45" t="n">
        <f aca="false">IF(Tasks[[#This Row],[_LeafTotalCost]]=0,0,Tasks[[#This Row],[_LeafAC]]*Tasks[[#This Row],[_Res4Cost]]/Tasks[[#This Row],[_LeafTotalCost]])</f>
        <v>0</v>
      </c>
      <c r="DS85" s="45" t="n">
        <f aca="false">IF(ISNUMBER(Tasks[[#This Row],[% Complete]]),Tasks[[#This Row],[% Complete]],IF(Tasks[[#This Row],[Stage]]="",0,IFERROR(INDEX(stg_Pct,MATCH(Tasks[[#This Row],[Stage]],stg_Name,0)),0)))</f>
        <v>0</v>
      </c>
      <c r="DT85" s="45" t="n">
        <f aca="false">IF(NOT(Tasks[[#This Row],[_IsLeaf]]=1),0,IF(N(Tasks[[#This Row],[Actual Finish]])&gt;0,1,MIN(1,Tasks[[#This Row],[_Pct]])))</f>
        <v>0</v>
      </c>
      <c r="DU85" s="45" t="n">
        <f aca="false">IF(OR(NOT(Tasks[[#This Row],[_IsLeaf]]=1),Tasks[[#This Row],[_Resource1]]=""),0,IF(ISNA(MATCH(Tasks[[#This Row],[_Resource1]],res_Name,0)),0,N(Tasks[[#This Row],[Duration]])*HoursPerDay*IF(Tasks[[#This Row],[_Units1]]="",DefaultUnits,Tasks[[#This Row],[_Units1]])))</f>
        <v>0</v>
      </c>
      <c r="DV85" s="45" t="n">
        <f aca="false">IF(Tasks[[#This Row],[_LeafWork]]=0,0,Tasks[[#This Row],[_LeafWork]]*IFERROR(INDEX(res_Rate,MATCH(Tasks[[#This Row],[_Resource1]],res_Name,0)),0))</f>
        <v>0</v>
      </c>
      <c r="DW85" s="45" t="n">
        <f aca="false">Tasks[[#This Row],[_LeafWork]]+Tasks[[#This Row],[_Res2Work]]+Tasks[[#This Row],[_Res3Work]]+Tasks[[#This Row],[_Res4Work]]</f>
        <v>0</v>
      </c>
      <c r="DX85" s="45" t="n">
        <f aca="false">Tasks[[#This Row],[_LeafCost]]+Tasks[[#This Row],[_Res2Cost]]+Tasks[[#This Row],[_Res3Cost]]+Tasks[[#This Row],[_Res4Cost]]</f>
        <v>0</v>
      </c>
      <c r="DY85" s="45" t="n">
        <f aca="false">IF(Tasks[[#This Row],[_LeafTotalCost]]=0,Tasks[[#This Row],[_LeafAC]],Tasks[[#This Row],[_LeafAC]]*Tasks[[#This Row],[_LeafCost]]/Tasks[[#This Row],[_LeafTotalCost]])</f>
        <v>0</v>
      </c>
      <c r="DZ8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8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8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8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8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8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8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8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85" s="45" t="n">
        <f aca="false">IF(NOT(Tasks[[#This Row],[_IsLeaf]]=1),0,MAX(_xlfn.MAXIFS(Tasks[_Row],Tasks[_Pred1UID],Tasks[[#This Row],[UID]]),_xlfn.MAXIFS(Tasks[_Row],Tasks[_Pred2UID],Tasks[[#This Row],[UID]]),_xlfn.MAXIFS(Tasks[_Row],Tasks[_Pred3UID],Tasks[[#This Row],[UID]]),_xlfn.MAXIFS(Tasks[_Row],Tasks[_Pred4UID],Tasks[[#This Row],[UID]])))</f>
        <v>0</v>
      </c>
      <c r="EI8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8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85" s="74" t="str">
        <f aca="false">IF(NOT(Tasks[[#This Row],[_IsLeaf]]=1),"",IF(N(Tasks[[#This Row],[Duration]])&lt;=0,Tasks[[#This Row],[_LeafLateFinish]],WORKDAY.INTL(Tasks[[#This Row],[_LeafLateFinish]],-(Tasks[[#This Row],[Duration]]-1),WorkWeek,Holidays)))</f>
        <v/>
      </c>
      <c r="EL8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85" s="73" t="b">
        <f aca="false">AND(Tasks[[#This Row],[_IsLeaf]]=1,Tasks[[#This Row],[_LeafProgress]]&lt;1,N(Tasks[[#This Row],[_LeafTotalSlack]])&lt;=CriticalSlackDays)</f>
        <v>0</v>
      </c>
      <c r="EN85" s="45" t="n">
        <f aca="false">IF(AND(Tasks[[#This Row],[_IsLeaf]]=1,Tasks[[#This Row],[_ConstraintCode]]=1,Tasks[[#This Row],[Mode]]&lt;&gt;"Manual",N(Tasks[[#This Row],[Actual Start]])=0),MAX(0,N(Tasks[[#This Row],[Free Slack]])),0)</f>
        <v>0</v>
      </c>
      <c r="EO85" s="74" t="str">
        <f aca="false">IF(NOT(Tasks[[#This Row],[_IsLeaf]]=1),"",IF(Tasks[[#This Row],[_AlapShift]]=0,Tasks[[#This Row],[_LeafCalcStart]],WORKDAY.INTL(Tasks[[#This Row],[_LeafCalcStart]],Tasks[[#This Row],[_AlapShift]],WorkWeek,Holidays)))</f>
        <v/>
      </c>
      <c r="EP85" s="74" t="str">
        <f aca="false">IF(NOT(Tasks[[#This Row],[_IsLeaf]]=1),"",IF(Tasks[[#This Row],[_AlapShift]]=0,Tasks[[#This Row],[_LeafCalcFinish]],WORKDAY.INTL(Tasks[[#This Row],[_LeafCalcFinish]],Tasks[[#This Row],[_AlapShift]],WorkWeek,Holidays)))</f>
        <v/>
      </c>
      <c r="EQ85" s="74" t="str">
        <f aca="false">IF(NOT(Tasks[[#This Row],[_IsLeaf]]=1),"",IF(Tasks[[#This Row],[_AlapShift]]=0,Tasks[[#This Row],[_LeafFcstStart]],WORKDAY.INTL(Tasks[[#This Row],[_LeafFcstStart]],Tasks[[#This Row],[_AlapShift]],WorkWeek,Holidays)))</f>
        <v/>
      </c>
      <c r="ER85" s="74" t="str">
        <f aca="false">IF(NOT(Tasks[[#This Row],[_IsLeaf]]=1),"",IF(Tasks[[#This Row],[_AlapShift]]=0,Tasks[[#This Row],[_LeafFcstFinish]],WORKDAY.INTL(Tasks[[#This Row],[_LeafFcstFinish]],Tasks[[#This Row],[_AlapShift]],WorkWeek,Holidays)))</f>
        <v/>
      </c>
      <c r="ES85" s="74" t="str">
        <f aca="false">IF(Tasks[[#This Row],[Task Name]]="","",IF(Tasks[[#This Row],[_IsSummary]],MIN(INDEX(Tasks[_ShownCalcStart],Tasks[[#This Row],[_Row]]+1):INDEX(Tasks[_ShownCalcStart],Tasks[[#This Row],[_Row]]+Tasks[[#This Row],[_Descendants]])),Tasks[[#This Row],[_ShownCalcStart]]))</f>
        <v/>
      </c>
      <c r="ET85" s="74" t="str">
        <f aca="false">IF(Tasks[[#This Row],[Task Name]]="","",IF(Tasks[[#This Row],[_IsSummary]],MAX(INDEX(Tasks[_ShownCalcFinish],Tasks[[#This Row],[_Row]]+1):INDEX(Tasks[_ShownCalcFinish],Tasks[[#This Row],[_Row]]+Tasks[[#This Row],[_Descendants]])),Tasks[[#This Row],[_ShownCalcFinish]]))</f>
        <v/>
      </c>
      <c r="EU8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8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8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8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8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8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8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8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8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8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8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8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85" s="45" t="n">
        <f aca="false">IF(AND(Tasks[[#This Row],[_IsLeaf]]=1,Tasks[[#This Row],[_LeafTotalWork]]&gt;0),NETWORKDAYS.INTL(ProjectStart,Tasks[[#This Row],[_ShownFcstStart]],WorkWeek,Holidays),0)</f>
        <v>0</v>
      </c>
      <c r="FH85" s="45" t="n">
        <f aca="false">IF(AND(Tasks[[#This Row],[_IsLeaf]]=1,Tasks[[#This Row],[_LeafTotalWork]]&gt;0),MAX(Tasks[[#This Row],[_StartWorkday]],NETWORKDAYS.INTL(ProjectStart,Tasks[[#This Row],[_ShownFcstFinish]],WorkWeek,Holidays)),0)</f>
        <v>0</v>
      </c>
      <c r="FI85" s="45" t="n">
        <f aca="false">IF(AND(Tasks[[#This Row],[_IsLeaf]]=1,Tasks[[#This Row],[_LeafTotalWork]]&gt;0),Tasks[[#This Row],[_LeafWork]]/(Tasks[[#This Row],[_FinishWorkday]]-Tasks[[#This Row],[_StartWorkday]]+1),0)</f>
        <v>0</v>
      </c>
      <c r="FJ85" s="45" t="n">
        <f aca="false">Tasks[[#This Row],[_WorkPerWorkday]]*(Tasks[[#This Row],[_StartWorkday]]-1)</f>
        <v>-0</v>
      </c>
      <c r="FK85" s="45" t="n">
        <f aca="false">IF(Tasks[[#This Row],[_IsLeaf]]=1,MAX(N(Tasks[[#This Row],[Duration]]),0.1),0)</f>
        <v>0</v>
      </c>
      <c r="FL85" s="45" t="n">
        <f aca="false">Tasks[[#This Row],[_WeightDur]]*Tasks[[#This Row],[_LeafProgress]]</f>
        <v>0</v>
      </c>
      <c r="FM8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85" s="45" t="str">
        <f aca="false">IF(AND(Tasks[[#This Row],[_IsLeaf]]=1,N(Tasks[[#This Row],[Duration]])=0,Tasks[[#This Row],[_LeafProgress]]&lt;1),Tasks[[#This Row],[_ShownFcstFinish]]+Tasks[[#This Row],[_Row]]/100000,"")</f>
        <v/>
      </c>
      <c r="FO8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85" s="45" t="n">
        <f aca="false">IF(NOT(Tasks[[#This Row],[_IsLeaf]]=1),0,IF(Tasks[[#This Row],[Baseline Cost]]="",Tasks[[#This Row],[_LeafTotalCost]],N(Tasks[[#This Row],[Baseline Cost]])))</f>
        <v>0</v>
      </c>
      <c r="FQ85" s="45" t="n">
        <f aca="false">Tasks[[#This Row],[_LeafBudget]]*Tasks[[#This Row],[_PlannedPct]]</f>
        <v>0</v>
      </c>
      <c r="FR85" s="45" t="n">
        <f aca="false">Tasks[[#This Row],[_LeafBudget]]*Tasks[[#This Row],[_LeafProgress]]</f>
        <v>0</v>
      </c>
      <c r="FS85" s="45" t="n">
        <f aca="false">IF(NOT(Tasks[[#This Row],[_IsLeaf]]=1),0,IF(Tasks[[#This Row],[Actual Cost]]="",Tasks[[#This Row],[_LeafTotalCost]]*Tasks[[#This Row],[_LeafProgress]],N(Tasks[[#This Row],[Actual Cost]])))</f>
        <v>0</v>
      </c>
      <c r="FT85" s="45" t="str">
        <f aca="false">IF(Tasks[[#This Row],[Task Name]]="","",LEFT(Tasks[[#This Row],[WBS]],FIND(".",Tasks[[#This Row],[WBS]]&amp;".")-1))</f>
        <v/>
      </c>
      <c r="FU85" s="45" t="str">
        <f aca="false">IF(AND(Tasks[[#This Row],[Task Name]]&lt;&gt;"",Tasks[[#This Row],[_Level]]=1),Tasks[[#This Row],[_Row]],"")</f>
        <v/>
      </c>
      <c r="FV85" s="45" t="str">
        <f aca="false">IF(AND(Tasks[[#This Row],[_IsLeaf]]=1,N(Tasks[[#This Row],[Duration]])=0),Tasks[[#This Row],[Planned Finish]]+Tasks[[#This Row],[_Row]]/100000,"")</f>
        <v/>
      </c>
      <c r="FW85" s="45" t="str">
        <f aca="false">IF(AND(Tasks[[#This Row],[_IsLeaf]]=1,Tasks[[#This Row],[_LeafProgress]]&lt;1,OR(N(Tasks[[#This Row],[Finish Var]])&gt;0,Tasks[[#This Row],[Status]]="Late Start")),MAX(0,Tasks[[#This Row],[Finish Var]])+1-Tasks[[#This Row],[_Row]]/1000000,"")</f>
        <v/>
      </c>
      <c r="FX85" s="45" t="str">
        <f aca="false">IF(AND(Tasks[[#This Row],[_IsLeaf]]=1,N(Tasks[[#This Row],[Actual Start]])=0,Tasks[[#This Row],[_ShownFcstStart]]&gt;=StatusDate,Tasks[[#This Row],[_ShownFcstStart]]&lt;=LookaheadEnd),Tasks[[#This Row],[_ShownFcstStart]]+Tasks[[#This Row],[_Row]]/100000,"")</f>
        <v/>
      </c>
      <c r="FY85" s="45" t="str">
        <f aca="false">IF(AND(Tasks[[#This Row],[_IsLeaf]]=1,Tasks[[#This Row],[_LeafProgress]]&lt;1,Tasks[[#This Row],[_ShownFcstFinish]]&gt;=StatusDate,Tasks[[#This Row],[_ShownFcstFinish]]&lt;=LookaheadEnd),Tasks[[#This Row],[_ShownFcstFinish]]+Tasks[[#This Row],[_Row]]/100000,"")</f>
        <v/>
      </c>
      <c r="FZ85" s="45" t="str">
        <f aca="false">IF(Tasks[[#This Row],[_LeafCritical]],Tasks[[#This Row],[_ShownFcstStart]]+Tasks[[#This Row],[_Row]]/100000,"")</f>
        <v/>
      </c>
      <c r="GA85" s="45" t="n">
        <f aca="false">Tasks[[#This Row],[_LeafWork]]*Tasks[[#This Row],[_LeafProgress]]</f>
        <v>0</v>
      </c>
      <c r="GB85" s="74" t="str">
        <f aca="false">IF(AND(Tasks[[#This Row],[_IsLeaf]]=1,Tasks[[#This Row],[_LeafProgress]]&gt;=1),IF(N(Tasks[[#This Row],[Actual Finish]])&gt;0,Tasks[[#This Row],[Actual Finish]],Tasks[[#This Row],[_ShownFcstFinish]]),"")</f>
        <v/>
      </c>
    </row>
    <row r="86" customFormat="false" ht="15" hidden="false" customHeight="false" outlineLevel="0" collapsed="false">
      <c r="A86" s="67" t="str">
        <f aca="false">IF(Tasks[[#This Row],[Task Name]]="","",COUNTA(Tasks[[#Headers],[Task Name]]:Tasks[[#This Row],[Task Name]])-1)</f>
        <v/>
      </c>
      <c r="B86" s="21" t="n">
        <v>81</v>
      </c>
      <c r="C8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21"/>
      <c r="E86" s="22"/>
      <c r="F86" s="21"/>
      <c r="G86" s="22"/>
      <c r="H86" s="22"/>
      <c r="I86" s="22"/>
      <c r="J86" s="7"/>
      <c r="K86" s="7"/>
      <c r="L86" s="22"/>
      <c r="M86" s="58" t="str">
        <f aca="false">IF(Tasks[[#This Row],[Task Name]]="","",IF(Tasks[[#This Row],[_IsSummary]],MIN(INDEX(Tasks[_ShownFcstStart],Tasks[[#This Row],[_Row]]+1):INDEX(Tasks[_ShownFcstStart],Tasks[[#This Row],[_Row]]+Tasks[[#This Row],[_Descendants]])),Tasks[[#This Row],[_ShownFcstStart]]))</f>
        <v/>
      </c>
      <c r="N86" s="58" t="str">
        <f aca="false">IF(Tasks[[#This Row],[Task Name]]="","",IF(Tasks[[#This Row],[_IsSummary]],MAX(INDEX(Tasks[_ShownFcstFinish],Tasks[[#This Row],[_Row]]+1):INDEX(Tasks[_ShownFcstFinish],Tasks[[#This Row],[_Row]]+Tasks[[#This Row],[_Descendants]])),Tasks[[#This Row],[_ShownFcstFinish]]))</f>
        <v/>
      </c>
      <c r="O86" s="20" t="str">
        <f aca="false">IF(Tasks[[#This Row],[Task Name]]="","",IF(Tasks[[#This Row],[Progress]]&gt;=1,"Complete",IF(OR(N(Tasks[[#This Row],[Actual Start]])&gt;0,Tasks[[#This Row],[Progress]]&gt;0),IF(Tasks[[#This Row],[Finish Var]]&gt;0,"Behind","In Progress"),IF(Tasks[[#This Row],[Planned Start]]&lt;StatusDate,"Late Start","Not Started"))))</f>
        <v/>
      </c>
      <c r="P86" s="20" t="str">
        <f aca="false">IF(Tasks[[#This Row],[Task Name]]="","",IF(IF(Tasks[[#This Row],[_IsSummary]],COUNTIF(INDEX(Tasks[_LeafCritical],Tasks[[#This Row],[_Row]]+1):INDEX(Tasks[_LeafCritical],Tasks[[#This Row],[_Row]]+Tasks[[#This Row],[_Descendants]]),TRUE())&gt;0,Tasks[[#This Row],[_LeafCritical]]),"Yes",""))</f>
        <v/>
      </c>
      <c r="Q8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86" s="67" t="str">
        <f aca="false">IF(Tasks[[#This Row],[Task Name]]="","",IF(Tasks[[#This Row],[_Level]]&lt;=OutlineShowLevel,"Yes","No"))</f>
        <v/>
      </c>
      <c r="S86" s="7"/>
      <c r="T86" s="21"/>
      <c r="U86" s="22"/>
      <c r="V86" s="7"/>
      <c r="W86" s="67" t="str">
        <f aca="false">IF(Tasks[[#This Row],[Task Name]]="","",IF(Tasks[[#This Row],[Finish]]&gt;=Tasks[[#This Row],[Planned Finish]],NETWORKDAYS.INTL(Tasks[[#This Row],[Planned Finish]],Tasks[[#This Row],[Finish]],WorkWeek,Holidays)-1,1-NETWORKDAYS.INTL(Tasks[[#This Row],[Finish]],Tasks[[#This Row],[Planned Finish]],WorkWeek,Holidays)))</f>
        <v/>
      </c>
      <c r="X86" s="58" t="str">
        <f aca="false">IF(Tasks[[#This Row],[Task Name]]="","",IF(N(Tasks[[#This Row],[Baseline Start]])&gt;0,Tasks[[#This Row],[Baseline Start]],Tasks[[#This Row],[_CalcStart]]))</f>
        <v/>
      </c>
      <c r="Y86" s="58" t="str">
        <f aca="false">IF(Tasks[[#This Row],[Task Name]]="","",IF(N(Tasks[[#This Row],[Baseline Finish]])&gt;0,Tasks[[#This Row],[Baseline Finish]],Tasks[[#This Row],[_CalcFinish]]))</f>
        <v/>
      </c>
      <c r="Z86" s="67" t="str">
        <f aca="false">IF(Tasks[[#This Row],[Task Name]]="","",IF(Tasks[[#This Row],[Start]]&gt;=Tasks[[#This Row],[Planned Start]],NETWORKDAYS.INTL(Tasks[[#This Row],[Planned Start]],Tasks[[#This Row],[Start]],WorkWeek,Holidays)-1,1-NETWORKDAYS.INTL(Tasks[[#This Row],[Start]],Tasks[[#This Row],[Planned Start]],WorkWeek,Holidays)))</f>
        <v/>
      </c>
      <c r="AA86" s="58" t="str">
        <f aca="false">IF(Tasks[[#This Row],[Task Name]]="","",IF(Tasks[[#This Row],[_IsSummary]],MIN(INDEX(Tasks[_LeafLateStart],Tasks[[#This Row],[_Row]]+1):INDEX(Tasks[_LeafLateStart],Tasks[[#This Row],[_Row]]+Tasks[[#This Row],[_Descendants]])),Tasks[[#This Row],[_LeafLateStart]]))</f>
        <v/>
      </c>
      <c r="AB86" s="58" t="str">
        <f aca="false">IF(Tasks[[#This Row],[Task Name]]="","",IF(Tasks[[#This Row],[_IsSummary]],MAX(INDEX(Tasks[_LeafLateFinish],Tasks[[#This Row],[_Row]]+1):INDEX(Tasks[_LeafLateFinish],Tasks[[#This Row],[_Row]]+Tasks[[#This Row],[_Descendants]])),Tasks[[#This Row],[_LeafLateFinish]]))</f>
        <v/>
      </c>
      <c r="AC86" s="67" t="str">
        <f aca="false">IF(Tasks[[#This Row],[Task Name]]="","",IF(Tasks[[#This Row],[_IsSummary]],MIN(INDEX(Tasks[_LeafTotalSlack],Tasks[[#This Row],[_Row]]+1):INDEX(Tasks[_LeafTotalSlack],Tasks[[#This Row],[_Row]]+Tasks[[#This Row],[_Descendants]])),Tasks[[#This Row],[_LeafTotalSlack]]))</f>
        <v/>
      </c>
      <c r="AD8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8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8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86" s="60"/>
      <c r="AH8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8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86" s="69" t="str">
        <f aca="false">IF(Tasks[[#This Row],[Task Name]]="","",IF(Tasks[[#This Row],[_IsSummary]],SUM(INDEX(Tasks[_LeafTotalWork],Tasks[[#This Row],[_Row]]+1):INDEX(Tasks[_LeafTotalWork],Tasks[[#This Row],[_Row]]+Tasks[[#This Row],[_Descendants]])),Tasks[[#This Row],[_LeafTotalWork]]))</f>
        <v/>
      </c>
      <c r="AK8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86" s="70" t="str">
        <f aca="false">IF(Tasks[[#This Row],[Task Name]]="","",IF(Tasks[[#This Row],[_IsSummary]],SUM(INDEX(Tasks[_LeafTotalCost],Tasks[[#This Row],[_Row]]+1):INDEX(Tasks[_LeafTotalCost],Tasks[[#This Row],[_Row]]+Tasks[[#This Row],[_Descendants]])),Tasks[[#This Row],[_LeafTotalCost]]))</f>
        <v/>
      </c>
      <c r="AM86" s="71"/>
      <c r="AN86" s="20" t="str">
        <f aca="false">IF(OR(Tasks[[#This Row],[Task Name]]="",Tasks[[#This Row],[Baseline Duration]]=""),"",Tasks[[#This Row],[BL Source Duration]]-N(Tasks[[#This Row],[Baseline Duration]]))</f>
        <v/>
      </c>
      <c r="AO86" s="69" t="str">
        <f aca="false">IF(OR(Tasks[[#This Row],[Task Name]]="",Tasks[[#This Row],[Baseline Work]]=""),"",Tasks[[#This Row],[Work]]-N(Tasks[[#This Row],[Baseline Work]]))</f>
        <v/>
      </c>
      <c r="AP86" s="70" t="str">
        <f aca="false">IF(OR(Tasks[[#This Row],[Task Name]]="",Tasks[[#This Row],[Baseline Cost]]=""),"",Tasks[[#This Row],[Cost]]-N(Tasks[[#This Row],[Baseline Cost]]))</f>
        <v/>
      </c>
      <c r="AQ86" s="58" t="str">
        <f aca="false">IF(Tasks[[#This Row],[Task Name]]="","",Tasks[[#This Row],[Start]])</f>
        <v/>
      </c>
      <c r="AR86" s="58" t="str">
        <f aca="false">IF(Tasks[[#This Row],[Task Name]]="","",Tasks[[#This Row],[Finish]])</f>
        <v/>
      </c>
      <c r="AS86" s="67" t="str">
        <f aca="false">IF(Tasks[[#This Row],[Task Name]]="","",IF(Tasks[[#This Row],[_IsSummary]],NETWORKDAYS.INTL(Tasks[[#This Row],[Start]],Tasks[[#This Row],[Finish]],WorkWeek,Holidays),N(Tasks[[#This Row],[Duration]])))</f>
        <v/>
      </c>
      <c r="AT86" s="69" t="str">
        <f aca="false">IF(Tasks[[#This Row],[Task Name]]="","",Tasks[[#This Row],[Work]])</f>
        <v/>
      </c>
      <c r="AU86" s="70" t="str">
        <f aca="false">IF(Tasks[[#This Row],[Task Name]]="","",Tasks[[#This Row],[Cost]])</f>
        <v/>
      </c>
      <c r="AV86" s="7"/>
      <c r="AW86" s="7"/>
      <c r="AX86" s="21"/>
      <c r="AY86" s="72"/>
      <c r="AZ86" s="71"/>
      <c r="BA86" s="70" t="str">
        <f aca="false">IF(Tasks[[#This Row],[Task Name]]="","",IF(Tasks[[#This Row],[_IsSummary]],SUM(INDEX(Tasks[_LeafEV],Tasks[[#This Row],[_Row]]+1):INDEX(Tasks[_LeafEV],Tasks[[#This Row],[_Row]]+Tasks[[#This Row],[_Descendants]])),Tasks[[#This Row],[_LeafEV]]))</f>
        <v/>
      </c>
      <c r="BB86" s="70" t="str">
        <f aca="false">IF(Tasks[[#This Row],[Task Name]]="","",IF(Tasks[[#This Row],[_IsSummary]],SUM(INDEX(Tasks[_LeafBudget],Tasks[[#This Row],[_Row]]+1):INDEX(Tasks[_LeafBudget],Tasks[[#This Row],[_Row]]+Tasks[[#This Row],[_Descendants]])),Tasks[[#This Row],[_LeafBudget]]))</f>
        <v/>
      </c>
      <c r="BC86" s="70" t="str">
        <f aca="false">IF(Tasks[[#This Row],[Task Name]]="","",IF(Tasks[[#This Row],[_IsSummary]],SUM(INDEX(Tasks[_LeafPV],Tasks[[#This Row],[_Row]]+1):INDEX(Tasks[_LeafPV],Tasks[[#This Row],[_Row]]+Tasks[[#This Row],[_Descendants]])),Tasks[[#This Row],[_LeafPV]]))</f>
        <v/>
      </c>
      <c r="BD86" s="70" t="str">
        <f aca="false">IF(Tasks[[#This Row],[Task Name]]="","",IF(Tasks[[#This Row],[_IsSummary]],SUM(INDEX(Tasks[_LeafAC],Tasks[[#This Row],[_Row]]+1):INDEX(Tasks[_LeafAC],Tasks[[#This Row],[_Row]]+Tasks[[#This Row],[_Descendants]])),Tasks[[#This Row],[_LeafAC]]))</f>
        <v/>
      </c>
      <c r="BE86" s="45" t="str">
        <f aca="false">IF(Tasks[[#This Row],[Task Name]]="","",MAX(1,N(Tasks[[#This Row],[Level]])))</f>
        <v/>
      </c>
      <c r="BF86" s="45" t="n">
        <f aca="false">ROW()-ROW(Tasks[[#Headers],[ID]])</f>
        <v>81</v>
      </c>
      <c r="BG86" s="45" t="n">
        <f aca="false">IF(OR(Tasks[[#This Row],[Task Name]]="",Tasks[[#This Row],[_Level]]&lt;=1),0,IFERROR(LOOKUP(2,1/(Tasks[[#Headers],[_Level]]:Tasks[[#This Row],[_Level]]=Tasks[[#This Row],[_Level]]-1),ROW(Tasks[[#Headers],[_Level]]:Tasks[[#This Row],[_Level]])),0))</f>
        <v>0</v>
      </c>
      <c r="BH86" s="45" t="n">
        <f aca="false">IFERROR(N(INDEX(Tasks[_Level],Tasks[[#This Row],[_Row]]+1)),0)</f>
        <v>0</v>
      </c>
      <c r="BI86" s="73" t="b">
        <f aca="false">AND(Tasks[[#This Row],[Task Name]]&lt;&gt;"",Tasks[[#This Row],[_NextLevel]]&gt;Tasks[[#This Row],[_Level]])</f>
        <v>0</v>
      </c>
      <c r="BJ86" s="45" t="n">
        <f aca="false">IF(Tasks[[#This Row],[_IsSummary]],COUNTIF(Tasks[WBS],Tasks[[#This Row],[WBS]]&amp;".*"),0)</f>
        <v>0</v>
      </c>
      <c r="BK86" s="45" t="n">
        <f aca="false">IF(AND(Tasks[[#This Row],[Task Name]]&lt;&gt;"",NOT(Tasks[[#This Row],[_IsSummary]])),1,0)</f>
        <v>0</v>
      </c>
      <c r="BL86" s="45" t="n">
        <f aca="false">IF(N(Tasks[[#This Row],[_Pred1UID]])=0,0,IFERROR(MATCH(Tasks[[#This Row],[_Pred1UID]],Tasks[UID],0),-1))</f>
        <v>0</v>
      </c>
      <c r="BM86" s="45" t="n">
        <f aca="false">IF(N(Tasks[[#This Row],[_Pred2UID]])=0,0,IFERROR(MATCH(Tasks[[#This Row],[_Pred2UID]],Tasks[UID],0),-1))</f>
        <v>0</v>
      </c>
      <c r="BN86" s="45" t="n">
        <f aca="false">IF(N(Tasks[[#This Row],[_Pred3UID]])=0,0,IFERROR(MATCH(Tasks[[#This Row],[_Pred3UID]],Tasks[UID],0),-1))</f>
        <v>0</v>
      </c>
      <c r="BO86" s="45" t="n">
        <f aca="false">IF(N(Tasks[[#This Row],[_Pred4UID]])=0,0,IFERROR(MATCH(Tasks[[#This Row],[_Pred4UID]],Tasks[UID],0),-1))</f>
        <v>0</v>
      </c>
      <c r="BP8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8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86" s="74" t="n">
        <f aca="false">IF(OR(Tasks[[#This Row],[_ConstraintCode]]=2,Tasks[[#This Row],[_ConstraintCode]]=3,Tasks[[#This Row],[_ConstraintCode]]=4,Tasks[[#This Row],[_ConstraintCode]]=6),Tasks[[#This Row],[_ConstraintStart]],0)</f>
        <v>0</v>
      </c>
      <c r="BS86" s="74" t="n">
        <f aca="false">IF(OR(Tasks[[#This Row],[_ConstraintCode]]=2,Tasks[[#This Row],[_ConstraintCode]]=3,Tasks[[#This Row],[_ConstraintCode]]=5,Tasks[[#This Row],[_ConstraintCode]]=7),Tasks[[#This Row],[_ConstraintStart]],2958465)</f>
        <v>2958465</v>
      </c>
      <c r="BT8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86" s="74" t="str">
        <f aca="false">IF(NOT(Tasks[[#This Row],[_IsLeaf]]=1),"",IF(N(Tasks[[#This Row],[Duration]])&lt;=0,Tasks[[#This Row],[_LeafCalcStart]],WORKDAY.INTL(Tasks[[#This Row],[_LeafCalcStart]],Tasks[[#This Row],[Duration]]-1,WorkWeek,Holidays)))</f>
        <v/>
      </c>
      <c r="BV8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8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86" s="45" t="str">
        <f aca="false">IF(Tasks[[#This Row],[Predecessors]]="","",TRIM(MID(SUBSTITUTE(SUBSTITUTE(SUBSTITUTE(UPPER(Tasks[[#This Row],[Predecessors]]),";",",")," ",""),",",REPT(" ",99)),1,99)))</f>
        <v/>
      </c>
      <c r="BY86" s="45" t="str">
        <f aca="false">IF(Tasks[[#This Row],[_Pred1Text]]="","",IFERROR(VALUE(LEFT(Tasks[[#This Row],[_Pred1Text]],MIN(FIND("F",Tasks[[#This Row],[_Pred1Text]]&amp;"F"),FIND("S",Tasks[[#This Row],[_Pred1Text]]&amp;"S"),FIND("+",Tasks[[#This Row],[_Pred1Text]]&amp;"+"),FIND("-",Tasks[[#This Row],[_Pred1Text]]&amp;"-"))-1)),""))</f>
        <v/>
      </c>
      <c r="BZ8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8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86" s="45" t="str">
        <f aca="false">IF(Tasks[[#This Row],[_Pred1Text]]="","",TRIM(MID(SUBSTITUTE(SUBSTITUTE(SUBSTITUTE(UPPER(Tasks[[#This Row],[Predecessors]]),";",",")," ",""),",",REPT(" ",99)),100,99)))</f>
        <v/>
      </c>
      <c r="CC86" s="45" t="str">
        <f aca="false">IF(Tasks[[#This Row],[_Pred2Text]]="","",IFERROR(VALUE(LEFT(Tasks[[#This Row],[_Pred2Text]],MIN(FIND("F",Tasks[[#This Row],[_Pred2Text]]&amp;"F"),FIND("S",Tasks[[#This Row],[_Pred2Text]]&amp;"S"),FIND("+",Tasks[[#This Row],[_Pred2Text]]&amp;"+"),FIND("-",Tasks[[#This Row],[_Pred2Text]]&amp;"-"))-1)),""))</f>
        <v/>
      </c>
      <c r="CD8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8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86" s="45" t="str">
        <f aca="false">IF(Tasks[[#This Row],[_Pred2Text]]="","",TRIM(MID(SUBSTITUTE(SUBSTITUTE(SUBSTITUTE(UPPER(Tasks[[#This Row],[Predecessors]]),";",",")," ",""),",",REPT(" ",99)),199,99)))</f>
        <v/>
      </c>
      <c r="CG86" s="45" t="str">
        <f aca="false">IF(Tasks[[#This Row],[_Pred3Text]]="","",IFERROR(VALUE(LEFT(Tasks[[#This Row],[_Pred3Text]],MIN(FIND("F",Tasks[[#This Row],[_Pred3Text]]&amp;"F"),FIND("S",Tasks[[#This Row],[_Pred3Text]]&amp;"S"),FIND("+",Tasks[[#This Row],[_Pred3Text]]&amp;"+"),FIND("-",Tasks[[#This Row],[_Pred3Text]]&amp;"-"))-1)),""))</f>
        <v/>
      </c>
      <c r="CH8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8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86" s="45" t="str">
        <f aca="false">IF(Tasks[[#This Row],[_Pred3Text]]="","",TRIM(MID(SUBSTITUTE(SUBSTITUTE(SUBSTITUTE(UPPER(Tasks[[#This Row],[Predecessors]]),";",",")," ",""),",",REPT(" ",99)),298,99)))</f>
        <v/>
      </c>
      <c r="CK86" s="45" t="str">
        <f aca="false">IF(Tasks[[#This Row],[_Pred4Text]]="","",IFERROR(VALUE(LEFT(Tasks[[#This Row],[_Pred4Text]],MIN(FIND("F",Tasks[[#This Row],[_Pred4Text]]&amp;"F"),FIND("S",Tasks[[#This Row],[_Pred4Text]]&amp;"S"),FIND("+",Tasks[[#This Row],[_Pred4Text]]&amp;"+"),FIND("-",Tasks[[#This Row],[_Pred4Text]]&amp;"-"))-1)),""))</f>
        <v/>
      </c>
      <c r="CL8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8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86" s="45" t="str">
        <f aca="false">IF(OR(Tasks[[#This Row],[Task Name]]="",Tasks[[#This Row],[Resources]]=""),"",TRIM(MID(SUBSTITUTE(Tasks[[#This Row],[Resources]],",",REPT(" ",99)),1,99)))</f>
        <v/>
      </c>
      <c r="CO86" s="45" t="str">
        <f aca="false">IF(Tasks[[#This Row],[_Res1Text]]="","",TRIM(MID(SUBSTITUTE(Tasks[[#This Row],[Resources]],",",REPT(" ",99)),100,99)))</f>
        <v/>
      </c>
      <c r="CP86" s="45" t="str">
        <f aca="false">IF(Tasks[[#This Row],[_Res2Text]]="","",TRIM(MID(SUBSTITUTE(Tasks[[#This Row],[Resources]],",",REPT(" ",99)),199,99)))</f>
        <v/>
      </c>
      <c r="CQ86" s="45" t="str">
        <f aca="false">IF(Tasks[[#This Row],[_Res3Text]]="","",TRIM(MID(SUBSTITUTE(Tasks[[#This Row],[Resources]],",",REPT(" ",99)),298,99)))</f>
        <v/>
      </c>
      <c r="CR8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8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6" s="45" t="n">
        <f aca="false">IF(NOT(Tasks[[#This Row],[_IsLeaf]]=1),0,(Tasks[[#This Row],[_Resource1]]&lt;&gt;"")+(Tasks[[#This Row],[_Res2]]&lt;&gt;"")+(Tasks[[#This Row],[_Res3]]&lt;&gt;"")+(Tasks[[#This Row],[_Res4]]&lt;&gt;""))</f>
        <v>0</v>
      </c>
      <c r="CU8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8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6" s="45" t="n">
        <f aca="false">IF(OR(NOT(Tasks[[#This Row],[_IsLeaf]]=1),Tasks[[#This Row],[_Res2]]=""),0,IF(ISNA(MATCH(Tasks[[#This Row],[_Res2]],res_Name,0)),0,N(Tasks[[#This Row],[Duration]])*HoursPerDay*IF(Tasks[[#This Row],[_Res2Units]]="",DefaultUnits,Tasks[[#This Row],[_Res2Units]])))</f>
        <v>0</v>
      </c>
      <c r="CX86" s="45" t="n">
        <f aca="false">IF(Tasks[[#This Row],[_Res2Work]]=0,0,Tasks[[#This Row],[_Res2Work]]*IFERROR(INDEX(res_Rate,MATCH(Tasks[[#This Row],[_Res2]],res_Name,0)),0))</f>
        <v>0</v>
      </c>
      <c r="CY86" s="45" t="n">
        <f aca="false">IF(AND(AND(Tasks[[#This Row],[_IsLeaf]]=1,Tasks[[#This Row],[_LeafTotalWork]]&gt;0),Tasks[[#This Row],[_Res2Work]]&gt;0),Tasks[[#This Row],[_Res2Work]]/(Tasks[[#This Row],[_FinishWorkday]]-Tasks[[#This Row],[_StartWorkday]]+1),0)</f>
        <v>0</v>
      </c>
      <c r="CZ86" s="45" t="n">
        <f aca="false">Tasks[[#This Row],[_Res2WorkPerWD]]*MAX(0,Tasks[[#This Row],[_StartWorkday]]-1)</f>
        <v>0</v>
      </c>
      <c r="DA86" s="45" t="n">
        <f aca="false">Tasks[[#This Row],[_Res2Work]]*Tasks[[#This Row],[_LeafProgress]]</f>
        <v>0</v>
      </c>
      <c r="DB86" s="45" t="n">
        <f aca="false">IF(Tasks[[#This Row],[_LeafTotalCost]]=0,0,Tasks[[#This Row],[_LeafAC]]*Tasks[[#This Row],[_Res2Cost]]/Tasks[[#This Row],[_LeafTotalCost]])</f>
        <v>0</v>
      </c>
      <c r="DC8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8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86" s="45" t="n">
        <f aca="false">IF(OR(NOT(Tasks[[#This Row],[_IsLeaf]]=1),Tasks[[#This Row],[_Res3]]=""),0,IF(ISNA(MATCH(Tasks[[#This Row],[_Res3]],res_Name,0)),0,N(Tasks[[#This Row],[Duration]])*HoursPerDay*IF(Tasks[[#This Row],[_Res3Units]]="",DefaultUnits,Tasks[[#This Row],[_Res3Units]])))</f>
        <v>0</v>
      </c>
      <c r="DF86" s="45" t="n">
        <f aca="false">IF(Tasks[[#This Row],[_Res3Work]]=0,0,Tasks[[#This Row],[_Res3Work]]*IFERROR(INDEX(res_Rate,MATCH(Tasks[[#This Row],[_Res3]],res_Name,0)),0))</f>
        <v>0</v>
      </c>
      <c r="DG86" s="45" t="n">
        <f aca="false">IF(AND(AND(Tasks[[#This Row],[_IsLeaf]]=1,Tasks[[#This Row],[_LeafTotalWork]]&gt;0),Tasks[[#This Row],[_Res3Work]]&gt;0),Tasks[[#This Row],[_Res3Work]]/(Tasks[[#This Row],[_FinishWorkday]]-Tasks[[#This Row],[_StartWorkday]]+1),0)</f>
        <v>0</v>
      </c>
      <c r="DH86" s="45" t="n">
        <f aca="false">Tasks[[#This Row],[_Res3WorkPerWD]]*MAX(0,Tasks[[#This Row],[_StartWorkday]]-1)</f>
        <v>0</v>
      </c>
      <c r="DI86" s="45" t="n">
        <f aca="false">Tasks[[#This Row],[_Res3Work]]*Tasks[[#This Row],[_LeafProgress]]</f>
        <v>0</v>
      </c>
      <c r="DJ86" s="45" t="n">
        <f aca="false">IF(Tasks[[#This Row],[_LeafTotalCost]]=0,0,Tasks[[#This Row],[_LeafAC]]*Tasks[[#This Row],[_Res3Cost]]/Tasks[[#This Row],[_LeafTotalCost]])</f>
        <v>0</v>
      </c>
      <c r="DK8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8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86" s="45" t="n">
        <f aca="false">IF(OR(NOT(Tasks[[#This Row],[_IsLeaf]]=1),Tasks[[#This Row],[_Res4]]=""),0,IF(ISNA(MATCH(Tasks[[#This Row],[_Res4]],res_Name,0)),0,N(Tasks[[#This Row],[Duration]])*HoursPerDay*IF(Tasks[[#This Row],[_Res4Units]]="",DefaultUnits,Tasks[[#This Row],[_Res4Units]])))</f>
        <v>0</v>
      </c>
      <c r="DN86" s="45" t="n">
        <f aca="false">IF(Tasks[[#This Row],[_Res4Work]]=0,0,Tasks[[#This Row],[_Res4Work]]*IFERROR(INDEX(res_Rate,MATCH(Tasks[[#This Row],[_Res4]],res_Name,0)),0))</f>
        <v>0</v>
      </c>
      <c r="DO86" s="45" t="n">
        <f aca="false">IF(AND(AND(Tasks[[#This Row],[_IsLeaf]]=1,Tasks[[#This Row],[_LeafTotalWork]]&gt;0),Tasks[[#This Row],[_Res4Work]]&gt;0),Tasks[[#This Row],[_Res4Work]]/(Tasks[[#This Row],[_FinishWorkday]]-Tasks[[#This Row],[_StartWorkday]]+1),0)</f>
        <v>0</v>
      </c>
      <c r="DP86" s="45" t="n">
        <f aca="false">Tasks[[#This Row],[_Res4WorkPerWD]]*MAX(0,Tasks[[#This Row],[_StartWorkday]]-1)</f>
        <v>0</v>
      </c>
      <c r="DQ86" s="45" t="n">
        <f aca="false">Tasks[[#This Row],[_Res4Work]]*Tasks[[#This Row],[_LeafProgress]]</f>
        <v>0</v>
      </c>
      <c r="DR86" s="45" t="n">
        <f aca="false">IF(Tasks[[#This Row],[_LeafTotalCost]]=0,0,Tasks[[#This Row],[_LeafAC]]*Tasks[[#This Row],[_Res4Cost]]/Tasks[[#This Row],[_LeafTotalCost]])</f>
        <v>0</v>
      </c>
      <c r="DS86" s="45" t="n">
        <f aca="false">IF(ISNUMBER(Tasks[[#This Row],[% Complete]]),Tasks[[#This Row],[% Complete]],IF(Tasks[[#This Row],[Stage]]="",0,IFERROR(INDEX(stg_Pct,MATCH(Tasks[[#This Row],[Stage]],stg_Name,0)),0)))</f>
        <v>0</v>
      </c>
      <c r="DT86" s="45" t="n">
        <f aca="false">IF(NOT(Tasks[[#This Row],[_IsLeaf]]=1),0,IF(N(Tasks[[#This Row],[Actual Finish]])&gt;0,1,MIN(1,Tasks[[#This Row],[_Pct]])))</f>
        <v>0</v>
      </c>
      <c r="DU86" s="45" t="n">
        <f aca="false">IF(OR(NOT(Tasks[[#This Row],[_IsLeaf]]=1),Tasks[[#This Row],[_Resource1]]=""),0,IF(ISNA(MATCH(Tasks[[#This Row],[_Resource1]],res_Name,0)),0,N(Tasks[[#This Row],[Duration]])*HoursPerDay*IF(Tasks[[#This Row],[_Units1]]="",DefaultUnits,Tasks[[#This Row],[_Units1]])))</f>
        <v>0</v>
      </c>
      <c r="DV86" s="45" t="n">
        <f aca="false">IF(Tasks[[#This Row],[_LeafWork]]=0,0,Tasks[[#This Row],[_LeafWork]]*IFERROR(INDEX(res_Rate,MATCH(Tasks[[#This Row],[_Resource1]],res_Name,0)),0))</f>
        <v>0</v>
      </c>
      <c r="DW86" s="45" t="n">
        <f aca="false">Tasks[[#This Row],[_LeafWork]]+Tasks[[#This Row],[_Res2Work]]+Tasks[[#This Row],[_Res3Work]]+Tasks[[#This Row],[_Res4Work]]</f>
        <v>0</v>
      </c>
      <c r="DX86" s="45" t="n">
        <f aca="false">Tasks[[#This Row],[_LeafCost]]+Tasks[[#This Row],[_Res2Cost]]+Tasks[[#This Row],[_Res3Cost]]+Tasks[[#This Row],[_Res4Cost]]</f>
        <v>0</v>
      </c>
      <c r="DY86" s="45" t="n">
        <f aca="false">IF(Tasks[[#This Row],[_LeafTotalCost]]=0,Tasks[[#This Row],[_LeafAC]],Tasks[[#This Row],[_LeafAC]]*Tasks[[#This Row],[_LeafCost]]/Tasks[[#This Row],[_LeafTotalCost]])</f>
        <v>0</v>
      </c>
      <c r="DZ8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8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8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8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8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8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8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8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86" s="45" t="n">
        <f aca="false">IF(NOT(Tasks[[#This Row],[_IsLeaf]]=1),0,MAX(_xlfn.MAXIFS(Tasks[_Row],Tasks[_Pred1UID],Tasks[[#This Row],[UID]]),_xlfn.MAXIFS(Tasks[_Row],Tasks[_Pred2UID],Tasks[[#This Row],[UID]]),_xlfn.MAXIFS(Tasks[_Row],Tasks[_Pred3UID],Tasks[[#This Row],[UID]]),_xlfn.MAXIFS(Tasks[_Row],Tasks[_Pred4UID],Tasks[[#This Row],[UID]])))</f>
        <v>0</v>
      </c>
      <c r="EI8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8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86" s="74" t="str">
        <f aca="false">IF(NOT(Tasks[[#This Row],[_IsLeaf]]=1),"",IF(N(Tasks[[#This Row],[Duration]])&lt;=0,Tasks[[#This Row],[_LeafLateFinish]],WORKDAY.INTL(Tasks[[#This Row],[_LeafLateFinish]],-(Tasks[[#This Row],[Duration]]-1),WorkWeek,Holidays)))</f>
        <v/>
      </c>
      <c r="EL8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86" s="73" t="b">
        <f aca="false">AND(Tasks[[#This Row],[_IsLeaf]]=1,Tasks[[#This Row],[_LeafProgress]]&lt;1,N(Tasks[[#This Row],[_LeafTotalSlack]])&lt;=CriticalSlackDays)</f>
        <v>0</v>
      </c>
      <c r="EN86" s="45" t="n">
        <f aca="false">IF(AND(Tasks[[#This Row],[_IsLeaf]]=1,Tasks[[#This Row],[_ConstraintCode]]=1,Tasks[[#This Row],[Mode]]&lt;&gt;"Manual",N(Tasks[[#This Row],[Actual Start]])=0),MAX(0,N(Tasks[[#This Row],[Free Slack]])),0)</f>
        <v>0</v>
      </c>
      <c r="EO86" s="74" t="str">
        <f aca="false">IF(NOT(Tasks[[#This Row],[_IsLeaf]]=1),"",IF(Tasks[[#This Row],[_AlapShift]]=0,Tasks[[#This Row],[_LeafCalcStart]],WORKDAY.INTL(Tasks[[#This Row],[_LeafCalcStart]],Tasks[[#This Row],[_AlapShift]],WorkWeek,Holidays)))</f>
        <v/>
      </c>
      <c r="EP86" s="74" t="str">
        <f aca="false">IF(NOT(Tasks[[#This Row],[_IsLeaf]]=1),"",IF(Tasks[[#This Row],[_AlapShift]]=0,Tasks[[#This Row],[_LeafCalcFinish]],WORKDAY.INTL(Tasks[[#This Row],[_LeafCalcFinish]],Tasks[[#This Row],[_AlapShift]],WorkWeek,Holidays)))</f>
        <v/>
      </c>
      <c r="EQ86" s="74" t="str">
        <f aca="false">IF(NOT(Tasks[[#This Row],[_IsLeaf]]=1),"",IF(Tasks[[#This Row],[_AlapShift]]=0,Tasks[[#This Row],[_LeafFcstStart]],WORKDAY.INTL(Tasks[[#This Row],[_LeafFcstStart]],Tasks[[#This Row],[_AlapShift]],WorkWeek,Holidays)))</f>
        <v/>
      </c>
      <c r="ER86" s="74" t="str">
        <f aca="false">IF(NOT(Tasks[[#This Row],[_IsLeaf]]=1),"",IF(Tasks[[#This Row],[_AlapShift]]=0,Tasks[[#This Row],[_LeafFcstFinish]],WORKDAY.INTL(Tasks[[#This Row],[_LeafFcstFinish]],Tasks[[#This Row],[_AlapShift]],WorkWeek,Holidays)))</f>
        <v/>
      </c>
      <c r="ES86" s="74" t="str">
        <f aca="false">IF(Tasks[[#This Row],[Task Name]]="","",IF(Tasks[[#This Row],[_IsSummary]],MIN(INDEX(Tasks[_ShownCalcStart],Tasks[[#This Row],[_Row]]+1):INDEX(Tasks[_ShownCalcStart],Tasks[[#This Row],[_Row]]+Tasks[[#This Row],[_Descendants]])),Tasks[[#This Row],[_ShownCalcStart]]))</f>
        <v/>
      </c>
      <c r="ET86" s="74" t="str">
        <f aca="false">IF(Tasks[[#This Row],[Task Name]]="","",IF(Tasks[[#This Row],[_IsSummary]],MAX(INDEX(Tasks[_ShownCalcFinish],Tasks[[#This Row],[_Row]]+1):INDEX(Tasks[_ShownCalcFinish],Tasks[[#This Row],[_Row]]+Tasks[[#This Row],[_Descendants]])),Tasks[[#This Row],[_ShownCalcFinish]]))</f>
        <v/>
      </c>
      <c r="EU8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8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8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8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8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8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8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8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8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8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8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8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86" s="45" t="n">
        <f aca="false">IF(AND(Tasks[[#This Row],[_IsLeaf]]=1,Tasks[[#This Row],[_LeafTotalWork]]&gt;0),NETWORKDAYS.INTL(ProjectStart,Tasks[[#This Row],[_ShownFcstStart]],WorkWeek,Holidays),0)</f>
        <v>0</v>
      </c>
      <c r="FH86" s="45" t="n">
        <f aca="false">IF(AND(Tasks[[#This Row],[_IsLeaf]]=1,Tasks[[#This Row],[_LeafTotalWork]]&gt;0),MAX(Tasks[[#This Row],[_StartWorkday]],NETWORKDAYS.INTL(ProjectStart,Tasks[[#This Row],[_ShownFcstFinish]],WorkWeek,Holidays)),0)</f>
        <v>0</v>
      </c>
      <c r="FI86" s="45" t="n">
        <f aca="false">IF(AND(Tasks[[#This Row],[_IsLeaf]]=1,Tasks[[#This Row],[_LeafTotalWork]]&gt;0),Tasks[[#This Row],[_LeafWork]]/(Tasks[[#This Row],[_FinishWorkday]]-Tasks[[#This Row],[_StartWorkday]]+1),0)</f>
        <v>0</v>
      </c>
      <c r="FJ86" s="45" t="n">
        <f aca="false">Tasks[[#This Row],[_WorkPerWorkday]]*(Tasks[[#This Row],[_StartWorkday]]-1)</f>
        <v>-0</v>
      </c>
      <c r="FK86" s="45" t="n">
        <f aca="false">IF(Tasks[[#This Row],[_IsLeaf]]=1,MAX(N(Tasks[[#This Row],[Duration]]),0.1),0)</f>
        <v>0</v>
      </c>
      <c r="FL86" s="45" t="n">
        <f aca="false">Tasks[[#This Row],[_WeightDur]]*Tasks[[#This Row],[_LeafProgress]]</f>
        <v>0</v>
      </c>
      <c r="FM8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86" s="45" t="str">
        <f aca="false">IF(AND(Tasks[[#This Row],[_IsLeaf]]=1,N(Tasks[[#This Row],[Duration]])=0,Tasks[[#This Row],[_LeafProgress]]&lt;1),Tasks[[#This Row],[_ShownFcstFinish]]+Tasks[[#This Row],[_Row]]/100000,"")</f>
        <v/>
      </c>
      <c r="FO8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86" s="45" t="n">
        <f aca="false">IF(NOT(Tasks[[#This Row],[_IsLeaf]]=1),0,IF(Tasks[[#This Row],[Baseline Cost]]="",Tasks[[#This Row],[_LeafTotalCost]],N(Tasks[[#This Row],[Baseline Cost]])))</f>
        <v>0</v>
      </c>
      <c r="FQ86" s="45" t="n">
        <f aca="false">Tasks[[#This Row],[_LeafBudget]]*Tasks[[#This Row],[_PlannedPct]]</f>
        <v>0</v>
      </c>
      <c r="FR86" s="45" t="n">
        <f aca="false">Tasks[[#This Row],[_LeafBudget]]*Tasks[[#This Row],[_LeafProgress]]</f>
        <v>0</v>
      </c>
      <c r="FS86" s="45" t="n">
        <f aca="false">IF(NOT(Tasks[[#This Row],[_IsLeaf]]=1),0,IF(Tasks[[#This Row],[Actual Cost]]="",Tasks[[#This Row],[_LeafTotalCost]]*Tasks[[#This Row],[_LeafProgress]],N(Tasks[[#This Row],[Actual Cost]])))</f>
        <v>0</v>
      </c>
      <c r="FT86" s="45" t="str">
        <f aca="false">IF(Tasks[[#This Row],[Task Name]]="","",LEFT(Tasks[[#This Row],[WBS]],FIND(".",Tasks[[#This Row],[WBS]]&amp;".")-1))</f>
        <v/>
      </c>
      <c r="FU86" s="45" t="str">
        <f aca="false">IF(AND(Tasks[[#This Row],[Task Name]]&lt;&gt;"",Tasks[[#This Row],[_Level]]=1),Tasks[[#This Row],[_Row]],"")</f>
        <v/>
      </c>
      <c r="FV86" s="45" t="str">
        <f aca="false">IF(AND(Tasks[[#This Row],[_IsLeaf]]=1,N(Tasks[[#This Row],[Duration]])=0),Tasks[[#This Row],[Planned Finish]]+Tasks[[#This Row],[_Row]]/100000,"")</f>
        <v/>
      </c>
      <c r="FW86" s="45" t="str">
        <f aca="false">IF(AND(Tasks[[#This Row],[_IsLeaf]]=1,Tasks[[#This Row],[_LeafProgress]]&lt;1,OR(N(Tasks[[#This Row],[Finish Var]])&gt;0,Tasks[[#This Row],[Status]]="Late Start")),MAX(0,Tasks[[#This Row],[Finish Var]])+1-Tasks[[#This Row],[_Row]]/1000000,"")</f>
        <v/>
      </c>
      <c r="FX86" s="45" t="str">
        <f aca="false">IF(AND(Tasks[[#This Row],[_IsLeaf]]=1,N(Tasks[[#This Row],[Actual Start]])=0,Tasks[[#This Row],[_ShownFcstStart]]&gt;=StatusDate,Tasks[[#This Row],[_ShownFcstStart]]&lt;=LookaheadEnd),Tasks[[#This Row],[_ShownFcstStart]]+Tasks[[#This Row],[_Row]]/100000,"")</f>
        <v/>
      </c>
      <c r="FY86" s="45" t="str">
        <f aca="false">IF(AND(Tasks[[#This Row],[_IsLeaf]]=1,Tasks[[#This Row],[_LeafProgress]]&lt;1,Tasks[[#This Row],[_ShownFcstFinish]]&gt;=StatusDate,Tasks[[#This Row],[_ShownFcstFinish]]&lt;=LookaheadEnd),Tasks[[#This Row],[_ShownFcstFinish]]+Tasks[[#This Row],[_Row]]/100000,"")</f>
        <v/>
      </c>
      <c r="FZ86" s="45" t="str">
        <f aca="false">IF(Tasks[[#This Row],[_LeafCritical]],Tasks[[#This Row],[_ShownFcstStart]]+Tasks[[#This Row],[_Row]]/100000,"")</f>
        <v/>
      </c>
      <c r="GA86" s="45" t="n">
        <f aca="false">Tasks[[#This Row],[_LeafWork]]*Tasks[[#This Row],[_LeafProgress]]</f>
        <v>0</v>
      </c>
      <c r="GB86" s="74" t="str">
        <f aca="false">IF(AND(Tasks[[#This Row],[_IsLeaf]]=1,Tasks[[#This Row],[_LeafProgress]]&gt;=1),IF(N(Tasks[[#This Row],[Actual Finish]])&gt;0,Tasks[[#This Row],[Actual Finish]],Tasks[[#This Row],[_ShownFcstFinish]]),"")</f>
        <v/>
      </c>
    </row>
    <row r="87" customFormat="false" ht="15" hidden="false" customHeight="false" outlineLevel="0" collapsed="false">
      <c r="A87" s="67" t="str">
        <f aca="false">IF(Tasks[[#This Row],[Task Name]]="","",COUNTA(Tasks[[#Headers],[Task Name]]:Tasks[[#This Row],[Task Name]])-1)</f>
        <v/>
      </c>
      <c r="B87" s="21" t="n">
        <v>82</v>
      </c>
      <c r="C8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21"/>
      <c r="E87" s="22"/>
      <c r="F87" s="21"/>
      <c r="G87" s="22"/>
      <c r="H87" s="22"/>
      <c r="I87" s="22"/>
      <c r="J87" s="7"/>
      <c r="K87" s="7"/>
      <c r="L87" s="22"/>
      <c r="M87" s="58" t="str">
        <f aca="false">IF(Tasks[[#This Row],[Task Name]]="","",IF(Tasks[[#This Row],[_IsSummary]],MIN(INDEX(Tasks[_ShownFcstStart],Tasks[[#This Row],[_Row]]+1):INDEX(Tasks[_ShownFcstStart],Tasks[[#This Row],[_Row]]+Tasks[[#This Row],[_Descendants]])),Tasks[[#This Row],[_ShownFcstStart]]))</f>
        <v/>
      </c>
      <c r="N87" s="58" t="str">
        <f aca="false">IF(Tasks[[#This Row],[Task Name]]="","",IF(Tasks[[#This Row],[_IsSummary]],MAX(INDEX(Tasks[_ShownFcstFinish],Tasks[[#This Row],[_Row]]+1):INDEX(Tasks[_ShownFcstFinish],Tasks[[#This Row],[_Row]]+Tasks[[#This Row],[_Descendants]])),Tasks[[#This Row],[_ShownFcstFinish]]))</f>
        <v/>
      </c>
      <c r="O87" s="20" t="str">
        <f aca="false">IF(Tasks[[#This Row],[Task Name]]="","",IF(Tasks[[#This Row],[Progress]]&gt;=1,"Complete",IF(OR(N(Tasks[[#This Row],[Actual Start]])&gt;0,Tasks[[#This Row],[Progress]]&gt;0),IF(Tasks[[#This Row],[Finish Var]]&gt;0,"Behind","In Progress"),IF(Tasks[[#This Row],[Planned Start]]&lt;StatusDate,"Late Start","Not Started"))))</f>
        <v/>
      </c>
      <c r="P87" s="20" t="str">
        <f aca="false">IF(Tasks[[#This Row],[Task Name]]="","",IF(IF(Tasks[[#This Row],[_IsSummary]],COUNTIF(INDEX(Tasks[_LeafCritical],Tasks[[#This Row],[_Row]]+1):INDEX(Tasks[_LeafCritical],Tasks[[#This Row],[_Row]]+Tasks[[#This Row],[_Descendants]]),TRUE())&gt;0,Tasks[[#This Row],[_LeafCritical]]),"Yes",""))</f>
        <v/>
      </c>
      <c r="Q8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87" s="67" t="str">
        <f aca="false">IF(Tasks[[#This Row],[Task Name]]="","",IF(Tasks[[#This Row],[_Level]]&lt;=OutlineShowLevel,"Yes","No"))</f>
        <v/>
      </c>
      <c r="S87" s="7"/>
      <c r="T87" s="21"/>
      <c r="U87" s="22"/>
      <c r="V87" s="7"/>
      <c r="W87" s="67" t="str">
        <f aca="false">IF(Tasks[[#This Row],[Task Name]]="","",IF(Tasks[[#This Row],[Finish]]&gt;=Tasks[[#This Row],[Planned Finish]],NETWORKDAYS.INTL(Tasks[[#This Row],[Planned Finish]],Tasks[[#This Row],[Finish]],WorkWeek,Holidays)-1,1-NETWORKDAYS.INTL(Tasks[[#This Row],[Finish]],Tasks[[#This Row],[Planned Finish]],WorkWeek,Holidays)))</f>
        <v/>
      </c>
      <c r="X87" s="58" t="str">
        <f aca="false">IF(Tasks[[#This Row],[Task Name]]="","",IF(N(Tasks[[#This Row],[Baseline Start]])&gt;0,Tasks[[#This Row],[Baseline Start]],Tasks[[#This Row],[_CalcStart]]))</f>
        <v/>
      </c>
      <c r="Y87" s="58" t="str">
        <f aca="false">IF(Tasks[[#This Row],[Task Name]]="","",IF(N(Tasks[[#This Row],[Baseline Finish]])&gt;0,Tasks[[#This Row],[Baseline Finish]],Tasks[[#This Row],[_CalcFinish]]))</f>
        <v/>
      </c>
      <c r="Z87" s="67" t="str">
        <f aca="false">IF(Tasks[[#This Row],[Task Name]]="","",IF(Tasks[[#This Row],[Start]]&gt;=Tasks[[#This Row],[Planned Start]],NETWORKDAYS.INTL(Tasks[[#This Row],[Planned Start]],Tasks[[#This Row],[Start]],WorkWeek,Holidays)-1,1-NETWORKDAYS.INTL(Tasks[[#This Row],[Start]],Tasks[[#This Row],[Planned Start]],WorkWeek,Holidays)))</f>
        <v/>
      </c>
      <c r="AA87" s="58" t="str">
        <f aca="false">IF(Tasks[[#This Row],[Task Name]]="","",IF(Tasks[[#This Row],[_IsSummary]],MIN(INDEX(Tasks[_LeafLateStart],Tasks[[#This Row],[_Row]]+1):INDEX(Tasks[_LeafLateStart],Tasks[[#This Row],[_Row]]+Tasks[[#This Row],[_Descendants]])),Tasks[[#This Row],[_LeafLateStart]]))</f>
        <v/>
      </c>
      <c r="AB87" s="58" t="str">
        <f aca="false">IF(Tasks[[#This Row],[Task Name]]="","",IF(Tasks[[#This Row],[_IsSummary]],MAX(INDEX(Tasks[_LeafLateFinish],Tasks[[#This Row],[_Row]]+1):INDEX(Tasks[_LeafLateFinish],Tasks[[#This Row],[_Row]]+Tasks[[#This Row],[_Descendants]])),Tasks[[#This Row],[_LeafLateFinish]]))</f>
        <v/>
      </c>
      <c r="AC87" s="67" t="str">
        <f aca="false">IF(Tasks[[#This Row],[Task Name]]="","",IF(Tasks[[#This Row],[_IsSummary]],MIN(INDEX(Tasks[_LeafTotalSlack],Tasks[[#This Row],[_Row]]+1):INDEX(Tasks[_LeafTotalSlack],Tasks[[#This Row],[_Row]]+Tasks[[#This Row],[_Descendants]])),Tasks[[#This Row],[_LeafTotalSlack]]))</f>
        <v/>
      </c>
      <c r="AD8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8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8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87" s="60"/>
      <c r="AH8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8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87" s="69" t="str">
        <f aca="false">IF(Tasks[[#This Row],[Task Name]]="","",IF(Tasks[[#This Row],[_IsSummary]],SUM(INDEX(Tasks[_LeafTotalWork],Tasks[[#This Row],[_Row]]+1):INDEX(Tasks[_LeafTotalWork],Tasks[[#This Row],[_Row]]+Tasks[[#This Row],[_Descendants]])),Tasks[[#This Row],[_LeafTotalWork]]))</f>
        <v/>
      </c>
      <c r="AK8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87" s="70" t="str">
        <f aca="false">IF(Tasks[[#This Row],[Task Name]]="","",IF(Tasks[[#This Row],[_IsSummary]],SUM(INDEX(Tasks[_LeafTotalCost],Tasks[[#This Row],[_Row]]+1):INDEX(Tasks[_LeafTotalCost],Tasks[[#This Row],[_Row]]+Tasks[[#This Row],[_Descendants]])),Tasks[[#This Row],[_LeafTotalCost]]))</f>
        <v/>
      </c>
      <c r="AM87" s="71"/>
      <c r="AN87" s="20" t="str">
        <f aca="false">IF(OR(Tasks[[#This Row],[Task Name]]="",Tasks[[#This Row],[Baseline Duration]]=""),"",Tasks[[#This Row],[BL Source Duration]]-N(Tasks[[#This Row],[Baseline Duration]]))</f>
        <v/>
      </c>
      <c r="AO87" s="69" t="str">
        <f aca="false">IF(OR(Tasks[[#This Row],[Task Name]]="",Tasks[[#This Row],[Baseline Work]]=""),"",Tasks[[#This Row],[Work]]-N(Tasks[[#This Row],[Baseline Work]]))</f>
        <v/>
      </c>
      <c r="AP87" s="70" t="str">
        <f aca="false">IF(OR(Tasks[[#This Row],[Task Name]]="",Tasks[[#This Row],[Baseline Cost]]=""),"",Tasks[[#This Row],[Cost]]-N(Tasks[[#This Row],[Baseline Cost]]))</f>
        <v/>
      </c>
      <c r="AQ87" s="58" t="str">
        <f aca="false">IF(Tasks[[#This Row],[Task Name]]="","",Tasks[[#This Row],[Start]])</f>
        <v/>
      </c>
      <c r="AR87" s="58" t="str">
        <f aca="false">IF(Tasks[[#This Row],[Task Name]]="","",Tasks[[#This Row],[Finish]])</f>
        <v/>
      </c>
      <c r="AS87" s="67" t="str">
        <f aca="false">IF(Tasks[[#This Row],[Task Name]]="","",IF(Tasks[[#This Row],[_IsSummary]],NETWORKDAYS.INTL(Tasks[[#This Row],[Start]],Tasks[[#This Row],[Finish]],WorkWeek,Holidays),N(Tasks[[#This Row],[Duration]])))</f>
        <v/>
      </c>
      <c r="AT87" s="69" t="str">
        <f aca="false">IF(Tasks[[#This Row],[Task Name]]="","",Tasks[[#This Row],[Work]])</f>
        <v/>
      </c>
      <c r="AU87" s="70" t="str">
        <f aca="false">IF(Tasks[[#This Row],[Task Name]]="","",Tasks[[#This Row],[Cost]])</f>
        <v/>
      </c>
      <c r="AV87" s="7"/>
      <c r="AW87" s="7"/>
      <c r="AX87" s="21"/>
      <c r="AY87" s="72"/>
      <c r="AZ87" s="71"/>
      <c r="BA87" s="70" t="str">
        <f aca="false">IF(Tasks[[#This Row],[Task Name]]="","",IF(Tasks[[#This Row],[_IsSummary]],SUM(INDEX(Tasks[_LeafEV],Tasks[[#This Row],[_Row]]+1):INDEX(Tasks[_LeafEV],Tasks[[#This Row],[_Row]]+Tasks[[#This Row],[_Descendants]])),Tasks[[#This Row],[_LeafEV]]))</f>
        <v/>
      </c>
      <c r="BB87" s="70" t="str">
        <f aca="false">IF(Tasks[[#This Row],[Task Name]]="","",IF(Tasks[[#This Row],[_IsSummary]],SUM(INDEX(Tasks[_LeafBudget],Tasks[[#This Row],[_Row]]+1):INDEX(Tasks[_LeafBudget],Tasks[[#This Row],[_Row]]+Tasks[[#This Row],[_Descendants]])),Tasks[[#This Row],[_LeafBudget]]))</f>
        <v/>
      </c>
      <c r="BC87" s="70" t="str">
        <f aca="false">IF(Tasks[[#This Row],[Task Name]]="","",IF(Tasks[[#This Row],[_IsSummary]],SUM(INDEX(Tasks[_LeafPV],Tasks[[#This Row],[_Row]]+1):INDEX(Tasks[_LeafPV],Tasks[[#This Row],[_Row]]+Tasks[[#This Row],[_Descendants]])),Tasks[[#This Row],[_LeafPV]]))</f>
        <v/>
      </c>
      <c r="BD87" s="70" t="str">
        <f aca="false">IF(Tasks[[#This Row],[Task Name]]="","",IF(Tasks[[#This Row],[_IsSummary]],SUM(INDEX(Tasks[_LeafAC],Tasks[[#This Row],[_Row]]+1):INDEX(Tasks[_LeafAC],Tasks[[#This Row],[_Row]]+Tasks[[#This Row],[_Descendants]])),Tasks[[#This Row],[_LeafAC]]))</f>
        <v/>
      </c>
      <c r="BE87" s="45" t="str">
        <f aca="false">IF(Tasks[[#This Row],[Task Name]]="","",MAX(1,N(Tasks[[#This Row],[Level]])))</f>
        <v/>
      </c>
      <c r="BF87" s="45" t="n">
        <f aca="false">ROW()-ROW(Tasks[[#Headers],[ID]])</f>
        <v>82</v>
      </c>
      <c r="BG87" s="45" t="n">
        <f aca="false">IF(OR(Tasks[[#This Row],[Task Name]]="",Tasks[[#This Row],[_Level]]&lt;=1),0,IFERROR(LOOKUP(2,1/(Tasks[[#Headers],[_Level]]:Tasks[[#This Row],[_Level]]=Tasks[[#This Row],[_Level]]-1),ROW(Tasks[[#Headers],[_Level]]:Tasks[[#This Row],[_Level]])),0))</f>
        <v>0</v>
      </c>
      <c r="BH87" s="45" t="n">
        <f aca="false">IFERROR(N(INDEX(Tasks[_Level],Tasks[[#This Row],[_Row]]+1)),0)</f>
        <v>0</v>
      </c>
      <c r="BI87" s="73" t="b">
        <f aca="false">AND(Tasks[[#This Row],[Task Name]]&lt;&gt;"",Tasks[[#This Row],[_NextLevel]]&gt;Tasks[[#This Row],[_Level]])</f>
        <v>0</v>
      </c>
      <c r="BJ87" s="45" t="n">
        <f aca="false">IF(Tasks[[#This Row],[_IsSummary]],COUNTIF(Tasks[WBS],Tasks[[#This Row],[WBS]]&amp;".*"),0)</f>
        <v>0</v>
      </c>
      <c r="BK87" s="45" t="n">
        <f aca="false">IF(AND(Tasks[[#This Row],[Task Name]]&lt;&gt;"",NOT(Tasks[[#This Row],[_IsSummary]])),1,0)</f>
        <v>0</v>
      </c>
      <c r="BL87" s="45" t="n">
        <f aca="false">IF(N(Tasks[[#This Row],[_Pred1UID]])=0,0,IFERROR(MATCH(Tasks[[#This Row],[_Pred1UID]],Tasks[UID],0),-1))</f>
        <v>0</v>
      </c>
      <c r="BM87" s="45" t="n">
        <f aca="false">IF(N(Tasks[[#This Row],[_Pred2UID]])=0,0,IFERROR(MATCH(Tasks[[#This Row],[_Pred2UID]],Tasks[UID],0),-1))</f>
        <v>0</v>
      </c>
      <c r="BN87" s="45" t="n">
        <f aca="false">IF(N(Tasks[[#This Row],[_Pred3UID]])=0,0,IFERROR(MATCH(Tasks[[#This Row],[_Pred3UID]],Tasks[UID],0),-1))</f>
        <v>0</v>
      </c>
      <c r="BO87" s="45" t="n">
        <f aca="false">IF(N(Tasks[[#This Row],[_Pred4UID]])=0,0,IFERROR(MATCH(Tasks[[#This Row],[_Pred4UID]],Tasks[UID],0),-1))</f>
        <v>0</v>
      </c>
      <c r="BP8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8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87" s="74" t="n">
        <f aca="false">IF(OR(Tasks[[#This Row],[_ConstraintCode]]=2,Tasks[[#This Row],[_ConstraintCode]]=3,Tasks[[#This Row],[_ConstraintCode]]=4,Tasks[[#This Row],[_ConstraintCode]]=6),Tasks[[#This Row],[_ConstraintStart]],0)</f>
        <v>0</v>
      </c>
      <c r="BS87" s="74" t="n">
        <f aca="false">IF(OR(Tasks[[#This Row],[_ConstraintCode]]=2,Tasks[[#This Row],[_ConstraintCode]]=3,Tasks[[#This Row],[_ConstraintCode]]=5,Tasks[[#This Row],[_ConstraintCode]]=7),Tasks[[#This Row],[_ConstraintStart]],2958465)</f>
        <v>2958465</v>
      </c>
      <c r="BT8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87" s="74" t="str">
        <f aca="false">IF(NOT(Tasks[[#This Row],[_IsLeaf]]=1),"",IF(N(Tasks[[#This Row],[Duration]])&lt;=0,Tasks[[#This Row],[_LeafCalcStart]],WORKDAY.INTL(Tasks[[#This Row],[_LeafCalcStart]],Tasks[[#This Row],[Duration]]-1,WorkWeek,Holidays)))</f>
        <v/>
      </c>
      <c r="BV8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8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87" s="45" t="str">
        <f aca="false">IF(Tasks[[#This Row],[Predecessors]]="","",TRIM(MID(SUBSTITUTE(SUBSTITUTE(SUBSTITUTE(UPPER(Tasks[[#This Row],[Predecessors]]),";",",")," ",""),",",REPT(" ",99)),1,99)))</f>
        <v/>
      </c>
      <c r="BY87" s="45" t="str">
        <f aca="false">IF(Tasks[[#This Row],[_Pred1Text]]="","",IFERROR(VALUE(LEFT(Tasks[[#This Row],[_Pred1Text]],MIN(FIND("F",Tasks[[#This Row],[_Pred1Text]]&amp;"F"),FIND("S",Tasks[[#This Row],[_Pred1Text]]&amp;"S"),FIND("+",Tasks[[#This Row],[_Pred1Text]]&amp;"+"),FIND("-",Tasks[[#This Row],[_Pred1Text]]&amp;"-"))-1)),""))</f>
        <v/>
      </c>
      <c r="BZ8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8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87" s="45" t="str">
        <f aca="false">IF(Tasks[[#This Row],[_Pred1Text]]="","",TRIM(MID(SUBSTITUTE(SUBSTITUTE(SUBSTITUTE(UPPER(Tasks[[#This Row],[Predecessors]]),";",",")," ",""),",",REPT(" ",99)),100,99)))</f>
        <v/>
      </c>
      <c r="CC87" s="45" t="str">
        <f aca="false">IF(Tasks[[#This Row],[_Pred2Text]]="","",IFERROR(VALUE(LEFT(Tasks[[#This Row],[_Pred2Text]],MIN(FIND("F",Tasks[[#This Row],[_Pred2Text]]&amp;"F"),FIND("S",Tasks[[#This Row],[_Pred2Text]]&amp;"S"),FIND("+",Tasks[[#This Row],[_Pred2Text]]&amp;"+"),FIND("-",Tasks[[#This Row],[_Pred2Text]]&amp;"-"))-1)),""))</f>
        <v/>
      </c>
      <c r="CD8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8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87" s="45" t="str">
        <f aca="false">IF(Tasks[[#This Row],[_Pred2Text]]="","",TRIM(MID(SUBSTITUTE(SUBSTITUTE(SUBSTITUTE(UPPER(Tasks[[#This Row],[Predecessors]]),";",",")," ",""),",",REPT(" ",99)),199,99)))</f>
        <v/>
      </c>
      <c r="CG87" s="45" t="str">
        <f aca="false">IF(Tasks[[#This Row],[_Pred3Text]]="","",IFERROR(VALUE(LEFT(Tasks[[#This Row],[_Pred3Text]],MIN(FIND("F",Tasks[[#This Row],[_Pred3Text]]&amp;"F"),FIND("S",Tasks[[#This Row],[_Pred3Text]]&amp;"S"),FIND("+",Tasks[[#This Row],[_Pred3Text]]&amp;"+"),FIND("-",Tasks[[#This Row],[_Pred3Text]]&amp;"-"))-1)),""))</f>
        <v/>
      </c>
      <c r="CH8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8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87" s="45" t="str">
        <f aca="false">IF(Tasks[[#This Row],[_Pred3Text]]="","",TRIM(MID(SUBSTITUTE(SUBSTITUTE(SUBSTITUTE(UPPER(Tasks[[#This Row],[Predecessors]]),";",",")," ",""),",",REPT(" ",99)),298,99)))</f>
        <v/>
      </c>
      <c r="CK87" s="45" t="str">
        <f aca="false">IF(Tasks[[#This Row],[_Pred4Text]]="","",IFERROR(VALUE(LEFT(Tasks[[#This Row],[_Pred4Text]],MIN(FIND("F",Tasks[[#This Row],[_Pred4Text]]&amp;"F"),FIND("S",Tasks[[#This Row],[_Pred4Text]]&amp;"S"),FIND("+",Tasks[[#This Row],[_Pred4Text]]&amp;"+"),FIND("-",Tasks[[#This Row],[_Pred4Text]]&amp;"-"))-1)),""))</f>
        <v/>
      </c>
      <c r="CL8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8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87" s="45" t="str">
        <f aca="false">IF(OR(Tasks[[#This Row],[Task Name]]="",Tasks[[#This Row],[Resources]]=""),"",TRIM(MID(SUBSTITUTE(Tasks[[#This Row],[Resources]],",",REPT(" ",99)),1,99)))</f>
        <v/>
      </c>
      <c r="CO87" s="45" t="str">
        <f aca="false">IF(Tasks[[#This Row],[_Res1Text]]="","",TRIM(MID(SUBSTITUTE(Tasks[[#This Row],[Resources]],",",REPT(" ",99)),100,99)))</f>
        <v/>
      </c>
      <c r="CP87" s="45" t="str">
        <f aca="false">IF(Tasks[[#This Row],[_Res2Text]]="","",TRIM(MID(SUBSTITUTE(Tasks[[#This Row],[Resources]],",",REPT(" ",99)),199,99)))</f>
        <v/>
      </c>
      <c r="CQ87" s="45" t="str">
        <f aca="false">IF(Tasks[[#This Row],[_Res3Text]]="","",TRIM(MID(SUBSTITUTE(Tasks[[#This Row],[Resources]],",",REPT(" ",99)),298,99)))</f>
        <v/>
      </c>
      <c r="CR8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8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7" s="45" t="n">
        <f aca="false">IF(NOT(Tasks[[#This Row],[_IsLeaf]]=1),0,(Tasks[[#This Row],[_Resource1]]&lt;&gt;"")+(Tasks[[#This Row],[_Res2]]&lt;&gt;"")+(Tasks[[#This Row],[_Res3]]&lt;&gt;"")+(Tasks[[#This Row],[_Res4]]&lt;&gt;""))</f>
        <v>0</v>
      </c>
      <c r="CU8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8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7" s="45" t="n">
        <f aca="false">IF(OR(NOT(Tasks[[#This Row],[_IsLeaf]]=1),Tasks[[#This Row],[_Res2]]=""),0,IF(ISNA(MATCH(Tasks[[#This Row],[_Res2]],res_Name,0)),0,N(Tasks[[#This Row],[Duration]])*HoursPerDay*IF(Tasks[[#This Row],[_Res2Units]]="",DefaultUnits,Tasks[[#This Row],[_Res2Units]])))</f>
        <v>0</v>
      </c>
      <c r="CX87" s="45" t="n">
        <f aca="false">IF(Tasks[[#This Row],[_Res2Work]]=0,0,Tasks[[#This Row],[_Res2Work]]*IFERROR(INDEX(res_Rate,MATCH(Tasks[[#This Row],[_Res2]],res_Name,0)),0))</f>
        <v>0</v>
      </c>
      <c r="CY87" s="45" t="n">
        <f aca="false">IF(AND(AND(Tasks[[#This Row],[_IsLeaf]]=1,Tasks[[#This Row],[_LeafTotalWork]]&gt;0),Tasks[[#This Row],[_Res2Work]]&gt;0),Tasks[[#This Row],[_Res2Work]]/(Tasks[[#This Row],[_FinishWorkday]]-Tasks[[#This Row],[_StartWorkday]]+1),0)</f>
        <v>0</v>
      </c>
      <c r="CZ87" s="45" t="n">
        <f aca="false">Tasks[[#This Row],[_Res2WorkPerWD]]*MAX(0,Tasks[[#This Row],[_StartWorkday]]-1)</f>
        <v>0</v>
      </c>
      <c r="DA87" s="45" t="n">
        <f aca="false">Tasks[[#This Row],[_Res2Work]]*Tasks[[#This Row],[_LeafProgress]]</f>
        <v>0</v>
      </c>
      <c r="DB87" s="45" t="n">
        <f aca="false">IF(Tasks[[#This Row],[_LeafTotalCost]]=0,0,Tasks[[#This Row],[_LeafAC]]*Tasks[[#This Row],[_Res2Cost]]/Tasks[[#This Row],[_LeafTotalCost]])</f>
        <v>0</v>
      </c>
      <c r="DC8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8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87" s="45" t="n">
        <f aca="false">IF(OR(NOT(Tasks[[#This Row],[_IsLeaf]]=1),Tasks[[#This Row],[_Res3]]=""),0,IF(ISNA(MATCH(Tasks[[#This Row],[_Res3]],res_Name,0)),0,N(Tasks[[#This Row],[Duration]])*HoursPerDay*IF(Tasks[[#This Row],[_Res3Units]]="",DefaultUnits,Tasks[[#This Row],[_Res3Units]])))</f>
        <v>0</v>
      </c>
      <c r="DF87" s="45" t="n">
        <f aca="false">IF(Tasks[[#This Row],[_Res3Work]]=0,0,Tasks[[#This Row],[_Res3Work]]*IFERROR(INDEX(res_Rate,MATCH(Tasks[[#This Row],[_Res3]],res_Name,0)),0))</f>
        <v>0</v>
      </c>
      <c r="DG87" s="45" t="n">
        <f aca="false">IF(AND(AND(Tasks[[#This Row],[_IsLeaf]]=1,Tasks[[#This Row],[_LeafTotalWork]]&gt;0),Tasks[[#This Row],[_Res3Work]]&gt;0),Tasks[[#This Row],[_Res3Work]]/(Tasks[[#This Row],[_FinishWorkday]]-Tasks[[#This Row],[_StartWorkday]]+1),0)</f>
        <v>0</v>
      </c>
      <c r="DH87" s="45" t="n">
        <f aca="false">Tasks[[#This Row],[_Res3WorkPerWD]]*MAX(0,Tasks[[#This Row],[_StartWorkday]]-1)</f>
        <v>0</v>
      </c>
      <c r="DI87" s="45" t="n">
        <f aca="false">Tasks[[#This Row],[_Res3Work]]*Tasks[[#This Row],[_LeafProgress]]</f>
        <v>0</v>
      </c>
      <c r="DJ87" s="45" t="n">
        <f aca="false">IF(Tasks[[#This Row],[_LeafTotalCost]]=0,0,Tasks[[#This Row],[_LeafAC]]*Tasks[[#This Row],[_Res3Cost]]/Tasks[[#This Row],[_LeafTotalCost]])</f>
        <v>0</v>
      </c>
      <c r="DK8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8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87" s="45" t="n">
        <f aca="false">IF(OR(NOT(Tasks[[#This Row],[_IsLeaf]]=1),Tasks[[#This Row],[_Res4]]=""),0,IF(ISNA(MATCH(Tasks[[#This Row],[_Res4]],res_Name,0)),0,N(Tasks[[#This Row],[Duration]])*HoursPerDay*IF(Tasks[[#This Row],[_Res4Units]]="",DefaultUnits,Tasks[[#This Row],[_Res4Units]])))</f>
        <v>0</v>
      </c>
      <c r="DN87" s="45" t="n">
        <f aca="false">IF(Tasks[[#This Row],[_Res4Work]]=0,0,Tasks[[#This Row],[_Res4Work]]*IFERROR(INDEX(res_Rate,MATCH(Tasks[[#This Row],[_Res4]],res_Name,0)),0))</f>
        <v>0</v>
      </c>
      <c r="DO87" s="45" t="n">
        <f aca="false">IF(AND(AND(Tasks[[#This Row],[_IsLeaf]]=1,Tasks[[#This Row],[_LeafTotalWork]]&gt;0),Tasks[[#This Row],[_Res4Work]]&gt;0),Tasks[[#This Row],[_Res4Work]]/(Tasks[[#This Row],[_FinishWorkday]]-Tasks[[#This Row],[_StartWorkday]]+1),0)</f>
        <v>0</v>
      </c>
      <c r="DP87" s="45" t="n">
        <f aca="false">Tasks[[#This Row],[_Res4WorkPerWD]]*MAX(0,Tasks[[#This Row],[_StartWorkday]]-1)</f>
        <v>0</v>
      </c>
      <c r="DQ87" s="45" t="n">
        <f aca="false">Tasks[[#This Row],[_Res4Work]]*Tasks[[#This Row],[_LeafProgress]]</f>
        <v>0</v>
      </c>
      <c r="DR87" s="45" t="n">
        <f aca="false">IF(Tasks[[#This Row],[_LeafTotalCost]]=0,0,Tasks[[#This Row],[_LeafAC]]*Tasks[[#This Row],[_Res4Cost]]/Tasks[[#This Row],[_LeafTotalCost]])</f>
        <v>0</v>
      </c>
      <c r="DS87" s="45" t="n">
        <f aca="false">IF(ISNUMBER(Tasks[[#This Row],[% Complete]]),Tasks[[#This Row],[% Complete]],IF(Tasks[[#This Row],[Stage]]="",0,IFERROR(INDEX(stg_Pct,MATCH(Tasks[[#This Row],[Stage]],stg_Name,0)),0)))</f>
        <v>0</v>
      </c>
      <c r="DT87" s="45" t="n">
        <f aca="false">IF(NOT(Tasks[[#This Row],[_IsLeaf]]=1),0,IF(N(Tasks[[#This Row],[Actual Finish]])&gt;0,1,MIN(1,Tasks[[#This Row],[_Pct]])))</f>
        <v>0</v>
      </c>
      <c r="DU87" s="45" t="n">
        <f aca="false">IF(OR(NOT(Tasks[[#This Row],[_IsLeaf]]=1),Tasks[[#This Row],[_Resource1]]=""),0,IF(ISNA(MATCH(Tasks[[#This Row],[_Resource1]],res_Name,0)),0,N(Tasks[[#This Row],[Duration]])*HoursPerDay*IF(Tasks[[#This Row],[_Units1]]="",DefaultUnits,Tasks[[#This Row],[_Units1]])))</f>
        <v>0</v>
      </c>
      <c r="DV87" s="45" t="n">
        <f aca="false">IF(Tasks[[#This Row],[_LeafWork]]=0,0,Tasks[[#This Row],[_LeafWork]]*IFERROR(INDEX(res_Rate,MATCH(Tasks[[#This Row],[_Resource1]],res_Name,0)),0))</f>
        <v>0</v>
      </c>
      <c r="DW87" s="45" t="n">
        <f aca="false">Tasks[[#This Row],[_LeafWork]]+Tasks[[#This Row],[_Res2Work]]+Tasks[[#This Row],[_Res3Work]]+Tasks[[#This Row],[_Res4Work]]</f>
        <v>0</v>
      </c>
      <c r="DX87" s="45" t="n">
        <f aca="false">Tasks[[#This Row],[_LeafCost]]+Tasks[[#This Row],[_Res2Cost]]+Tasks[[#This Row],[_Res3Cost]]+Tasks[[#This Row],[_Res4Cost]]</f>
        <v>0</v>
      </c>
      <c r="DY87" s="45" t="n">
        <f aca="false">IF(Tasks[[#This Row],[_LeafTotalCost]]=0,Tasks[[#This Row],[_LeafAC]],Tasks[[#This Row],[_LeafAC]]*Tasks[[#This Row],[_LeafCost]]/Tasks[[#This Row],[_LeafTotalCost]])</f>
        <v>0</v>
      </c>
      <c r="DZ8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8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8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8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8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8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8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8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87" s="45" t="n">
        <f aca="false">IF(NOT(Tasks[[#This Row],[_IsLeaf]]=1),0,MAX(_xlfn.MAXIFS(Tasks[_Row],Tasks[_Pred1UID],Tasks[[#This Row],[UID]]),_xlfn.MAXIFS(Tasks[_Row],Tasks[_Pred2UID],Tasks[[#This Row],[UID]]),_xlfn.MAXIFS(Tasks[_Row],Tasks[_Pred3UID],Tasks[[#This Row],[UID]]),_xlfn.MAXIFS(Tasks[_Row],Tasks[_Pred4UID],Tasks[[#This Row],[UID]])))</f>
        <v>0</v>
      </c>
      <c r="EI8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8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87" s="74" t="str">
        <f aca="false">IF(NOT(Tasks[[#This Row],[_IsLeaf]]=1),"",IF(N(Tasks[[#This Row],[Duration]])&lt;=0,Tasks[[#This Row],[_LeafLateFinish]],WORKDAY.INTL(Tasks[[#This Row],[_LeafLateFinish]],-(Tasks[[#This Row],[Duration]]-1),WorkWeek,Holidays)))</f>
        <v/>
      </c>
      <c r="EL8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87" s="73" t="b">
        <f aca="false">AND(Tasks[[#This Row],[_IsLeaf]]=1,Tasks[[#This Row],[_LeafProgress]]&lt;1,N(Tasks[[#This Row],[_LeafTotalSlack]])&lt;=CriticalSlackDays)</f>
        <v>0</v>
      </c>
      <c r="EN87" s="45" t="n">
        <f aca="false">IF(AND(Tasks[[#This Row],[_IsLeaf]]=1,Tasks[[#This Row],[_ConstraintCode]]=1,Tasks[[#This Row],[Mode]]&lt;&gt;"Manual",N(Tasks[[#This Row],[Actual Start]])=0),MAX(0,N(Tasks[[#This Row],[Free Slack]])),0)</f>
        <v>0</v>
      </c>
      <c r="EO87" s="74" t="str">
        <f aca="false">IF(NOT(Tasks[[#This Row],[_IsLeaf]]=1),"",IF(Tasks[[#This Row],[_AlapShift]]=0,Tasks[[#This Row],[_LeafCalcStart]],WORKDAY.INTL(Tasks[[#This Row],[_LeafCalcStart]],Tasks[[#This Row],[_AlapShift]],WorkWeek,Holidays)))</f>
        <v/>
      </c>
      <c r="EP87" s="74" t="str">
        <f aca="false">IF(NOT(Tasks[[#This Row],[_IsLeaf]]=1),"",IF(Tasks[[#This Row],[_AlapShift]]=0,Tasks[[#This Row],[_LeafCalcFinish]],WORKDAY.INTL(Tasks[[#This Row],[_LeafCalcFinish]],Tasks[[#This Row],[_AlapShift]],WorkWeek,Holidays)))</f>
        <v/>
      </c>
      <c r="EQ87" s="74" t="str">
        <f aca="false">IF(NOT(Tasks[[#This Row],[_IsLeaf]]=1),"",IF(Tasks[[#This Row],[_AlapShift]]=0,Tasks[[#This Row],[_LeafFcstStart]],WORKDAY.INTL(Tasks[[#This Row],[_LeafFcstStart]],Tasks[[#This Row],[_AlapShift]],WorkWeek,Holidays)))</f>
        <v/>
      </c>
      <c r="ER87" s="74" t="str">
        <f aca="false">IF(NOT(Tasks[[#This Row],[_IsLeaf]]=1),"",IF(Tasks[[#This Row],[_AlapShift]]=0,Tasks[[#This Row],[_LeafFcstFinish]],WORKDAY.INTL(Tasks[[#This Row],[_LeafFcstFinish]],Tasks[[#This Row],[_AlapShift]],WorkWeek,Holidays)))</f>
        <v/>
      </c>
      <c r="ES87" s="74" t="str">
        <f aca="false">IF(Tasks[[#This Row],[Task Name]]="","",IF(Tasks[[#This Row],[_IsSummary]],MIN(INDEX(Tasks[_ShownCalcStart],Tasks[[#This Row],[_Row]]+1):INDEX(Tasks[_ShownCalcStart],Tasks[[#This Row],[_Row]]+Tasks[[#This Row],[_Descendants]])),Tasks[[#This Row],[_ShownCalcStart]]))</f>
        <v/>
      </c>
      <c r="ET87" s="74" t="str">
        <f aca="false">IF(Tasks[[#This Row],[Task Name]]="","",IF(Tasks[[#This Row],[_IsSummary]],MAX(INDEX(Tasks[_ShownCalcFinish],Tasks[[#This Row],[_Row]]+1):INDEX(Tasks[_ShownCalcFinish],Tasks[[#This Row],[_Row]]+Tasks[[#This Row],[_Descendants]])),Tasks[[#This Row],[_ShownCalcFinish]]))</f>
        <v/>
      </c>
      <c r="EU8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8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8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8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8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8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8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8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8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8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8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8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87" s="45" t="n">
        <f aca="false">IF(AND(Tasks[[#This Row],[_IsLeaf]]=1,Tasks[[#This Row],[_LeafTotalWork]]&gt;0),NETWORKDAYS.INTL(ProjectStart,Tasks[[#This Row],[_ShownFcstStart]],WorkWeek,Holidays),0)</f>
        <v>0</v>
      </c>
      <c r="FH87" s="45" t="n">
        <f aca="false">IF(AND(Tasks[[#This Row],[_IsLeaf]]=1,Tasks[[#This Row],[_LeafTotalWork]]&gt;0),MAX(Tasks[[#This Row],[_StartWorkday]],NETWORKDAYS.INTL(ProjectStart,Tasks[[#This Row],[_ShownFcstFinish]],WorkWeek,Holidays)),0)</f>
        <v>0</v>
      </c>
      <c r="FI87" s="45" t="n">
        <f aca="false">IF(AND(Tasks[[#This Row],[_IsLeaf]]=1,Tasks[[#This Row],[_LeafTotalWork]]&gt;0),Tasks[[#This Row],[_LeafWork]]/(Tasks[[#This Row],[_FinishWorkday]]-Tasks[[#This Row],[_StartWorkday]]+1),0)</f>
        <v>0</v>
      </c>
      <c r="FJ87" s="45" t="n">
        <f aca="false">Tasks[[#This Row],[_WorkPerWorkday]]*(Tasks[[#This Row],[_StartWorkday]]-1)</f>
        <v>-0</v>
      </c>
      <c r="FK87" s="45" t="n">
        <f aca="false">IF(Tasks[[#This Row],[_IsLeaf]]=1,MAX(N(Tasks[[#This Row],[Duration]]),0.1),0)</f>
        <v>0</v>
      </c>
      <c r="FL87" s="45" t="n">
        <f aca="false">Tasks[[#This Row],[_WeightDur]]*Tasks[[#This Row],[_LeafProgress]]</f>
        <v>0</v>
      </c>
      <c r="FM8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87" s="45" t="str">
        <f aca="false">IF(AND(Tasks[[#This Row],[_IsLeaf]]=1,N(Tasks[[#This Row],[Duration]])=0,Tasks[[#This Row],[_LeafProgress]]&lt;1),Tasks[[#This Row],[_ShownFcstFinish]]+Tasks[[#This Row],[_Row]]/100000,"")</f>
        <v/>
      </c>
      <c r="FO8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87" s="45" t="n">
        <f aca="false">IF(NOT(Tasks[[#This Row],[_IsLeaf]]=1),0,IF(Tasks[[#This Row],[Baseline Cost]]="",Tasks[[#This Row],[_LeafTotalCost]],N(Tasks[[#This Row],[Baseline Cost]])))</f>
        <v>0</v>
      </c>
      <c r="FQ87" s="45" t="n">
        <f aca="false">Tasks[[#This Row],[_LeafBudget]]*Tasks[[#This Row],[_PlannedPct]]</f>
        <v>0</v>
      </c>
      <c r="FR87" s="45" t="n">
        <f aca="false">Tasks[[#This Row],[_LeafBudget]]*Tasks[[#This Row],[_LeafProgress]]</f>
        <v>0</v>
      </c>
      <c r="FS87" s="45" t="n">
        <f aca="false">IF(NOT(Tasks[[#This Row],[_IsLeaf]]=1),0,IF(Tasks[[#This Row],[Actual Cost]]="",Tasks[[#This Row],[_LeafTotalCost]]*Tasks[[#This Row],[_LeafProgress]],N(Tasks[[#This Row],[Actual Cost]])))</f>
        <v>0</v>
      </c>
      <c r="FT87" s="45" t="str">
        <f aca="false">IF(Tasks[[#This Row],[Task Name]]="","",LEFT(Tasks[[#This Row],[WBS]],FIND(".",Tasks[[#This Row],[WBS]]&amp;".")-1))</f>
        <v/>
      </c>
      <c r="FU87" s="45" t="str">
        <f aca="false">IF(AND(Tasks[[#This Row],[Task Name]]&lt;&gt;"",Tasks[[#This Row],[_Level]]=1),Tasks[[#This Row],[_Row]],"")</f>
        <v/>
      </c>
      <c r="FV87" s="45" t="str">
        <f aca="false">IF(AND(Tasks[[#This Row],[_IsLeaf]]=1,N(Tasks[[#This Row],[Duration]])=0),Tasks[[#This Row],[Planned Finish]]+Tasks[[#This Row],[_Row]]/100000,"")</f>
        <v/>
      </c>
      <c r="FW87" s="45" t="str">
        <f aca="false">IF(AND(Tasks[[#This Row],[_IsLeaf]]=1,Tasks[[#This Row],[_LeafProgress]]&lt;1,OR(N(Tasks[[#This Row],[Finish Var]])&gt;0,Tasks[[#This Row],[Status]]="Late Start")),MAX(0,Tasks[[#This Row],[Finish Var]])+1-Tasks[[#This Row],[_Row]]/1000000,"")</f>
        <v/>
      </c>
      <c r="FX87" s="45" t="str">
        <f aca="false">IF(AND(Tasks[[#This Row],[_IsLeaf]]=1,N(Tasks[[#This Row],[Actual Start]])=0,Tasks[[#This Row],[_ShownFcstStart]]&gt;=StatusDate,Tasks[[#This Row],[_ShownFcstStart]]&lt;=LookaheadEnd),Tasks[[#This Row],[_ShownFcstStart]]+Tasks[[#This Row],[_Row]]/100000,"")</f>
        <v/>
      </c>
      <c r="FY87" s="45" t="str">
        <f aca="false">IF(AND(Tasks[[#This Row],[_IsLeaf]]=1,Tasks[[#This Row],[_LeafProgress]]&lt;1,Tasks[[#This Row],[_ShownFcstFinish]]&gt;=StatusDate,Tasks[[#This Row],[_ShownFcstFinish]]&lt;=LookaheadEnd),Tasks[[#This Row],[_ShownFcstFinish]]+Tasks[[#This Row],[_Row]]/100000,"")</f>
        <v/>
      </c>
      <c r="FZ87" s="45" t="str">
        <f aca="false">IF(Tasks[[#This Row],[_LeafCritical]],Tasks[[#This Row],[_ShownFcstStart]]+Tasks[[#This Row],[_Row]]/100000,"")</f>
        <v/>
      </c>
      <c r="GA87" s="45" t="n">
        <f aca="false">Tasks[[#This Row],[_LeafWork]]*Tasks[[#This Row],[_LeafProgress]]</f>
        <v>0</v>
      </c>
      <c r="GB87" s="74" t="str">
        <f aca="false">IF(AND(Tasks[[#This Row],[_IsLeaf]]=1,Tasks[[#This Row],[_LeafProgress]]&gt;=1),IF(N(Tasks[[#This Row],[Actual Finish]])&gt;0,Tasks[[#This Row],[Actual Finish]],Tasks[[#This Row],[_ShownFcstFinish]]),"")</f>
        <v/>
      </c>
    </row>
    <row r="88" customFormat="false" ht="15" hidden="false" customHeight="false" outlineLevel="0" collapsed="false">
      <c r="A88" s="67" t="str">
        <f aca="false">IF(Tasks[[#This Row],[Task Name]]="","",COUNTA(Tasks[[#Headers],[Task Name]]:Tasks[[#This Row],[Task Name]])-1)</f>
        <v/>
      </c>
      <c r="B88" s="21" t="n">
        <v>83</v>
      </c>
      <c r="C8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21"/>
      <c r="E88" s="22"/>
      <c r="F88" s="21"/>
      <c r="G88" s="22"/>
      <c r="H88" s="22"/>
      <c r="I88" s="22"/>
      <c r="J88" s="7"/>
      <c r="K88" s="7"/>
      <c r="L88" s="22"/>
      <c r="M88" s="58" t="str">
        <f aca="false">IF(Tasks[[#This Row],[Task Name]]="","",IF(Tasks[[#This Row],[_IsSummary]],MIN(INDEX(Tasks[_ShownFcstStart],Tasks[[#This Row],[_Row]]+1):INDEX(Tasks[_ShownFcstStart],Tasks[[#This Row],[_Row]]+Tasks[[#This Row],[_Descendants]])),Tasks[[#This Row],[_ShownFcstStart]]))</f>
        <v/>
      </c>
      <c r="N88" s="58" t="str">
        <f aca="false">IF(Tasks[[#This Row],[Task Name]]="","",IF(Tasks[[#This Row],[_IsSummary]],MAX(INDEX(Tasks[_ShownFcstFinish],Tasks[[#This Row],[_Row]]+1):INDEX(Tasks[_ShownFcstFinish],Tasks[[#This Row],[_Row]]+Tasks[[#This Row],[_Descendants]])),Tasks[[#This Row],[_ShownFcstFinish]]))</f>
        <v/>
      </c>
      <c r="O88" s="20" t="str">
        <f aca="false">IF(Tasks[[#This Row],[Task Name]]="","",IF(Tasks[[#This Row],[Progress]]&gt;=1,"Complete",IF(OR(N(Tasks[[#This Row],[Actual Start]])&gt;0,Tasks[[#This Row],[Progress]]&gt;0),IF(Tasks[[#This Row],[Finish Var]]&gt;0,"Behind","In Progress"),IF(Tasks[[#This Row],[Planned Start]]&lt;StatusDate,"Late Start","Not Started"))))</f>
        <v/>
      </c>
      <c r="P88" s="20" t="str">
        <f aca="false">IF(Tasks[[#This Row],[Task Name]]="","",IF(IF(Tasks[[#This Row],[_IsSummary]],COUNTIF(INDEX(Tasks[_LeafCritical],Tasks[[#This Row],[_Row]]+1):INDEX(Tasks[_LeafCritical],Tasks[[#This Row],[_Row]]+Tasks[[#This Row],[_Descendants]]),TRUE())&gt;0,Tasks[[#This Row],[_LeafCritical]]),"Yes",""))</f>
        <v/>
      </c>
      <c r="Q8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88" s="67" t="str">
        <f aca="false">IF(Tasks[[#This Row],[Task Name]]="","",IF(Tasks[[#This Row],[_Level]]&lt;=OutlineShowLevel,"Yes","No"))</f>
        <v/>
      </c>
      <c r="S88" s="7"/>
      <c r="T88" s="21"/>
      <c r="U88" s="22"/>
      <c r="V88" s="7"/>
      <c r="W88" s="67" t="str">
        <f aca="false">IF(Tasks[[#This Row],[Task Name]]="","",IF(Tasks[[#This Row],[Finish]]&gt;=Tasks[[#This Row],[Planned Finish]],NETWORKDAYS.INTL(Tasks[[#This Row],[Planned Finish]],Tasks[[#This Row],[Finish]],WorkWeek,Holidays)-1,1-NETWORKDAYS.INTL(Tasks[[#This Row],[Finish]],Tasks[[#This Row],[Planned Finish]],WorkWeek,Holidays)))</f>
        <v/>
      </c>
      <c r="X88" s="58" t="str">
        <f aca="false">IF(Tasks[[#This Row],[Task Name]]="","",IF(N(Tasks[[#This Row],[Baseline Start]])&gt;0,Tasks[[#This Row],[Baseline Start]],Tasks[[#This Row],[_CalcStart]]))</f>
        <v/>
      </c>
      <c r="Y88" s="58" t="str">
        <f aca="false">IF(Tasks[[#This Row],[Task Name]]="","",IF(N(Tasks[[#This Row],[Baseline Finish]])&gt;0,Tasks[[#This Row],[Baseline Finish]],Tasks[[#This Row],[_CalcFinish]]))</f>
        <v/>
      </c>
      <c r="Z88" s="67" t="str">
        <f aca="false">IF(Tasks[[#This Row],[Task Name]]="","",IF(Tasks[[#This Row],[Start]]&gt;=Tasks[[#This Row],[Planned Start]],NETWORKDAYS.INTL(Tasks[[#This Row],[Planned Start]],Tasks[[#This Row],[Start]],WorkWeek,Holidays)-1,1-NETWORKDAYS.INTL(Tasks[[#This Row],[Start]],Tasks[[#This Row],[Planned Start]],WorkWeek,Holidays)))</f>
        <v/>
      </c>
      <c r="AA88" s="58" t="str">
        <f aca="false">IF(Tasks[[#This Row],[Task Name]]="","",IF(Tasks[[#This Row],[_IsSummary]],MIN(INDEX(Tasks[_LeafLateStart],Tasks[[#This Row],[_Row]]+1):INDEX(Tasks[_LeafLateStart],Tasks[[#This Row],[_Row]]+Tasks[[#This Row],[_Descendants]])),Tasks[[#This Row],[_LeafLateStart]]))</f>
        <v/>
      </c>
      <c r="AB88" s="58" t="str">
        <f aca="false">IF(Tasks[[#This Row],[Task Name]]="","",IF(Tasks[[#This Row],[_IsSummary]],MAX(INDEX(Tasks[_LeafLateFinish],Tasks[[#This Row],[_Row]]+1):INDEX(Tasks[_LeafLateFinish],Tasks[[#This Row],[_Row]]+Tasks[[#This Row],[_Descendants]])),Tasks[[#This Row],[_LeafLateFinish]]))</f>
        <v/>
      </c>
      <c r="AC88" s="67" t="str">
        <f aca="false">IF(Tasks[[#This Row],[Task Name]]="","",IF(Tasks[[#This Row],[_IsSummary]],MIN(INDEX(Tasks[_LeafTotalSlack],Tasks[[#This Row],[_Row]]+1):INDEX(Tasks[_LeafTotalSlack],Tasks[[#This Row],[_Row]]+Tasks[[#This Row],[_Descendants]])),Tasks[[#This Row],[_LeafTotalSlack]]))</f>
        <v/>
      </c>
      <c r="AD8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8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8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88" s="60"/>
      <c r="AH8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8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88" s="69" t="str">
        <f aca="false">IF(Tasks[[#This Row],[Task Name]]="","",IF(Tasks[[#This Row],[_IsSummary]],SUM(INDEX(Tasks[_LeafTotalWork],Tasks[[#This Row],[_Row]]+1):INDEX(Tasks[_LeafTotalWork],Tasks[[#This Row],[_Row]]+Tasks[[#This Row],[_Descendants]])),Tasks[[#This Row],[_LeafTotalWork]]))</f>
        <v/>
      </c>
      <c r="AK8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88" s="70" t="str">
        <f aca="false">IF(Tasks[[#This Row],[Task Name]]="","",IF(Tasks[[#This Row],[_IsSummary]],SUM(INDEX(Tasks[_LeafTotalCost],Tasks[[#This Row],[_Row]]+1):INDEX(Tasks[_LeafTotalCost],Tasks[[#This Row],[_Row]]+Tasks[[#This Row],[_Descendants]])),Tasks[[#This Row],[_LeafTotalCost]]))</f>
        <v/>
      </c>
      <c r="AM88" s="71"/>
      <c r="AN88" s="20" t="str">
        <f aca="false">IF(OR(Tasks[[#This Row],[Task Name]]="",Tasks[[#This Row],[Baseline Duration]]=""),"",Tasks[[#This Row],[BL Source Duration]]-N(Tasks[[#This Row],[Baseline Duration]]))</f>
        <v/>
      </c>
      <c r="AO88" s="69" t="str">
        <f aca="false">IF(OR(Tasks[[#This Row],[Task Name]]="",Tasks[[#This Row],[Baseline Work]]=""),"",Tasks[[#This Row],[Work]]-N(Tasks[[#This Row],[Baseline Work]]))</f>
        <v/>
      </c>
      <c r="AP88" s="70" t="str">
        <f aca="false">IF(OR(Tasks[[#This Row],[Task Name]]="",Tasks[[#This Row],[Baseline Cost]]=""),"",Tasks[[#This Row],[Cost]]-N(Tasks[[#This Row],[Baseline Cost]]))</f>
        <v/>
      </c>
      <c r="AQ88" s="58" t="str">
        <f aca="false">IF(Tasks[[#This Row],[Task Name]]="","",Tasks[[#This Row],[Start]])</f>
        <v/>
      </c>
      <c r="AR88" s="58" t="str">
        <f aca="false">IF(Tasks[[#This Row],[Task Name]]="","",Tasks[[#This Row],[Finish]])</f>
        <v/>
      </c>
      <c r="AS88" s="67" t="str">
        <f aca="false">IF(Tasks[[#This Row],[Task Name]]="","",IF(Tasks[[#This Row],[_IsSummary]],NETWORKDAYS.INTL(Tasks[[#This Row],[Start]],Tasks[[#This Row],[Finish]],WorkWeek,Holidays),N(Tasks[[#This Row],[Duration]])))</f>
        <v/>
      </c>
      <c r="AT88" s="69" t="str">
        <f aca="false">IF(Tasks[[#This Row],[Task Name]]="","",Tasks[[#This Row],[Work]])</f>
        <v/>
      </c>
      <c r="AU88" s="70" t="str">
        <f aca="false">IF(Tasks[[#This Row],[Task Name]]="","",Tasks[[#This Row],[Cost]])</f>
        <v/>
      </c>
      <c r="AV88" s="7"/>
      <c r="AW88" s="7"/>
      <c r="AX88" s="21"/>
      <c r="AY88" s="72"/>
      <c r="AZ88" s="71"/>
      <c r="BA88" s="70" t="str">
        <f aca="false">IF(Tasks[[#This Row],[Task Name]]="","",IF(Tasks[[#This Row],[_IsSummary]],SUM(INDEX(Tasks[_LeafEV],Tasks[[#This Row],[_Row]]+1):INDEX(Tasks[_LeafEV],Tasks[[#This Row],[_Row]]+Tasks[[#This Row],[_Descendants]])),Tasks[[#This Row],[_LeafEV]]))</f>
        <v/>
      </c>
      <c r="BB88" s="70" t="str">
        <f aca="false">IF(Tasks[[#This Row],[Task Name]]="","",IF(Tasks[[#This Row],[_IsSummary]],SUM(INDEX(Tasks[_LeafBudget],Tasks[[#This Row],[_Row]]+1):INDEX(Tasks[_LeafBudget],Tasks[[#This Row],[_Row]]+Tasks[[#This Row],[_Descendants]])),Tasks[[#This Row],[_LeafBudget]]))</f>
        <v/>
      </c>
      <c r="BC88" s="70" t="str">
        <f aca="false">IF(Tasks[[#This Row],[Task Name]]="","",IF(Tasks[[#This Row],[_IsSummary]],SUM(INDEX(Tasks[_LeafPV],Tasks[[#This Row],[_Row]]+1):INDEX(Tasks[_LeafPV],Tasks[[#This Row],[_Row]]+Tasks[[#This Row],[_Descendants]])),Tasks[[#This Row],[_LeafPV]]))</f>
        <v/>
      </c>
      <c r="BD88" s="70" t="str">
        <f aca="false">IF(Tasks[[#This Row],[Task Name]]="","",IF(Tasks[[#This Row],[_IsSummary]],SUM(INDEX(Tasks[_LeafAC],Tasks[[#This Row],[_Row]]+1):INDEX(Tasks[_LeafAC],Tasks[[#This Row],[_Row]]+Tasks[[#This Row],[_Descendants]])),Tasks[[#This Row],[_LeafAC]]))</f>
        <v/>
      </c>
      <c r="BE88" s="45" t="str">
        <f aca="false">IF(Tasks[[#This Row],[Task Name]]="","",MAX(1,N(Tasks[[#This Row],[Level]])))</f>
        <v/>
      </c>
      <c r="BF88" s="45" t="n">
        <f aca="false">ROW()-ROW(Tasks[[#Headers],[ID]])</f>
        <v>83</v>
      </c>
      <c r="BG88" s="45" t="n">
        <f aca="false">IF(OR(Tasks[[#This Row],[Task Name]]="",Tasks[[#This Row],[_Level]]&lt;=1),0,IFERROR(LOOKUP(2,1/(Tasks[[#Headers],[_Level]]:Tasks[[#This Row],[_Level]]=Tasks[[#This Row],[_Level]]-1),ROW(Tasks[[#Headers],[_Level]]:Tasks[[#This Row],[_Level]])),0))</f>
        <v>0</v>
      </c>
      <c r="BH88" s="45" t="n">
        <f aca="false">IFERROR(N(INDEX(Tasks[_Level],Tasks[[#This Row],[_Row]]+1)),0)</f>
        <v>0</v>
      </c>
      <c r="BI88" s="73" t="b">
        <f aca="false">AND(Tasks[[#This Row],[Task Name]]&lt;&gt;"",Tasks[[#This Row],[_NextLevel]]&gt;Tasks[[#This Row],[_Level]])</f>
        <v>0</v>
      </c>
      <c r="BJ88" s="45" t="n">
        <f aca="false">IF(Tasks[[#This Row],[_IsSummary]],COUNTIF(Tasks[WBS],Tasks[[#This Row],[WBS]]&amp;".*"),0)</f>
        <v>0</v>
      </c>
      <c r="BK88" s="45" t="n">
        <f aca="false">IF(AND(Tasks[[#This Row],[Task Name]]&lt;&gt;"",NOT(Tasks[[#This Row],[_IsSummary]])),1,0)</f>
        <v>0</v>
      </c>
      <c r="BL88" s="45" t="n">
        <f aca="false">IF(N(Tasks[[#This Row],[_Pred1UID]])=0,0,IFERROR(MATCH(Tasks[[#This Row],[_Pred1UID]],Tasks[UID],0),-1))</f>
        <v>0</v>
      </c>
      <c r="BM88" s="45" t="n">
        <f aca="false">IF(N(Tasks[[#This Row],[_Pred2UID]])=0,0,IFERROR(MATCH(Tasks[[#This Row],[_Pred2UID]],Tasks[UID],0),-1))</f>
        <v>0</v>
      </c>
      <c r="BN88" s="45" t="n">
        <f aca="false">IF(N(Tasks[[#This Row],[_Pred3UID]])=0,0,IFERROR(MATCH(Tasks[[#This Row],[_Pred3UID]],Tasks[UID],0),-1))</f>
        <v>0</v>
      </c>
      <c r="BO88" s="45" t="n">
        <f aca="false">IF(N(Tasks[[#This Row],[_Pred4UID]])=0,0,IFERROR(MATCH(Tasks[[#This Row],[_Pred4UID]],Tasks[UID],0),-1))</f>
        <v>0</v>
      </c>
      <c r="BP8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8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88" s="74" t="n">
        <f aca="false">IF(OR(Tasks[[#This Row],[_ConstraintCode]]=2,Tasks[[#This Row],[_ConstraintCode]]=3,Tasks[[#This Row],[_ConstraintCode]]=4,Tasks[[#This Row],[_ConstraintCode]]=6),Tasks[[#This Row],[_ConstraintStart]],0)</f>
        <v>0</v>
      </c>
      <c r="BS88" s="74" t="n">
        <f aca="false">IF(OR(Tasks[[#This Row],[_ConstraintCode]]=2,Tasks[[#This Row],[_ConstraintCode]]=3,Tasks[[#This Row],[_ConstraintCode]]=5,Tasks[[#This Row],[_ConstraintCode]]=7),Tasks[[#This Row],[_ConstraintStart]],2958465)</f>
        <v>2958465</v>
      </c>
      <c r="BT8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88" s="74" t="str">
        <f aca="false">IF(NOT(Tasks[[#This Row],[_IsLeaf]]=1),"",IF(N(Tasks[[#This Row],[Duration]])&lt;=0,Tasks[[#This Row],[_LeafCalcStart]],WORKDAY.INTL(Tasks[[#This Row],[_LeafCalcStart]],Tasks[[#This Row],[Duration]]-1,WorkWeek,Holidays)))</f>
        <v/>
      </c>
      <c r="BV8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8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88" s="45" t="str">
        <f aca="false">IF(Tasks[[#This Row],[Predecessors]]="","",TRIM(MID(SUBSTITUTE(SUBSTITUTE(SUBSTITUTE(UPPER(Tasks[[#This Row],[Predecessors]]),";",",")," ",""),",",REPT(" ",99)),1,99)))</f>
        <v/>
      </c>
      <c r="BY88" s="45" t="str">
        <f aca="false">IF(Tasks[[#This Row],[_Pred1Text]]="","",IFERROR(VALUE(LEFT(Tasks[[#This Row],[_Pred1Text]],MIN(FIND("F",Tasks[[#This Row],[_Pred1Text]]&amp;"F"),FIND("S",Tasks[[#This Row],[_Pred1Text]]&amp;"S"),FIND("+",Tasks[[#This Row],[_Pred1Text]]&amp;"+"),FIND("-",Tasks[[#This Row],[_Pred1Text]]&amp;"-"))-1)),""))</f>
        <v/>
      </c>
      <c r="BZ8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8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88" s="45" t="str">
        <f aca="false">IF(Tasks[[#This Row],[_Pred1Text]]="","",TRIM(MID(SUBSTITUTE(SUBSTITUTE(SUBSTITUTE(UPPER(Tasks[[#This Row],[Predecessors]]),";",",")," ",""),",",REPT(" ",99)),100,99)))</f>
        <v/>
      </c>
      <c r="CC88" s="45" t="str">
        <f aca="false">IF(Tasks[[#This Row],[_Pred2Text]]="","",IFERROR(VALUE(LEFT(Tasks[[#This Row],[_Pred2Text]],MIN(FIND("F",Tasks[[#This Row],[_Pred2Text]]&amp;"F"),FIND("S",Tasks[[#This Row],[_Pred2Text]]&amp;"S"),FIND("+",Tasks[[#This Row],[_Pred2Text]]&amp;"+"),FIND("-",Tasks[[#This Row],[_Pred2Text]]&amp;"-"))-1)),""))</f>
        <v/>
      </c>
      <c r="CD8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8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88" s="45" t="str">
        <f aca="false">IF(Tasks[[#This Row],[_Pred2Text]]="","",TRIM(MID(SUBSTITUTE(SUBSTITUTE(SUBSTITUTE(UPPER(Tasks[[#This Row],[Predecessors]]),";",",")," ",""),",",REPT(" ",99)),199,99)))</f>
        <v/>
      </c>
      <c r="CG88" s="45" t="str">
        <f aca="false">IF(Tasks[[#This Row],[_Pred3Text]]="","",IFERROR(VALUE(LEFT(Tasks[[#This Row],[_Pred3Text]],MIN(FIND("F",Tasks[[#This Row],[_Pred3Text]]&amp;"F"),FIND("S",Tasks[[#This Row],[_Pred3Text]]&amp;"S"),FIND("+",Tasks[[#This Row],[_Pred3Text]]&amp;"+"),FIND("-",Tasks[[#This Row],[_Pred3Text]]&amp;"-"))-1)),""))</f>
        <v/>
      </c>
      <c r="CH8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8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88" s="45" t="str">
        <f aca="false">IF(Tasks[[#This Row],[_Pred3Text]]="","",TRIM(MID(SUBSTITUTE(SUBSTITUTE(SUBSTITUTE(UPPER(Tasks[[#This Row],[Predecessors]]),";",",")," ",""),",",REPT(" ",99)),298,99)))</f>
        <v/>
      </c>
      <c r="CK88" s="45" t="str">
        <f aca="false">IF(Tasks[[#This Row],[_Pred4Text]]="","",IFERROR(VALUE(LEFT(Tasks[[#This Row],[_Pred4Text]],MIN(FIND("F",Tasks[[#This Row],[_Pred4Text]]&amp;"F"),FIND("S",Tasks[[#This Row],[_Pred4Text]]&amp;"S"),FIND("+",Tasks[[#This Row],[_Pred4Text]]&amp;"+"),FIND("-",Tasks[[#This Row],[_Pred4Text]]&amp;"-"))-1)),""))</f>
        <v/>
      </c>
      <c r="CL8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8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88" s="45" t="str">
        <f aca="false">IF(OR(Tasks[[#This Row],[Task Name]]="",Tasks[[#This Row],[Resources]]=""),"",TRIM(MID(SUBSTITUTE(Tasks[[#This Row],[Resources]],",",REPT(" ",99)),1,99)))</f>
        <v/>
      </c>
      <c r="CO88" s="45" t="str">
        <f aca="false">IF(Tasks[[#This Row],[_Res1Text]]="","",TRIM(MID(SUBSTITUTE(Tasks[[#This Row],[Resources]],",",REPT(" ",99)),100,99)))</f>
        <v/>
      </c>
      <c r="CP88" s="45" t="str">
        <f aca="false">IF(Tasks[[#This Row],[_Res2Text]]="","",TRIM(MID(SUBSTITUTE(Tasks[[#This Row],[Resources]],",",REPT(" ",99)),199,99)))</f>
        <v/>
      </c>
      <c r="CQ88" s="45" t="str">
        <f aca="false">IF(Tasks[[#This Row],[_Res3Text]]="","",TRIM(MID(SUBSTITUTE(Tasks[[#This Row],[Resources]],",",REPT(" ",99)),298,99)))</f>
        <v/>
      </c>
      <c r="CR8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8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8" s="45" t="n">
        <f aca="false">IF(NOT(Tasks[[#This Row],[_IsLeaf]]=1),0,(Tasks[[#This Row],[_Resource1]]&lt;&gt;"")+(Tasks[[#This Row],[_Res2]]&lt;&gt;"")+(Tasks[[#This Row],[_Res3]]&lt;&gt;"")+(Tasks[[#This Row],[_Res4]]&lt;&gt;""))</f>
        <v>0</v>
      </c>
      <c r="CU8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8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8" s="45" t="n">
        <f aca="false">IF(OR(NOT(Tasks[[#This Row],[_IsLeaf]]=1),Tasks[[#This Row],[_Res2]]=""),0,IF(ISNA(MATCH(Tasks[[#This Row],[_Res2]],res_Name,0)),0,N(Tasks[[#This Row],[Duration]])*HoursPerDay*IF(Tasks[[#This Row],[_Res2Units]]="",DefaultUnits,Tasks[[#This Row],[_Res2Units]])))</f>
        <v>0</v>
      </c>
      <c r="CX88" s="45" t="n">
        <f aca="false">IF(Tasks[[#This Row],[_Res2Work]]=0,0,Tasks[[#This Row],[_Res2Work]]*IFERROR(INDEX(res_Rate,MATCH(Tasks[[#This Row],[_Res2]],res_Name,0)),0))</f>
        <v>0</v>
      </c>
      <c r="CY88" s="45" t="n">
        <f aca="false">IF(AND(AND(Tasks[[#This Row],[_IsLeaf]]=1,Tasks[[#This Row],[_LeafTotalWork]]&gt;0),Tasks[[#This Row],[_Res2Work]]&gt;0),Tasks[[#This Row],[_Res2Work]]/(Tasks[[#This Row],[_FinishWorkday]]-Tasks[[#This Row],[_StartWorkday]]+1),0)</f>
        <v>0</v>
      </c>
      <c r="CZ88" s="45" t="n">
        <f aca="false">Tasks[[#This Row],[_Res2WorkPerWD]]*MAX(0,Tasks[[#This Row],[_StartWorkday]]-1)</f>
        <v>0</v>
      </c>
      <c r="DA88" s="45" t="n">
        <f aca="false">Tasks[[#This Row],[_Res2Work]]*Tasks[[#This Row],[_LeafProgress]]</f>
        <v>0</v>
      </c>
      <c r="DB88" s="45" t="n">
        <f aca="false">IF(Tasks[[#This Row],[_LeafTotalCost]]=0,0,Tasks[[#This Row],[_LeafAC]]*Tasks[[#This Row],[_Res2Cost]]/Tasks[[#This Row],[_LeafTotalCost]])</f>
        <v>0</v>
      </c>
      <c r="DC8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8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88" s="45" t="n">
        <f aca="false">IF(OR(NOT(Tasks[[#This Row],[_IsLeaf]]=1),Tasks[[#This Row],[_Res3]]=""),0,IF(ISNA(MATCH(Tasks[[#This Row],[_Res3]],res_Name,0)),0,N(Tasks[[#This Row],[Duration]])*HoursPerDay*IF(Tasks[[#This Row],[_Res3Units]]="",DefaultUnits,Tasks[[#This Row],[_Res3Units]])))</f>
        <v>0</v>
      </c>
      <c r="DF88" s="45" t="n">
        <f aca="false">IF(Tasks[[#This Row],[_Res3Work]]=0,0,Tasks[[#This Row],[_Res3Work]]*IFERROR(INDEX(res_Rate,MATCH(Tasks[[#This Row],[_Res3]],res_Name,0)),0))</f>
        <v>0</v>
      </c>
      <c r="DG88" s="45" t="n">
        <f aca="false">IF(AND(AND(Tasks[[#This Row],[_IsLeaf]]=1,Tasks[[#This Row],[_LeafTotalWork]]&gt;0),Tasks[[#This Row],[_Res3Work]]&gt;0),Tasks[[#This Row],[_Res3Work]]/(Tasks[[#This Row],[_FinishWorkday]]-Tasks[[#This Row],[_StartWorkday]]+1),0)</f>
        <v>0</v>
      </c>
      <c r="DH88" s="45" t="n">
        <f aca="false">Tasks[[#This Row],[_Res3WorkPerWD]]*MAX(0,Tasks[[#This Row],[_StartWorkday]]-1)</f>
        <v>0</v>
      </c>
      <c r="DI88" s="45" t="n">
        <f aca="false">Tasks[[#This Row],[_Res3Work]]*Tasks[[#This Row],[_LeafProgress]]</f>
        <v>0</v>
      </c>
      <c r="DJ88" s="45" t="n">
        <f aca="false">IF(Tasks[[#This Row],[_LeafTotalCost]]=0,0,Tasks[[#This Row],[_LeafAC]]*Tasks[[#This Row],[_Res3Cost]]/Tasks[[#This Row],[_LeafTotalCost]])</f>
        <v>0</v>
      </c>
      <c r="DK8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8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88" s="45" t="n">
        <f aca="false">IF(OR(NOT(Tasks[[#This Row],[_IsLeaf]]=1),Tasks[[#This Row],[_Res4]]=""),0,IF(ISNA(MATCH(Tasks[[#This Row],[_Res4]],res_Name,0)),0,N(Tasks[[#This Row],[Duration]])*HoursPerDay*IF(Tasks[[#This Row],[_Res4Units]]="",DefaultUnits,Tasks[[#This Row],[_Res4Units]])))</f>
        <v>0</v>
      </c>
      <c r="DN88" s="45" t="n">
        <f aca="false">IF(Tasks[[#This Row],[_Res4Work]]=0,0,Tasks[[#This Row],[_Res4Work]]*IFERROR(INDEX(res_Rate,MATCH(Tasks[[#This Row],[_Res4]],res_Name,0)),0))</f>
        <v>0</v>
      </c>
      <c r="DO88" s="45" t="n">
        <f aca="false">IF(AND(AND(Tasks[[#This Row],[_IsLeaf]]=1,Tasks[[#This Row],[_LeafTotalWork]]&gt;0),Tasks[[#This Row],[_Res4Work]]&gt;0),Tasks[[#This Row],[_Res4Work]]/(Tasks[[#This Row],[_FinishWorkday]]-Tasks[[#This Row],[_StartWorkday]]+1),0)</f>
        <v>0</v>
      </c>
      <c r="DP88" s="45" t="n">
        <f aca="false">Tasks[[#This Row],[_Res4WorkPerWD]]*MAX(0,Tasks[[#This Row],[_StartWorkday]]-1)</f>
        <v>0</v>
      </c>
      <c r="DQ88" s="45" t="n">
        <f aca="false">Tasks[[#This Row],[_Res4Work]]*Tasks[[#This Row],[_LeafProgress]]</f>
        <v>0</v>
      </c>
      <c r="DR88" s="45" t="n">
        <f aca="false">IF(Tasks[[#This Row],[_LeafTotalCost]]=0,0,Tasks[[#This Row],[_LeafAC]]*Tasks[[#This Row],[_Res4Cost]]/Tasks[[#This Row],[_LeafTotalCost]])</f>
        <v>0</v>
      </c>
      <c r="DS88" s="45" t="n">
        <f aca="false">IF(ISNUMBER(Tasks[[#This Row],[% Complete]]),Tasks[[#This Row],[% Complete]],IF(Tasks[[#This Row],[Stage]]="",0,IFERROR(INDEX(stg_Pct,MATCH(Tasks[[#This Row],[Stage]],stg_Name,0)),0)))</f>
        <v>0</v>
      </c>
      <c r="DT88" s="45" t="n">
        <f aca="false">IF(NOT(Tasks[[#This Row],[_IsLeaf]]=1),0,IF(N(Tasks[[#This Row],[Actual Finish]])&gt;0,1,MIN(1,Tasks[[#This Row],[_Pct]])))</f>
        <v>0</v>
      </c>
      <c r="DU88" s="45" t="n">
        <f aca="false">IF(OR(NOT(Tasks[[#This Row],[_IsLeaf]]=1),Tasks[[#This Row],[_Resource1]]=""),0,IF(ISNA(MATCH(Tasks[[#This Row],[_Resource1]],res_Name,0)),0,N(Tasks[[#This Row],[Duration]])*HoursPerDay*IF(Tasks[[#This Row],[_Units1]]="",DefaultUnits,Tasks[[#This Row],[_Units1]])))</f>
        <v>0</v>
      </c>
      <c r="DV88" s="45" t="n">
        <f aca="false">IF(Tasks[[#This Row],[_LeafWork]]=0,0,Tasks[[#This Row],[_LeafWork]]*IFERROR(INDEX(res_Rate,MATCH(Tasks[[#This Row],[_Resource1]],res_Name,0)),0))</f>
        <v>0</v>
      </c>
      <c r="DW88" s="45" t="n">
        <f aca="false">Tasks[[#This Row],[_LeafWork]]+Tasks[[#This Row],[_Res2Work]]+Tasks[[#This Row],[_Res3Work]]+Tasks[[#This Row],[_Res4Work]]</f>
        <v>0</v>
      </c>
      <c r="DX88" s="45" t="n">
        <f aca="false">Tasks[[#This Row],[_LeafCost]]+Tasks[[#This Row],[_Res2Cost]]+Tasks[[#This Row],[_Res3Cost]]+Tasks[[#This Row],[_Res4Cost]]</f>
        <v>0</v>
      </c>
      <c r="DY88" s="45" t="n">
        <f aca="false">IF(Tasks[[#This Row],[_LeafTotalCost]]=0,Tasks[[#This Row],[_LeafAC]],Tasks[[#This Row],[_LeafAC]]*Tasks[[#This Row],[_LeafCost]]/Tasks[[#This Row],[_LeafTotalCost]])</f>
        <v>0</v>
      </c>
      <c r="DZ8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8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8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8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8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8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8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8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88" s="45" t="n">
        <f aca="false">IF(NOT(Tasks[[#This Row],[_IsLeaf]]=1),0,MAX(_xlfn.MAXIFS(Tasks[_Row],Tasks[_Pred1UID],Tasks[[#This Row],[UID]]),_xlfn.MAXIFS(Tasks[_Row],Tasks[_Pred2UID],Tasks[[#This Row],[UID]]),_xlfn.MAXIFS(Tasks[_Row],Tasks[_Pred3UID],Tasks[[#This Row],[UID]]),_xlfn.MAXIFS(Tasks[_Row],Tasks[_Pred4UID],Tasks[[#This Row],[UID]])))</f>
        <v>0</v>
      </c>
      <c r="EI8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8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88" s="74" t="str">
        <f aca="false">IF(NOT(Tasks[[#This Row],[_IsLeaf]]=1),"",IF(N(Tasks[[#This Row],[Duration]])&lt;=0,Tasks[[#This Row],[_LeafLateFinish]],WORKDAY.INTL(Tasks[[#This Row],[_LeafLateFinish]],-(Tasks[[#This Row],[Duration]]-1),WorkWeek,Holidays)))</f>
        <v/>
      </c>
      <c r="EL8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88" s="73" t="b">
        <f aca="false">AND(Tasks[[#This Row],[_IsLeaf]]=1,Tasks[[#This Row],[_LeafProgress]]&lt;1,N(Tasks[[#This Row],[_LeafTotalSlack]])&lt;=CriticalSlackDays)</f>
        <v>0</v>
      </c>
      <c r="EN88" s="45" t="n">
        <f aca="false">IF(AND(Tasks[[#This Row],[_IsLeaf]]=1,Tasks[[#This Row],[_ConstraintCode]]=1,Tasks[[#This Row],[Mode]]&lt;&gt;"Manual",N(Tasks[[#This Row],[Actual Start]])=0),MAX(0,N(Tasks[[#This Row],[Free Slack]])),0)</f>
        <v>0</v>
      </c>
      <c r="EO88" s="74" t="str">
        <f aca="false">IF(NOT(Tasks[[#This Row],[_IsLeaf]]=1),"",IF(Tasks[[#This Row],[_AlapShift]]=0,Tasks[[#This Row],[_LeafCalcStart]],WORKDAY.INTL(Tasks[[#This Row],[_LeafCalcStart]],Tasks[[#This Row],[_AlapShift]],WorkWeek,Holidays)))</f>
        <v/>
      </c>
      <c r="EP88" s="74" t="str">
        <f aca="false">IF(NOT(Tasks[[#This Row],[_IsLeaf]]=1),"",IF(Tasks[[#This Row],[_AlapShift]]=0,Tasks[[#This Row],[_LeafCalcFinish]],WORKDAY.INTL(Tasks[[#This Row],[_LeafCalcFinish]],Tasks[[#This Row],[_AlapShift]],WorkWeek,Holidays)))</f>
        <v/>
      </c>
      <c r="EQ88" s="74" t="str">
        <f aca="false">IF(NOT(Tasks[[#This Row],[_IsLeaf]]=1),"",IF(Tasks[[#This Row],[_AlapShift]]=0,Tasks[[#This Row],[_LeafFcstStart]],WORKDAY.INTL(Tasks[[#This Row],[_LeafFcstStart]],Tasks[[#This Row],[_AlapShift]],WorkWeek,Holidays)))</f>
        <v/>
      </c>
      <c r="ER88" s="74" t="str">
        <f aca="false">IF(NOT(Tasks[[#This Row],[_IsLeaf]]=1),"",IF(Tasks[[#This Row],[_AlapShift]]=0,Tasks[[#This Row],[_LeafFcstFinish]],WORKDAY.INTL(Tasks[[#This Row],[_LeafFcstFinish]],Tasks[[#This Row],[_AlapShift]],WorkWeek,Holidays)))</f>
        <v/>
      </c>
      <c r="ES88" s="74" t="str">
        <f aca="false">IF(Tasks[[#This Row],[Task Name]]="","",IF(Tasks[[#This Row],[_IsSummary]],MIN(INDEX(Tasks[_ShownCalcStart],Tasks[[#This Row],[_Row]]+1):INDEX(Tasks[_ShownCalcStart],Tasks[[#This Row],[_Row]]+Tasks[[#This Row],[_Descendants]])),Tasks[[#This Row],[_ShownCalcStart]]))</f>
        <v/>
      </c>
      <c r="ET88" s="74" t="str">
        <f aca="false">IF(Tasks[[#This Row],[Task Name]]="","",IF(Tasks[[#This Row],[_IsSummary]],MAX(INDEX(Tasks[_ShownCalcFinish],Tasks[[#This Row],[_Row]]+1):INDEX(Tasks[_ShownCalcFinish],Tasks[[#This Row],[_Row]]+Tasks[[#This Row],[_Descendants]])),Tasks[[#This Row],[_ShownCalcFinish]]))</f>
        <v/>
      </c>
      <c r="EU8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8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8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8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8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8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8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8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8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8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8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8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88" s="45" t="n">
        <f aca="false">IF(AND(Tasks[[#This Row],[_IsLeaf]]=1,Tasks[[#This Row],[_LeafTotalWork]]&gt;0),NETWORKDAYS.INTL(ProjectStart,Tasks[[#This Row],[_ShownFcstStart]],WorkWeek,Holidays),0)</f>
        <v>0</v>
      </c>
      <c r="FH88" s="45" t="n">
        <f aca="false">IF(AND(Tasks[[#This Row],[_IsLeaf]]=1,Tasks[[#This Row],[_LeafTotalWork]]&gt;0),MAX(Tasks[[#This Row],[_StartWorkday]],NETWORKDAYS.INTL(ProjectStart,Tasks[[#This Row],[_ShownFcstFinish]],WorkWeek,Holidays)),0)</f>
        <v>0</v>
      </c>
      <c r="FI88" s="45" t="n">
        <f aca="false">IF(AND(Tasks[[#This Row],[_IsLeaf]]=1,Tasks[[#This Row],[_LeafTotalWork]]&gt;0),Tasks[[#This Row],[_LeafWork]]/(Tasks[[#This Row],[_FinishWorkday]]-Tasks[[#This Row],[_StartWorkday]]+1),0)</f>
        <v>0</v>
      </c>
      <c r="FJ88" s="45" t="n">
        <f aca="false">Tasks[[#This Row],[_WorkPerWorkday]]*(Tasks[[#This Row],[_StartWorkday]]-1)</f>
        <v>-0</v>
      </c>
      <c r="FK88" s="45" t="n">
        <f aca="false">IF(Tasks[[#This Row],[_IsLeaf]]=1,MAX(N(Tasks[[#This Row],[Duration]]),0.1),0)</f>
        <v>0</v>
      </c>
      <c r="FL88" s="45" t="n">
        <f aca="false">Tasks[[#This Row],[_WeightDur]]*Tasks[[#This Row],[_LeafProgress]]</f>
        <v>0</v>
      </c>
      <c r="FM8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88" s="45" t="str">
        <f aca="false">IF(AND(Tasks[[#This Row],[_IsLeaf]]=1,N(Tasks[[#This Row],[Duration]])=0,Tasks[[#This Row],[_LeafProgress]]&lt;1),Tasks[[#This Row],[_ShownFcstFinish]]+Tasks[[#This Row],[_Row]]/100000,"")</f>
        <v/>
      </c>
      <c r="FO8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88" s="45" t="n">
        <f aca="false">IF(NOT(Tasks[[#This Row],[_IsLeaf]]=1),0,IF(Tasks[[#This Row],[Baseline Cost]]="",Tasks[[#This Row],[_LeafTotalCost]],N(Tasks[[#This Row],[Baseline Cost]])))</f>
        <v>0</v>
      </c>
      <c r="FQ88" s="45" t="n">
        <f aca="false">Tasks[[#This Row],[_LeafBudget]]*Tasks[[#This Row],[_PlannedPct]]</f>
        <v>0</v>
      </c>
      <c r="FR88" s="45" t="n">
        <f aca="false">Tasks[[#This Row],[_LeafBudget]]*Tasks[[#This Row],[_LeafProgress]]</f>
        <v>0</v>
      </c>
      <c r="FS88" s="45" t="n">
        <f aca="false">IF(NOT(Tasks[[#This Row],[_IsLeaf]]=1),0,IF(Tasks[[#This Row],[Actual Cost]]="",Tasks[[#This Row],[_LeafTotalCost]]*Tasks[[#This Row],[_LeafProgress]],N(Tasks[[#This Row],[Actual Cost]])))</f>
        <v>0</v>
      </c>
      <c r="FT88" s="45" t="str">
        <f aca="false">IF(Tasks[[#This Row],[Task Name]]="","",LEFT(Tasks[[#This Row],[WBS]],FIND(".",Tasks[[#This Row],[WBS]]&amp;".")-1))</f>
        <v/>
      </c>
      <c r="FU88" s="45" t="str">
        <f aca="false">IF(AND(Tasks[[#This Row],[Task Name]]&lt;&gt;"",Tasks[[#This Row],[_Level]]=1),Tasks[[#This Row],[_Row]],"")</f>
        <v/>
      </c>
      <c r="FV88" s="45" t="str">
        <f aca="false">IF(AND(Tasks[[#This Row],[_IsLeaf]]=1,N(Tasks[[#This Row],[Duration]])=0),Tasks[[#This Row],[Planned Finish]]+Tasks[[#This Row],[_Row]]/100000,"")</f>
        <v/>
      </c>
      <c r="FW88" s="45" t="str">
        <f aca="false">IF(AND(Tasks[[#This Row],[_IsLeaf]]=1,Tasks[[#This Row],[_LeafProgress]]&lt;1,OR(N(Tasks[[#This Row],[Finish Var]])&gt;0,Tasks[[#This Row],[Status]]="Late Start")),MAX(0,Tasks[[#This Row],[Finish Var]])+1-Tasks[[#This Row],[_Row]]/1000000,"")</f>
        <v/>
      </c>
      <c r="FX88" s="45" t="str">
        <f aca="false">IF(AND(Tasks[[#This Row],[_IsLeaf]]=1,N(Tasks[[#This Row],[Actual Start]])=0,Tasks[[#This Row],[_ShownFcstStart]]&gt;=StatusDate,Tasks[[#This Row],[_ShownFcstStart]]&lt;=LookaheadEnd),Tasks[[#This Row],[_ShownFcstStart]]+Tasks[[#This Row],[_Row]]/100000,"")</f>
        <v/>
      </c>
      <c r="FY88" s="45" t="str">
        <f aca="false">IF(AND(Tasks[[#This Row],[_IsLeaf]]=1,Tasks[[#This Row],[_LeafProgress]]&lt;1,Tasks[[#This Row],[_ShownFcstFinish]]&gt;=StatusDate,Tasks[[#This Row],[_ShownFcstFinish]]&lt;=LookaheadEnd),Tasks[[#This Row],[_ShownFcstFinish]]+Tasks[[#This Row],[_Row]]/100000,"")</f>
        <v/>
      </c>
      <c r="FZ88" s="45" t="str">
        <f aca="false">IF(Tasks[[#This Row],[_LeafCritical]],Tasks[[#This Row],[_ShownFcstStart]]+Tasks[[#This Row],[_Row]]/100000,"")</f>
        <v/>
      </c>
      <c r="GA88" s="45" t="n">
        <f aca="false">Tasks[[#This Row],[_LeafWork]]*Tasks[[#This Row],[_LeafProgress]]</f>
        <v>0</v>
      </c>
      <c r="GB88" s="74" t="str">
        <f aca="false">IF(AND(Tasks[[#This Row],[_IsLeaf]]=1,Tasks[[#This Row],[_LeafProgress]]&gt;=1),IF(N(Tasks[[#This Row],[Actual Finish]])&gt;0,Tasks[[#This Row],[Actual Finish]],Tasks[[#This Row],[_ShownFcstFinish]]),"")</f>
        <v/>
      </c>
    </row>
    <row r="89" customFormat="false" ht="15" hidden="false" customHeight="false" outlineLevel="0" collapsed="false">
      <c r="A89" s="67" t="str">
        <f aca="false">IF(Tasks[[#This Row],[Task Name]]="","",COUNTA(Tasks[[#Headers],[Task Name]]:Tasks[[#This Row],[Task Name]])-1)</f>
        <v/>
      </c>
      <c r="B89" s="21" t="n">
        <v>84</v>
      </c>
      <c r="C8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21"/>
      <c r="E89" s="22"/>
      <c r="F89" s="21"/>
      <c r="G89" s="22"/>
      <c r="H89" s="22"/>
      <c r="I89" s="22"/>
      <c r="J89" s="7"/>
      <c r="K89" s="7"/>
      <c r="L89" s="22"/>
      <c r="M89" s="58" t="str">
        <f aca="false">IF(Tasks[[#This Row],[Task Name]]="","",IF(Tasks[[#This Row],[_IsSummary]],MIN(INDEX(Tasks[_ShownFcstStart],Tasks[[#This Row],[_Row]]+1):INDEX(Tasks[_ShownFcstStart],Tasks[[#This Row],[_Row]]+Tasks[[#This Row],[_Descendants]])),Tasks[[#This Row],[_ShownFcstStart]]))</f>
        <v/>
      </c>
      <c r="N89" s="58" t="str">
        <f aca="false">IF(Tasks[[#This Row],[Task Name]]="","",IF(Tasks[[#This Row],[_IsSummary]],MAX(INDEX(Tasks[_ShownFcstFinish],Tasks[[#This Row],[_Row]]+1):INDEX(Tasks[_ShownFcstFinish],Tasks[[#This Row],[_Row]]+Tasks[[#This Row],[_Descendants]])),Tasks[[#This Row],[_ShownFcstFinish]]))</f>
        <v/>
      </c>
      <c r="O89" s="20" t="str">
        <f aca="false">IF(Tasks[[#This Row],[Task Name]]="","",IF(Tasks[[#This Row],[Progress]]&gt;=1,"Complete",IF(OR(N(Tasks[[#This Row],[Actual Start]])&gt;0,Tasks[[#This Row],[Progress]]&gt;0),IF(Tasks[[#This Row],[Finish Var]]&gt;0,"Behind","In Progress"),IF(Tasks[[#This Row],[Planned Start]]&lt;StatusDate,"Late Start","Not Started"))))</f>
        <v/>
      </c>
      <c r="P89" s="20" t="str">
        <f aca="false">IF(Tasks[[#This Row],[Task Name]]="","",IF(IF(Tasks[[#This Row],[_IsSummary]],COUNTIF(INDEX(Tasks[_LeafCritical],Tasks[[#This Row],[_Row]]+1):INDEX(Tasks[_LeafCritical],Tasks[[#This Row],[_Row]]+Tasks[[#This Row],[_Descendants]]),TRUE())&gt;0,Tasks[[#This Row],[_LeafCritical]]),"Yes",""))</f>
        <v/>
      </c>
      <c r="Q8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89" s="67" t="str">
        <f aca="false">IF(Tasks[[#This Row],[Task Name]]="","",IF(Tasks[[#This Row],[_Level]]&lt;=OutlineShowLevel,"Yes","No"))</f>
        <v/>
      </c>
      <c r="S89" s="7"/>
      <c r="T89" s="21"/>
      <c r="U89" s="22"/>
      <c r="V89" s="7"/>
      <c r="W89" s="67" t="str">
        <f aca="false">IF(Tasks[[#This Row],[Task Name]]="","",IF(Tasks[[#This Row],[Finish]]&gt;=Tasks[[#This Row],[Planned Finish]],NETWORKDAYS.INTL(Tasks[[#This Row],[Planned Finish]],Tasks[[#This Row],[Finish]],WorkWeek,Holidays)-1,1-NETWORKDAYS.INTL(Tasks[[#This Row],[Finish]],Tasks[[#This Row],[Planned Finish]],WorkWeek,Holidays)))</f>
        <v/>
      </c>
      <c r="X89" s="58" t="str">
        <f aca="false">IF(Tasks[[#This Row],[Task Name]]="","",IF(N(Tasks[[#This Row],[Baseline Start]])&gt;0,Tasks[[#This Row],[Baseline Start]],Tasks[[#This Row],[_CalcStart]]))</f>
        <v/>
      </c>
      <c r="Y89" s="58" t="str">
        <f aca="false">IF(Tasks[[#This Row],[Task Name]]="","",IF(N(Tasks[[#This Row],[Baseline Finish]])&gt;0,Tasks[[#This Row],[Baseline Finish]],Tasks[[#This Row],[_CalcFinish]]))</f>
        <v/>
      </c>
      <c r="Z89" s="67" t="str">
        <f aca="false">IF(Tasks[[#This Row],[Task Name]]="","",IF(Tasks[[#This Row],[Start]]&gt;=Tasks[[#This Row],[Planned Start]],NETWORKDAYS.INTL(Tasks[[#This Row],[Planned Start]],Tasks[[#This Row],[Start]],WorkWeek,Holidays)-1,1-NETWORKDAYS.INTL(Tasks[[#This Row],[Start]],Tasks[[#This Row],[Planned Start]],WorkWeek,Holidays)))</f>
        <v/>
      </c>
      <c r="AA89" s="58" t="str">
        <f aca="false">IF(Tasks[[#This Row],[Task Name]]="","",IF(Tasks[[#This Row],[_IsSummary]],MIN(INDEX(Tasks[_LeafLateStart],Tasks[[#This Row],[_Row]]+1):INDEX(Tasks[_LeafLateStart],Tasks[[#This Row],[_Row]]+Tasks[[#This Row],[_Descendants]])),Tasks[[#This Row],[_LeafLateStart]]))</f>
        <v/>
      </c>
      <c r="AB89" s="58" t="str">
        <f aca="false">IF(Tasks[[#This Row],[Task Name]]="","",IF(Tasks[[#This Row],[_IsSummary]],MAX(INDEX(Tasks[_LeafLateFinish],Tasks[[#This Row],[_Row]]+1):INDEX(Tasks[_LeafLateFinish],Tasks[[#This Row],[_Row]]+Tasks[[#This Row],[_Descendants]])),Tasks[[#This Row],[_LeafLateFinish]]))</f>
        <v/>
      </c>
      <c r="AC89" s="67" t="str">
        <f aca="false">IF(Tasks[[#This Row],[Task Name]]="","",IF(Tasks[[#This Row],[_IsSummary]],MIN(INDEX(Tasks[_LeafTotalSlack],Tasks[[#This Row],[_Row]]+1):INDEX(Tasks[_LeafTotalSlack],Tasks[[#This Row],[_Row]]+Tasks[[#This Row],[_Descendants]])),Tasks[[#This Row],[_LeafTotalSlack]]))</f>
        <v/>
      </c>
      <c r="AD8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8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8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89" s="60"/>
      <c r="AH8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8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89" s="69" t="str">
        <f aca="false">IF(Tasks[[#This Row],[Task Name]]="","",IF(Tasks[[#This Row],[_IsSummary]],SUM(INDEX(Tasks[_LeafTotalWork],Tasks[[#This Row],[_Row]]+1):INDEX(Tasks[_LeafTotalWork],Tasks[[#This Row],[_Row]]+Tasks[[#This Row],[_Descendants]])),Tasks[[#This Row],[_LeafTotalWork]]))</f>
        <v/>
      </c>
      <c r="AK8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89" s="70" t="str">
        <f aca="false">IF(Tasks[[#This Row],[Task Name]]="","",IF(Tasks[[#This Row],[_IsSummary]],SUM(INDEX(Tasks[_LeafTotalCost],Tasks[[#This Row],[_Row]]+1):INDEX(Tasks[_LeafTotalCost],Tasks[[#This Row],[_Row]]+Tasks[[#This Row],[_Descendants]])),Tasks[[#This Row],[_LeafTotalCost]]))</f>
        <v/>
      </c>
      <c r="AM89" s="71"/>
      <c r="AN89" s="20" t="str">
        <f aca="false">IF(OR(Tasks[[#This Row],[Task Name]]="",Tasks[[#This Row],[Baseline Duration]]=""),"",Tasks[[#This Row],[BL Source Duration]]-N(Tasks[[#This Row],[Baseline Duration]]))</f>
        <v/>
      </c>
      <c r="AO89" s="69" t="str">
        <f aca="false">IF(OR(Tasks[[#This Row],[Task Name]]="",Tasks[[#This Row],[Baseline Work]]=""),"",Tasks[[#This Row],[Work]]-N(Tasks[[#This Row],[Baseline Work]]))</f>
        <v/>
      </c>
      <c r="AP89" s="70" t="str">
        <f aca="false">IF(OR(Tasks[[#This Row],[Task Name]]="",Tasks[[#This Row],[Baseline Cost]]=""),"",Tasks[[#This Row],[Cost]]-N(Tasks[[#This Row],[Baseline Cost]]))</f>
        <v/>
      </c>
      <c r="AQ89" s="58" t="str">
        <f aca="false">IF(Tasks[[#This Row],[Task Name]]="","",Tasks[[#This Row],[Start]])</f>
        <v/>
      </c>
      <c r="AR89" s="58" t="str">
        <f aca="false">IF(Tasks[[#This Row],[Task Name]]="","",Tasks[[#This Row],[Finish]])</f>
        <v/>
      </c>
      <c r="AS89" s="67" t="str">
        <f aca="false">IF(Tasks[[#This Row],[Task Name]]="","",IF(Tasks[[#This Row],[_IsSummary]],NETWORKDAYS.INTL(Tasks[[#This Row],[Start]],Tasks[[#This Row],[Finish]],WorkWeek,Holidays),N(Tasks[[#This Row],[Duration]])))</f>
        <v/>
      </c>
      <c r="AT89" s="69" t="str">
        <f aca="false">IF(Tasks[[#This Row],[Task Name]]="","",Tasks[[#This Row],[Work]])</f>
        <v/>
      </c>
      <c r="AU89" s="70" t="str">
        <f aca="false">IF(Tasks[[#This Row],[Task Name]]="","",Tasks[[#This Row],[Cost]])</f>
        <v/>
      </c>
      <c r="AV89" s="7"/>
      <c r="AW89" s="7"/>
      <c r="AX89" s="21"/>
      <c r="AY89" s="72"/>
      <c r="AZ89" s="71"/>
      <c r="BA89" s="70" t="str">
        <f aca="false">IF(Tasks[[#This Row],[Task Name]]="","",IF(Tasks[[#This Row],[_IsSummary]],SUM(INDEX(Tasks[_LeafEV],Tasks[[#This Row],[_Row]]+1):INDEX(Tasks[_LeafEV],Tasks[[#This Row],[_Row]]+Tasks[[#This Row],[_Descendants]])),Tasks[[#This Row],[_LeafEV]]))</f>
        <v/>
      </c>
      <c r="BB89" s="70" t="str">
        <f aca="false">IF(Tasks[[#This Row],[Task Name]]="","",IF(Tasks[[#This Row],[_IsSummary]],SUM(INDEX(Tasks[_LeafBudget],Tasks[[#This Row],[_Row]]+1):INDEX(Tasks[_LeafBudget],Tasks[[#This Row],[_Row]]+Tasks[[#This Row],[_Descendants]])),Tasks[[#This Row],[_LeafBudget]]))</f>
        <v/>
      </c>
      <c r="BC89" s="70" t="str">
        <f aca="false">IF(Tasks[[#This Row],[Task Name]]="","",IF(Tasks[[#This Row],[_IsSummary]],SUM(INDEX(Tasks[_LeafPV],Tasks[[#This Row],[_Row]]+1):INDEX(Tasks[_LeafPV],Tasks[[#This Row],[_Row]]+Tasks[[#This Row],[_Descendants]])),Tasks[[#This Row],[_LeafPV]]))</f>
        <v/>
      </c>
      <c r="BD89" s="70" t="str">
        <f aca="false">IF(Tasks[[#This Row],[Task Name]]="","",IF(Tasks[[#This Row],[_IsSummary]],SUM(INDEX(Tasks[_LeafAC],Tasks[[#This Row],[_Row]]+1):INDEX(Tasks[_LeafAC],Tasks[[#This Row],[_Row]]+Tasks[[#This Row],[_Descendants]])),Tasks[[#This Row],[_LeafAC]]))</f>
        <v/>
      </c>
      <c r="BE89" s="45" t="str">
        <f aca="false">IF(Tasks[[#This Row],[Task Name]]="","",MAX(1,N(Tasks[[#This Row],[Level]])))</f>
        <v/>
      </c>
      <c r="BF89" s="45" t="n">
        <f aca="false">ROW()-ROW(Tasks[[#Headers],[ID]])</f>
        <v>84</v>
      </c>
      <c r="BG89" s="45" t="n">
        <f aca="false">IF(OR(Tasks[[#This Row],[Task Name]]="",Tasks[[#This Row],[_Level]]&lt;=1),0,IFERROR(LOOKUP(2,1/(Tasks[[#Headers],[_Level]]:Tasks[[#This Row],[_Level]]=Tasks[[#This Row],[_Level]]-1),ROW(Tasks[[#Headers],[_Level]]:Tasks[[#This Row],[_Level]])),0))</f>
        <v>0</v>
      </c>
      <c r="BH89" s="45" t="n">
        <f aca="false">IFERROR(N(INDEX(Tasks[_Level],Tasks[[#This Row],[_Row]]+1)),0)</f>
        <v>0</v>
      </c>
      <c r="BI89" s="73" t="b">
        <f aca="false">AND(Tasks[[#This Row],[Task Name]]&lt;&gt;"",Tasks[[#This Row],[_NextLevel]]&gt;Tasks[[#This Row],[_Level]])</f>
        <v>0</v>
      </c>
      <c r="BJ89" s="45" t="n">
        <f aca="false">IF(Tasks[[#This Row],[_IsSummary]],COUNTIF(Tasks[WBS],Tasks[[#This Row],[WBS]]&amp;".*"),0)</f>
        <v>0</v>
      </c>
      <c r="BK89" s="45" t="n">
        <f aca="false">IF(AND(Tasks[[#This Row],[Task Name]]&lt;&gt;"",NOT(Tasks[[#This Row],[_IsSummary]])),1,0)</f>
        <v>0</v>
      </c>
      <c r="BL89" s="45" t="n">
        <f aca="false">IF(N(Tasks[[#This Row],[_Pred1UID]])=0,0,IFERROR(MATCH(Tasks[[#This Row],[_Pred1UID]],Tasks[UID],0),-1))</f>
        <v>0</v>
      </c>
      <c r="BM89" s="45" t="n">
        <f aca="false">IF(N(Tasks[[#This Row],[_Pred2UID]])=0,0,IFERROR(MATCH(Tasks[[#This Row],[_Pred2UID]],Tasks[UID],0),-1))</f>
        <v>0</v>
      </c>
      <c r="BN89" s="45" t="n">
        <f aca="false">IF(N(Tasks[[#This Row],[_Pred3UID]])=0,0,IFERROR(MATCH(Tasks[[#This Row],[_Pred3UID]],Tasks[UID],0),-1))</f>
        <v>0</v>
      </c>
      <c r="BO89" s="45" t="n">
        <f aca="false">IF(N(Tasks[[#This Row],[_Pred4UID]])=0,0,IFERROR(MATCH(Tasks[[#This Row],[_Pred4UID]],Tasks[UID],0),-1))</f>
        <v>0</v>
      </c>
      <c r="BP8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8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89" s="74" t="n">
        <f aca="false">IF(OR(Tasks[[#This Row],[_ConstraintCode]]=2,Tasks[[#This Row],[_ConstraintCode]]=3,Tasks[[#This Row],[_ConstraintCode]]=4,Tasks[[#This Row],[_ConstraintCode]]=6),Tasks[[#This Row],[_ConstraintStart]],0)</f>
        <v>0</v>
      </c>
      <c r="BS89" s="74" t="n">
        <f aca="false">IF(OR(Tasks[[#This Row],[_ConstraintCode]]=2,Tasks[[#This Row],[_ConstraintCode]]=3,Tasks[[#This Row],[_ConstraintCode]]=5,Tasks[[#This Row],[_ConstraintCode]]=7),Tasks[[#This Row],[_ConstraintStart]],2958465)</f>
        <v>2958465</v>
      </c>
      <c r="BT8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89" s="74" t="str">
        <f aca="false">IF(NOT(Tasks[[#This Row],[_IsLeaf]]=1),"",IF(N(Tasks[[#This Row],[Duration]])&lt;=0,Tasks[[#This Row],[_LeafCalcStart]],WORKDAY.INTL(Tasks[[#This Row],[_LeafCalcStart]],Tasks[[#This Row],[Duration]]-1,WorkWeek,Holidays)))</f>
        <v/>
      </c>
      <c r="BV8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8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89" s="45" t="str">
        <f aca="false">IF(Tasks[[#This Row],[Predecessors]]="","",TRIM(MID(SUBSTITUTE(SUBSTITUTE(SUBSTITUTE(UPPER(Tasks[[#This Row],[Predecessors]]),";",",")," ",""),",",REPT(" ",99)),1,99)))</f>
        <v/>
      </c>
      <c r="BY89" s="45" t="str">
        <f aca="false">IF(Tasks[[#This Row],[_Pred1Text]]="","",IFERROR(VALUE(LEFT(Tasks[[#This Row],[_Pred1Text]],MIN(FIND("F",Tasks[[#This Row],[_Pred1Text]]&amp;"F"),FIND("S",Tasks[[#This Row],[_Pred1Text]]&amp;"S"),FIND("+",Tasks[[#This Row],[_Pred1Text]]&amp;"+"),FIND("-",Tasks[[#This Row],[_Pred1Text]]&amp;"-"))-1)),""))</f>
        <v/>
      </c>
      <c r="BZ8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8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89" s="45" t="str">
        <f aca="false">IF(Tasks[[#This Row],[_Pred1Text]]="","",TRIM(MID(SUBSTITUTE(SUBSTITUTE(SUBSTITUTE(UPPER(Tasks[[#This Row],[Predecessors]]),";",",")," ",""),",",REPT(" ",99)),100,99)))</f>
        <v/>
      </c>
      <c r="CC89" s="45" t="str">
        <f aca="false">IF(Tasks[[#This Row],[_Pred2Text]]="","",IFERROR(VALUE(LEFT(Tasks[[#This Row],[_Pred2Text]],MIN(FIND("F",Tasks[[#This Row],[_Pred2Text]]&amp;"F"),FIND("S",Tasks[[#This Row],[_Pred2Text]]&amp;"S"),FIND("+",Tasks[[#This Row],[_Pred2Text]]&amp;"+"),FIND("-",Tasks[[#This Row],[_Pred2Text]]&amp;"-"))-1)),""))</f>
        <v/>
      </c>
      <c r="CD8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8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89" s="45" t="str">
        <f aca="false">IF(Tasks[[#This Row],[_Pred2Text]]="","",TRIM(MID(SUBSTITUTE(SUBSTITUTE(SUBSTITUTE(UPPER(Tasks[[#This Row],[Predecessors]]),";",",")," ",""),",",REPT(" ",99)),199,99)))</f>
        <v/>
      </c>
      <c r="CG89" s="45" t="str">
        <f aca="false">IF(Tasks[[#This Row],[_Pred3Text]]="","",IFERROR(VALUE(LEFT(Tasks[[#This Row],[_Pred3Text]],MIN(FIND("F",Tasks[[#This Row],[_Pred3Text]]&amp;"F"),FIND("S",Tasks[[#This Row],[_Pred3Text]]&amp;"S"),FIND("+",Tasks[[#This Row],[_Pred3Text]]&amp;"+"),FIND("-",Tasks[[#This Row],[_Pred3Text]]&amp;"-"))-1)),""))</f>
        <v/>
      </c>
      <c r="CH8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8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89" s="45" t="str">
        <f aca="false">IF(Tasks[[#This Row],[_Pred3Text]]="","",TRIM(MID(SUBSTITUTE(SUBSTITUTE(SUBSTITUTE(UPPER(Tasks[[#This Row],[Predecessors]]),";",",")," ",""),",",REPT(" ",99)),298,99)))</f>
        <v/>
      </c>
      <c r="CK89" s="45" t="str">
        <f aca="false">IF(Tasks[[#This Row],[_Pred4Text]]="","",IFERROR(VALUE(LEFT(Tasks[[#This Row],[_Pred4Text]],MIN(FIND("F",Tasks[[#This Row],[_Pred4Text]]&amp;"F"),FIND("S",Tasks[[#This Row],[_Pred4Text]]&amp;"S"),FIND("+",Tasks[[#This Row],[_Pred4Text]]&amp;"+"),FIND("-",Tasks[[#This Row],[_Pred4Text]]&amp;"-"))-1)),""))</f>
        <v/>
      </c>
      <c r="CL8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8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89" s="45" t="str">
        <f aca="false">IF(OR(Tasks[[#This Row],[Task Name]]="",Tasks[[#This Row],[Resources]]=""),"",TRIM(MID(SUBSTITUTE(Tasks[[#This Row],[Resources]],",",REPT(" ",99)),1,99)))</f>
        <v/>
      </c>
      <c r="CO89" s="45" t="str">
        <f aca="false">IF(Tasks[[#This Row],[_Res1Text]]="","",TRIM(MID(SUBSTITUTE(Tasks[[#This Row],[Resources]],",",REPT(" ",99)),100,99)))</f>
        <v/>
      </c>
      <c r="CP89" s="45" t="str">
        <f aca="false">IF(Tasks[[#This Row],[_Res2Text]]="","",TRIM(MID(SUBSTITUTE(Tasks[[#This Row],[Resources]],",",REPT(" ",99)),199,99)))</f>
        <v/>
      </c>
      <c r="CQ89" s="45" t="str">
        <f aca="false">IF(Tasks[[#This Row],[_Res3Text]]="","",TRIM(MID(SUBSTITUTE(Tasks[[#This Row],[Resources]],",",REPT(" ",99)),298,99)))</f>
        <v/>
      </c>
      <c r="CR8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8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9" s="45" t="n">
        <f aca="false">IF(NOT(Tasks[[#This Row],[_IsLeaf]]=1),0,(Tasks[[#This Row],[_Resource1]]&lt;&gt;"")+(Tasks[[#This Row],[_Res2]]&lt;&gt;"")+(Tasks[[#This Row],[_Res3]]&lt;&gt;"")+(Tasks[[#This Row],[_Res4]]&lt;&gt;""))</f>
        <v>0</v>
      </c>
      <c r="CU8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8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9" s="45" t="n">
        <f aca="false">IF(OR(NOT(Tasks[[#This Row],[_IsLeaf]]=1),Tasks[[#This Row],[_Res2]]=""),0,IF(ISNA(MATCH(Tasks[[#This Row],[_Res2]],res_Name,0)),0,N(Tasks[[#This Row],[Duration]])*HoursPerDay*IF(Tasks[[#This Row],[_Res2Units]]="",DefaultUnits,Tasks[[#This Row],[_Res2Units]])))</f>
        <v>0</v>
      </c>
      <c r="CX89" s="45" t="n">
        <f aca="false">IF(Tasks[[#This Row],[_Res2Work]]=0,0,Tasks[[#This Row],[_Res2Work]]*IFERROR(INDEX(res_Rate,MATCH(Tasks[[#This Row],[_Res2]],res_Name,0)),0))</f>
        <v>0</v>
      </c>
      <c r="CY89" s="45" t="n">
        <f aca="false">IF(AND(AND(Tasks[[#This Row],[_IsLeaf]]=1,Tasks[[#This Row],[_LeafTotalWork]]&gt;0),Tasks[[#This Row],[_Res2Work]]&gt;0),Tasks[[#This Row],[_Res2Work]]/(Tasks[[#This Row],[_FinishWorkday]]-Tasks[[#This Row],[_StartWorkday]]+1),0)</f>
        <v>0</v>
      </c>
      <c r="CZ89" s="45" t="n">
        <f aca="false">Tasks[[#This Row],[_Res2WorkPerWD]]*MAX(0,Tasks[[#This Row],[_StartWorkday]]-1)</f>
        <v>0</v>
      </c>
      <c r="DA89" s="45" t="n">
        <f aca="false">Tasks[[#This Row],[_Res2Work]]*Tasks[[#This Row],[_LeafProgress]]</f>
        <v>0</v>
      </c>
      <c r="DB89" s="45" t="n">
        <f aca="false">IF(Tasks[[#This Row],[_LeafTotalCost]]=0,0,Tasks[[#This Row],[_LeafAC]]*Tasks[[#This Row],[_Res2Cost]]/Tasks[[#This Row],[_LeafTotalCost]])</f>
        <v>0</v>
      </c>
      <c r="DC8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8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89" s="45" t="n">
        <f aca="false">IF(OR(NOT(Tasks[[#This Row],[_IsLeaf]]=1),Tasks[[#This Row],[_Res3]]=""),0,IF(ISNA(MATCH(Tasks[[#This Row],[_Res3]],res_Name,0)),0,N(Tasks[[#This Row],[Duration]])*HoursPerDay*IF(Tasks[[#This Row],[_Res3Units]]="",DefaultUnits,Tasks[[#This Row],[_Res3Units]])))</f>
        <v>0</v>
      </c>
      <c r="DF89" s="45" t="n">
        <f aca="false">IF(Tasks[[#This Row],[_Res3Work]]=0,0,Tasks[[#This Row],[_Res3Work]]*IFERROR(INDEX(res_Rate,MATCH(Tasks[[#This Row],[_Res3]],res_Name,0)),0))</f>
        <v>0</v>
      </c>
      <c r="DG89" s="45" t="n">
        <f aca="false">IF(AND(AND(Tasks[[#This Row],[_IsLeaf]]=1,Tasks[[#This Row],[_LeafTotalWork]]&gt;0),Tasks[[#This Row],[_Res3Work]]&gt;0),Tasks[[#This Row],[_Res3Work]]/(Tasks[[#This Row],[_FinishWorkday]]-Tasks[[#This Row],[_StartWorkday]]+1),0)</f>
        <v>0</v>
      </c>
      <c r="DH89" s="45" t="n">
        <f aca="false">Tasks[[#This Row],[_Res3WorkPerWD]]*MAX(0,Tasks[[#This Row],[_StartWorkday]]-1)</f>
        <v>0</v>
      </c>
      <c r="DI89" s="45" t="n">
        <f aca="false">Tasks[[#This Row],[_Res3Work]]*Tasks[[#This Row],[_LeafProgress]]</f>
        <v>0</v>
      </c>
      <c r="DJ89" s="45" t="n">
        <f aca="false">IF(Tasks[[#This Row],[_LeafTotalCost]]=0,0,Tasks[[#This Row],[_LeafAC]]*Tasks[[#This Row],[_Res3Cost]]/Tasks[[#This Row],[_LeafTotalCost]])</f>
        <v>0</v>
      </c>
      <c r="DK8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8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89" s="45" t="n">
        <f aca="false">IF(OR(NOT(Tasks[[#This Row],[_IsLeaf]]=1),Tasks[[#This Row],[_Res4]]=""),0,IF(ISNA(MATCH(Tasks[[#This Row],[_Res4]],res_Name,0)),0,N(Tasks[[#This Row],[Duration]])*HoursPerDay*IF(Tasks[[#This Row],[_Res4Units]]="",DefaultUnits,Tasks[[#This Row],[_Res4Units]])))</f>
        <v>0</v>
      </c>
      <c r="DN89" s="45" t="n">
        <f aca="false">IF(Tasks[[#This Row],[_Res4Work]]=0,0,Tasks[[#This Row],[_Res4Work]]*IFERROR(INDEX(res_Rate,MATCH(Tasks[[#This Row],[_Res4]],res_Name,0)),0))</f>
        <v>0</v>
      </c>
      <c r="DO89" s="45" t="n">
        <f aca="false">IF(AND(AND(Tasks[[#This Row],[_IsLeaf]]=1,Tasks[[#This Row],[_LeafTotalWork]]&gt;0),Tasks[[#This Row],[_Res4Work]]&gt;0),Tasks[[#This Row],[_Res4Work]]/(Tasks[[#This Row],[_FinishWorkday]]-Tasks[[#This Row],[_StartWorkday]]+1),0)</f>
        <v>0</v>
      </c>
      <c r="DP89" s="45" t="n">
        <f aca="false">Tasks[[#This Row],[_Res4WorkPerWD]]*MAX(0,Tasks[[#This Row],[_StartWorkday]]-1)</f>
        <v>0</v>
      </c>
      <c r="DQ89" s="45" t="n">
        <f aca="false">Tasks[[#This Row],[_Res4Work]]*Tasks[[#This Row],[_LeafProgress]]</f>
        <v>0</v>
      </c>
      <c r="DR89" s="45" t="n">
        <f aca="false">IF(Tasks[[#This Row],[_LeafTotalCost]]=0,0,Tasks[[#This Row],[_LeafAC]]*Tasks[[#This Row],[_Res4Cost]]/Tasks[[#This Row],[_LeafTotalCost]])</f>
        <v>0</v>
      </c>
      <c r="DS89" s="45" t="n">
        <f aca="false">IF(ISNUMBER(Tasks[[#This Row],[% Complete]]),Tasks[[#This Row],[% Complete]],IF(Tasks[[#This Row],[Stage]]="",0,IFERROR(INDEX(stg_Pct,MATCH(Tasks[[#This Row],[Stage]],stg_Name,0)),0)))</f>
        <v>0</v>
      </c>
      <c r="DT89" s="45" t="n">
        <f aca="false">IF(NOT(Tasks[[#This Row],[_IsLeaf]]=1),0,IF(N(Tasks[[#This Row],[Actual Finish]])&gt;0,1,MIN(1,Tasks[[#This Row],[_Pct]])))</f>
        <v>0</v>
      </c>
      <c r="DU89" s="45" t="n">
        <f aca="false">IF(OR(NOT(Tasks[[#This Row],[_IsLeaf]]=1),Tasks[[#This Row],[_Resource1]]=""),0,IF(ISNA(MATCH(Tasks[[#This Row],[_Resource1]],res_Name,0)),0,N(Tasks[[#This Row],[Duration]])*HoursPerDay*IF(Tasks[[#This Row],[_Units1]]="",DefaultUnits,Tasks[[#This Row],[_Units1]])))</f>
        <v>0</v>
      </c>
      <c r="DV89" s="45" t="n">
        <f aca="false">IF(Tasks[[#This Row],[_LeafWork]]=0,0,Tasks[[#This Row],[_LeafWork]]*IFERROR(INDEX(res_Rate,MATCH(Tasks[[#This Row],[_Resource1]],res_Name,0)),0))</f>
        <v>0</v>
      </c>
      <c r="DW89" s="45" t="n">
        <f aca="false">Tasks[[#This Row],[_LeafWork]]+Tasks[[#This Row],[_Res2Work]]+Tasks[[#This Row],[_Res3Work]]+Tasks[[#This Row],[_Res4Work]]</f>
        <v>0</v>
      </c>
      <c r="DX89" s="45" t="n">
        <f aca="false">Tasks[[#This Row],[_LeafCost]]+Tasks[[#This Row],[_Res2Cost]]+Tasks[[#This Row],[_Res3Cost]]+Tasks[[#This Row],[_Res4Cost]]</f>
        <v>0</v>
      </c>
      <c r="DY89" s="45" t="n">
        <f aca="false">IF(Tasks[[#This Row],[_LeafTotalCost]]=0,Tasks[[#This Row],[_LeafAC]],Tasks[[#This Row],[_LeafAC]]*Tasks[[#This Row],[_LeafCost]]/Tasks[[#This Row],[_LeafTotalCost]])</f>
        <v>0</v>
      </c>
      <c r="DZ8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8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8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8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8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8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8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8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89" s="45" t="n">
        <f aca="false">IF(NOT(Tasks[[#This Row],[_IsLeaf]]=1),0,MAX(_xlfn.MAXIFS(Tasks[_Row],Tasks[_Pred1UID],Tasks[[#This Row],[UID]]),_xlfn.MAXIFS(Tasks[_Row],Tasks[_Pred2UID],Tasks[[#This Row],[UID]]),_xlfn.MAXIFS(Tasks[_Row],Tasks[_Pred3UID],Tasks[[#This Row],[UID]]),_xlfn.MAXIFS(Tasks[_Row],Tasks[_Pred4UID],Tasks[[#This Row],[UID]])))</f>
        <v>0</v>
      </c>
      <c r="EI8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8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89" s="74" t="str">
        <f aca="false">IF(NOT(Tasks[[#This Row],[_IsLeaf]]=1),"",IF(N(Tasks[[#This Row],[Duration]])&lt;=0,Tasks[[#This Row],[_LeafLateFinish]],WORKDAY.INTL(Tasks[[#This Row],[_LeafLateFinish]],-(Tasks[[#This Row],[Duration]]-1),WorkWeek,Holidays)))</f>
        <v/>
      </c>
      <c r="EL8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89" s="73" t="b">
        <f aca="false">AND(Tasks[[#This Row],[_IsLeaf]]=1,Tasks[[#This Row],[_LeafProgress]]&lt;1,N(Tasks[[#This Row],[_LeafTotalSlack]])&lt;=CriticalSlackDays)</f>
        <v>0</v>
      </c>
      <c r="EN89" s="45" t="n">
        <f aca="false">IF(AND(Tasks[[#This Row],[_IsLeaf]]=1,Tasks[[#This Row],[_ConstraintCode]]=1,Tasks[[#This Row],[Mode]]&lt;&gt;"Manual",N(Tasks[[#This Row],[Actual Start]])=0),MAX(0,N(Tasks[[#This Row],[Free Slack]])),0)</f>
        <v>0</v>
      </c>
      <c r="EO89" s="74" t="str">
        <f aca="false">IF(NOT(Tasks[[#This Row],[_IsLeaf]]=1),"",IF(Tasks[[#This Row],[_AlapShift]]=0,Tasks[[#This Row],[_LeafCalcStart]],WORKDAY.INTL(Tasks[[#This Row],[_LeafCalcStart]],Tasks[[#This Row],[_AlapShift]],WorkWeek,Holidays)))</f>
        <v/>
      </c>
      <c r="EP89" s="74" t="str">
        <f aca="false">IF(NOT(Tasks[[#This Row],[_IsLeaf]]=1),"",IF(Tasks[[#This Row],[_AlapShift]]=0,Tasks[[#This Row],[_LeafCalcFinish]],WORKDAY.INTL(Tasks[[#This Row],[_LeafCalcFinish]],Tasks[[#This Row],[_AlapShift]],WorkWeek,Holidays)))</f>
        <v/>
      </c>
      <c r="EQ89" s="74" t="str">
        <f aca="false">IF(NOT(Tasks[[#This Row],[_IsLeaf]]=1),"",IF(Tasks[[#This Row],[_AlapShift]]=0,Tasks[[#This Row],[_LeafFcstStart]],WORKDAY.INTL(Tasks[[#This Row],[_LeafFcstStart]],Tasks[[#This Row],[_AlapShift]],WorkWeek,Holidays)))</f>
        <v/>
      </c>
      <c r="ER89" s="74" t="str">
        <f aca="false">IF(NOT(Tasks[[#This Row],[_IsLeaf]]=1),"",IF(Tasks[[#This Row],[_AlapShift]]=0,Tasks[[#This Row],[_LeafFcstFinish]],WORKDAY.INTL(Tasks[[#This Row],[_LeafFcstFinish]],Tasks[[#This Row],[_AlapShift]],WorkWeek,Holidays)))</f>
        <v/>
      </c>
      <c r="ES89" s="74" t="str">
        <f aca="false">IF(Tasks[[#This Row],[Task Name]]="","",IF(Tasks[[#This Row],[_IsSummary]],MIN(INDEX(Tasks[_ShownCalcStart],Tasks[[#This Row],[_Row]]+1):INDEX(Tasks[_ShownCalcStart],Tasks[[#This Row],[_Row]]+Tasks[[#This Row],[_Descendants]])),Tasks[[#This Row],[_ShownCalcStart]]))</f>
        <v/>
      </c>
      <c r="ET89" s="74" t="str">
        <f aca="false">IF(Tasks[[#This Row],[Task Name]]="","",IF(Tasks[[#This Row],[_IsSummary]],MAX(INDEX(Tasks[_ShownCalcFinish],Tasks[[#This Row],[_Row]]+1):INDEX(Tasks[_ShownCalcFinish],Tasks[[#This Row],[_Row]]+Tasks[[#This Row],[_Descendants]])),Tasks[[#This Row],[_ShownCalcFinish]]))</f>
        <v/>
      </c>
      <c r="EU8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8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8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8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8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8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8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8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8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8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8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8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89" s="45" t="n">
        <f aca="false">IF(AND(Tasks[[#This Row],[_IsLeaf]]=1,Tasks[[#This Row],[_LeafTotalWork]]&gt;0),NETWORKDAYS.INTL(ProjectStart,Tasks[[#This Row],[_ShownFcstStart]],WorkWeek,Holidays),0)</f>
        <v>0</v>
      </c>
      <c r="FH89" s="45" t="n">
        <f aca="false">IF(AND(Tasks[[#This Row],[_IsLeaf]]=1,Tasks[[#This Row],[_LeafTotalWork]]&gt;0),MAX(Tasks[[#This Row],[_StartWorkday]],NETWORKDAYS.INTL(ProjectStart,Tasks[[#This Row],[_ShownFcstFinish]],WorkWeek,Holidays)),0)</f>
        <v>0</v>
      </c>
      <c r="FI89" s="45" t="n">
        <f aca="false">IF(AND(Tasks[[#This Row],[_IsLeaf]]=1,Tasks[[#This Row],[_LeafTotalWork]]&gt;0),Tasks[[#This Row],[_LeafWork]]/(Tasks[[#This Row],[_FinishWorkday]]-Tasks[[#This Row],[_StartWorkday]]+1),0)</f>
        <v>0</v>
      </c>
      <c r="FJ89" s="45" t="n">
        <f aca="false">Tasks[[#This Row],[_WorkPerWorkday]]*(Tasks[[#This Row],[_StartWorkday]]-1)</f>
        <v>-0</v>
      </c>
      <c r="FK89" s="45" t="n">
        <f aca="false">IF(Tasks[[#This Row],[_IsLeaf]]=1,MAX(N(Tasks[[#This Row],[Duration]]),0.1),0)</f>
        <v>0</v>
      </c>
      <c r="FL89" s="45" t="n">
        <f aca="false">Tasks[[#This Row],[_WeightDur]]*Tasks[[#This Row],[_LeafProgress]]</f>
        <v>0</v>
      </c>
      <c r="FM8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89" s="45" t="str">
        <f aca="false">IF(AND(Tasks[[#This Row],[_IsLeaf]]=1,N(Tasks[[#This Row],[Duration]])=0,Tasks[[#This Row],[_LeafProgress]]&lt;1),Tasks[[#This Row],[_ShownFcstFinish]]+Tasks[[#This Row],[_Row]]/100000,"")</f>
        <v/>
      </c>
      <c r="FO8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89" s="45" t="n">
        <f aca="false">IF(NOT(Tasks[[#This Row],[_IsLeaf]]=1),0,IF(Tasks[[#This Row],[Baseline Cost]]="",Tasks[[#This Row],[_LeafTotalCost]],N(Tasks[[#This Row],[Baseline Cost]])))</f>
        <v>0</v>
      </c>
      <c r="FQ89" s="45" t="n">
        <f aca="false">Tasks[[#This Row],[_LeafBudget]]*Tasks[[#This Row],[_PlannedPct]]</f>
        <v>0</v>
      </c>
      <c r="FR89" s="45" t="n">
        <f aca="false">Tasks[[#This Row],[_LeafBudget]]*Tasks[[#This Row],[_LeafProgress]]</f>
        <v>0</v>
      </c>
      <c r="FS89" s="45" t="n">
        <f aca="false">IF(NOT(Tasks[[#This Row],[_IsLeaf]]=1),0,IF(Tasks[[#This Row],[Actual Cost]]="",Tasks[[#This Row],[_LeafTotalCost]]*Tasks[[#This Row],[_LeafProgress]],N(Tasks[[#This Row],[Actual Cost]])))</f>
        <v>0</v>
      </c>
      <c r="FT89" s="45" t="str">
        <f aca="false">IF(Tasks[[#This Row],[Task Name]]="","",LEFT(Tasks[[#This Row],[WBS]],FIND(".",Tasks[[#This Row],[WBS]]&amp;".")-1))</f>
        <v/>
      </c>
      <c r="FU89" s="45" t="str">
        <f aca="false">IF(AND(Tasks[[#This Row],[Task Name]]&lt;&gt;"",Tasks[[#This Row],[_Level]]=1),Tasks[[#This Row],[_Row]],"")</f>
        <v/>
      </c>
      <c r="FV89" s="45" t="str">
        <f aca="false">IF(AND(Tasks[[#This Row],[_IsLeaf]]=1,N(Tasks[[#This Row],[Duration]])=0),Tasks[[#This Row],[Planned Finish]]+Tasks[[#This Row],[_Row]]/100000,"")</f>
        <v/>
      </c>
      <c r="FW89" s="45" t="str">
        <f aca="false">IF(AND(Tasks[[#This Row],[_IsLeaf]]=1,Tasks[[#This Row],[_LeafProgress]]&lt;1,OR(N(Tasks[[#This Row],[Finish Var]])&gt;0,Tasks[[#This Row],[Status]]="Late Start")),MAX(0,Tasks[[#This Row],[Finish Var]])+1-Tasks[[#This Row],[_Row]]/1000000,"")</f>
        <v/>
      </c>
      <c r="FX89" s="45" t="str">
        <f aca="false">IF(AND(Tasks[[#This Row],[_IsLeaf]]=1,N(Tasks[[#This Row],[Actual Start]])=0,Tasks[[#This Row],[_ShownFcstStart]]&gt;=StatusDate,Tasks[[#This Row],[_ShownFcstStart]]&lt;=LookaheadEnd),Tasks[[#This Row],[_ShownFcstStart]]+Tasks[[#This Row],[_Row]]/100000,"")</f>
        <v/>
      </c>
      <c r="FY89" s="45" t="str">
        <f aca="false">IF(AND(Tasks[[#This Row],[_IsLeaf]]=1,Tasks[[#This Row],[_LeafProgress]]&lt;1,Tasks[[#This Row],[_ShownFcstFinish]]&gt;=StatusDate,Tasks[[#This Row],[_ShownFcstFinish]]&lt;=LookaheadEnd),Tasks[[#This Row],[_ShownFcstFinish]]+Tasks[[#This Row],[_Row]]/100000,"")</f>
        <v/>
      </c>
      <c r="FZ89" s="45" t="str">
        <f aca="false">IF(Tasks[[#This Row],[_LeafCritical]],Tasks[[#This Row],[_ShownFcstStart]]+Tasks[[#This Row],[_Row]]/100000,"")</f>
        <v/>
      </c>
      <c r="GA89" s="45" t="n">
        <f aca="false">Tasks[[#This Row],[_LeafWork]]*Tasks[[#This Row],[_LeafProgress]]</f>
        <v>0</v>
      </c>
      <c r="GB89" s="74" t="str">
        <f aca="false">IF(AND(Tasks[[#This Row],[_IsLeaf]]=1,Tasks[[#This Row],[_LeafProgress]]&gt;=1),IF(N(Tasks[[#This Row],[Actual Finish]])&gt;0,Tasks[[#This Row],[Actual Finish]],Tasks[[#This Row],[_ShownFcstFinish]]),"")</f>
        <v/>
      </c>
    </row>
    <row r="90" customFormat="false" ht="15" hidden="false" customHeight="false" outlineLevel="0" collapsed="false">
      <c r="A90" s="67" t="str">
        <f aca="false">IF(Tasks[[#This Row],[Task Name]]="","",COUNTA(Tasks[[#Headers],[Task Name]]:Tasks[[#This Row],[Task Name]])-1)</f>
        <v/>
      </c>
      <c r="B90" s="21" t="n">
        <v>85</v>
      </c>
      <c r="C9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21"/>
      <c r="E90" s="22"/>
      <c r="F90" s="21"/>
      <c r="G90" s="22"/>
      <c r="H90" s="22"/>
      <c r="I90" s="22"/>
      <c r="J90" s="7"/>
      <c r="K90" s="7"/>
      <c r="L90" s="22"/>
      <c r="M90" s="58" t="str">
        <f aca="false">IF(Tasks[[#This Row],[Task Name]]="","",IF(Tasks[[#This Row],[_IsSummary]],MIN(INDEX(Tasks[_ShownFcstStart],Tasks[[#This Row],[_Row]]+1):INDEX(Tasks[_ShownFcstStart],Tasks[[#This Row],[_Row]]+Tasks[[#This Row],[_Descendants]])),Tasks[[#This Row],[_ShownFcstStart]]))</f>
        <v/>
      </c>
      <c r="N90" s="58" t="str">
        <f aca="false">IF(Tasks[[#This Row],[Task Name]]="","",IF(Tasks[[#This Row],[_IsSummary]],MAX(INDEX(Tasks[_ShownFcstFinish],Tasks[[#This Row],[_Row]]+1):INDEX(Tasks[_ShownFcstFinish],Tasks[[#This Row],[_Row]]+Tasks[[#This Row],[_Descendants]])),Tasks[[#This Row],[_ShownFcstFinish]]))</f>
        <v/>
      </c>
      <c r="O90" s="20" t="str">
        <f aca="false">IF(Tasks[[#This Row],[Task Name]]="","",IF(Tasks[[#This Row],[Progress]]&gt;=1,"Complete",IF(OR(N(Tasks[[#This Row],[Actual Start]])&gt;0,Tasks[[#This Row],[Progress]]&gt;0),IF(Tasks[[#This Row],[Finish Var]]&gt;0,"Behind","In Progress"),IF(Tasks[[#This Row],[Planned Start]]&lt;StatusDate,"Late Start","Not Started"))))</f>
        <v/>
      </c>
      <c r="P90" s="20" t="str">
        <f aca="false">IF(Tasks[[#This Row],[Task Name]]="","",IF(IF(Tasks[[#This Row],[_IsSummary]],COUNTIF(INDEX(Tasks[_LeafCritical],Tasks[[#This Row],[_Row]]+1):INDEX(Tasks[_LeafCritical],Tasks[[#This Row],[_Row]]+Tasks[[#This Row],[_Descendants]]),TRUE())&gt;0,Tasks[[#This Row],[_LeafCritical]]),"Yes",""))</f>
        <v/>
      </c>
      <c r="Q9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90" s="67" t="str">
        <f aca="false">IF(Tasks[[#This Row],[Task Name]]="","",IF(Tasks[[#This Row],[_Level]]&lt;=OutlineShowLevel,"Yes","No"))</f>
        <v/>
      </c>
      <c r="S90" s="7"/>
      <c r="T90" s="21"/>
      <c r="U90" s="22"/>
      <c r="V90" s="7"/>
      <c r="W90" s="67" t="str">
        <f aca="false">IF(Tasks[[#This Row],[Task Name]]="","",IF(Tasks[[#This Row],[Finish]]&gt;=Tasks[[#This Row],[Planned Finish]],NETWORKDAYS.INTL(Tasks[[#This Row],[Planned Finish]],Tasks[[#This Row],[Finish]],WorkWeek,Holidays)-1,1-NETWORKDAYS.INTL(Tasks[[#This Row],[Finish]],Tasks[[#This Row],[Planned Finish]],WorkWeek,Holidays)))</f>
        <v/>
      </c>
      <c r="X90" s="58" t="str">
        <f aca="false">IF(Tasks[[#This Row],[Task Name]]="","",IF(N(Tasks[[#This Row],[Baseline Start]])&gt;0,Tasks[[#This Row],[Baseline Start]],Tasks[[#This Row],[_CalcStart]]))</f>
        <v/>
      </c>
      <c r="Y90" s="58" t="str">
        <f aca="false">IF(Tasks[[#This Row],[Task Name]]="","",IF(N(Tasks[[#This Row],[Baseline Finish]])&gt;0,Tasks[[#This Row],[Baseline Finish]],Tasks[[#This Row],[_CalcFinish]]))</f>
        <v/>
      </c>
      <c r="Z90" s="67" t="str">
        <f aca="false">IF(Tasks[[#This Row],[Task Name]]="","",IF(Tasks[[#This Row],[Start]]&gt;=Tasks[[#This Row],[Planned Start]],NETWORKDAYS.INTL(Tasks[[#This Row],[Planned Start]],Tasks[[#This Row],[Start]],WorkWeek,Holidays)-1,1-NETWORKDAYS.INTL(Tasks[[#This Row],[Start]],Tasks[[#This Row],[Planned Start]],WorkWeek,Holidays)))</f>
        <v/>
      </c>
      <c r="AA90" s="58" t="str">
        <f aca="false">IF(Tasks[[#This Row],[Task Name]]="","",IF(Tasks[[#This Row],[_IsSummary]],MIN(INDEX(Tasks[_LeafLateStart],Tasks[[#This Row],[_Row]]+1):INDEX(Tasks[_LeafLateStart],Tasks[[#This Row],[_Row]]+Tasks[[#This Row],[_Descendants]])),Tasks[[#This Row],[_LeafLateStart]]))</f>
        <v/>
      </c>
      <c r="AB90" s="58" t="str">
        <f aca="false">IF(Tasks[[#This Row],[Task Name]]="","",IF(Tasks[[#This Row],[_IsSummary]],MAX(INDEX(Tasks[_LeafLateFinish],Tasks[[#This Row],[_Row]]+1):INDEX(Tasks[_LeafLateFinish],Tasks[[#This Row],[_Row]]+Tasks[[#This Row],[_Descendants]])),Tasks[[#This Row],[_LeafLateFinish]]))</f>
        <v/>
      </c>
      <c r="AC90" s="67" t="str">
        <f aca="false">IF(Tasks[[#This Row],[Task Name]]="","",IF(Tasks[[#This Row],[_IsSummary]],MIN(INDEX(Tasks[_LeafTotalSlack],Tasks[[#This Row],[_Row]]+1):INDEX(Tasks[_LeafTotalSlack],Tasks[[#This Row],[_Row]]+Tasks[[#This Row],[_Descendants]])),Tasks[[#This Row],[_LeafTotalSlack]]))</f>
        <v/>
      </c>
      <c r="AD9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9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9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90" s="60"/>
      <c r="AH9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9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90" s="69" t="str">
        <f aca="false">IF(Tasks[[#This Row],[Task Name]]="","",IF(Tasks[[#This Row],[_IsSummary]],SUM(INDEX(Tasks[_LeafTotalWork],Tasks[[#This Row],[_Row]]+1):INDEX(Tasks[_LeafTotalWork],Tasks[[#This Row],[_Row]]+Tasks[[#This Row],[_Descendants]])),Tasks[[#This Row],[_LeafTotalWork]]))</f>
        <v/>
      </c>
      <c r="AK9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90" s="70" t="str">
        <f aca="false">IF(Tasks[[#This Row],[Task Name]]="","",IF(Tasks[[#This Row],[_IsSummary]],SUM(INDEX(Tasks[_LeafTotalCost],Tasks[[#This Row],[_Row]]+1):INDEX(Tasks[_LeafTotalCost],Tasks[[#This Row],[_Row]]+Tasks[[#This Row],[_Descendants]])),Tasks[[#This Row],[_LeafTotalCost]]))</f>
        <v/>
      </c>
      <c r="AM90" s="71"/>
      <c r="AN90" s="20" t="str">
        <f aca="false">IF(OR(Tasks[[#This Row],[Task Name]]="",Tasks[[#This Row],[Baseline Duration]]=""),"",Tasks[[#This Row],[BL Source Duration]]-N(Tasks[[#This Row],[Baseline Duration]]))</f>
        <v/>
      </c>
      <c r="AO90" s="69" t="str">
        <f aca="false">IF(OR(Tasks[[#This Row],[Task Name]]="",Tasks[[#This Row],[Baseline Work]]=""),"",Tasks[[#This Row],[Work]]-N(Tasks[[#This Row],[Baseline Work]]))</f>
        <v/>
      </c>
      <c r="AP90" s="70" t="str">
        <f aca="false">IF(OR(Tasks[[#This Row],[Task Name]]="",Tasks[[#This Row],[Baseline Cost]]=""),"",Tasks[[#This Row],[Cost]]-N(Tasks[[#This Row],[Baseline Cost]]))</f>
        <v/>
      </c>
      <c r="AQ90" s="58" t="str">
        <f aca="false">IF(Tasks[[#This Row],[Task Name]]="","",Tasks[[#This Row],[Start]])</f>
        <v/>
      </c>
      <c r="AR90" s="58" t="str">
        <f aca="false">IF(Tasks[[#This Row],[Task Name]]="","",Tasks[[#This Row],[Finish]])</f>
        <v/>
      </c>
      <c r="AS90" s="67" t="str">
        <f aca="false">IF(Tasks[[#This Row],[Task Name]]="","",IF(Tasks[[#This Row],[_IsSummary]],NETWORKDAYS.INTL(Tasks[[#This Row],[Start]],Tasks[[#This Row],[Finish]],WorkWeek,Holidays),N(Tasks[[#This Row],[Duration]])))</f>
        <v/>
      </c>
      <c r="AT90" s="69" t="str">
        <f aca="false">IF(Tasks[[#This Row],[Task Name]]="","",Tasks[[#This Row],[Work]])</f>
        <v/>
      </c>
      <c r="AU90" s="70" t="str">
        <f aca="false">IF(Tasks[[#This Row],[Task Name]]="","",Tasks[[#This Row],[Cost]])</f>
        <v/>
      </c>
      <c r="AV90" s="7"/>
      <c r="AW90" s="7"/>
      <c r="AX90" s="21"/>
      <c r="AY90" s="72"/>
      <c r="AZ90" s="71"/>
      <c r="BA90" s="70" t="str">
        <f aca="false">IF(Tasks[[#This Row],[Task Name]]="","",IF(Tasks[[#This Row],[_IsSummary]],SUM(INDEX(Tasks[_LeafEV],Tasks[[#This Row],[_Row]]+1):INDEX(Tasks[_LeafEV],Tasks[[#This Row],[_Row]]+Tasks[[#This Row],[_Descendants]])),Tasks[[#This Row],[_LeafEV]]))</f>
        <v/>
      </c>
      <c r="BB90" s="70" t="str">
        <f aca="false">IF(Tasks[[#This Row],[Task Name]]="","",IF(Tasks[[#This Row],[_IsSummary]],SUM(INDEX(Tasks[_LeafBudget],Tasks[[#This Row],[_Row]]+1):INDEX(Tasks[_LeafBudget],Tasks[[#This Row],[_Row]]+Tasks[[#This Row],[_Descendants]])),Tasks[[#This Row],[_LeafBudget]]))</f>
        <v/>
      </c>
      <c r="BC90" s="70" t="str">
        <f aca="false">IF(Tasks[[#This Row],[Task Name]]="","",IF(Tasks[[#This Row],[_IsSummary]],SUM(INDEX(Tasks[_LeafPV],Tasks[[#This Row],[_Row]]+1):INDEX(Tasks[_LeafPV],Tasks[[#This Row],[_Row]]+Tasks[[#This Row],[_Descendants]])),Tasks[[#This Row],[_LeafPV]]))</f>
        <v/>
      </c>
      <c r="BD90" s="70" t="str">
        <f aca="false">IF(Tasks[[#This Row],[Task Name]]="","",IF(Tasks[[#This Row],[_IsSummary]],SUM(INDEX(Tasks[_LeafAC],Tasks[[#This Row],[_Row]]+1):INDEX(Tasks[_LeafAC],Tasks[[#This Row],[_Row]]+Tasks[[#This Row],[_Descendants]])),Tasks[[#This Row],[_LeafAC]]))</f>
        <v/>
      </c>
      <c r="BE90" s="45" t="str">
        <f aca="false">IF(Tasks[[#This Row],[Task Name]]="","",MAX(1,N(Tasks[[#This Row],[Level]])))</f>
        <v/>
      </c>
      <c r="BF90" s="45" t="n">
        <f aca="false">ROW()-ROW(Tasks[[#Headers],[ID]])</f>
        <v>85</v>
      </c>
      <c r="BG90" s="45" t="n">
        <f aca="false">IF(OR(Tasks[[#This Row],[Task Name]]="",Tasks[[#This Row],[_Level]]&lt;=1),0,IFERROR(LOOKUP(2,1/(Tasks[[#Headers],[_Level]]:Tasks[[#This Row],[_Level]]=Tasks[[#This Row],[_Level]]-1),ROW(Tasks[[#Headers],[_Level]]:Tasks[[#This Row],[_Level]])),0))</f>
        <v>0</v>
      </c>
      <c r="BH90" s="45" t="n">
        <f aca="false">IFERROR(N(INDEX(Tasks[_Level],Tasks[[#This Row],[_Row]]+1)),0)</f>
        <v>0</v>
      </c>
      <c r="BI90" s="73" t="b">
        <f aca="false">AND(Tasks[[#This Row],[Task Name]]&lt;&gt;"",Tasks[[#This Row],[_NextLevel]]&gt;Tasks[[#This Row],[_Level]])</f>
        <v>0</v>
      </c>
      <c r="BJ90" s="45" t="n">
        <f aca="false">IF(Tasks[[#This Row],[_IsSummary]],COUNTIF(Tasks[WBS],Tasks[[#This Row],[WBS]]&amp;".*"),0)</f>
        <v>0</v>
      </c>
      <c r="BK90" s="45" t="n">
        <f aca="false">IF(AND(Tasks[[#This Row],[Task Name]]&lt;&gt;"",NOT(Tasks[[#This Row],[_IsSummary]])),1,0)</f>
        <v>0</v>
      </c>
      <c r="BL90" s="45" t="n">
        <f aca="false">IF(N(Tasks[[#This Row],[_Pred1UID]])=0,0,IFERROR(MATCH(Tasks[[#This Row],[_Pred1UID]],Tasks[UID],0),-1))</f>
        <v>0</v>
      </c>
      <c r="BM90" s="45" t="n">
        <f aca="false">IF(N(Tasks[[#This Row],[_Pred2UID]])=0,0,IFERROR(MATCH(Tasks[[#This Row],[_Pred2UID]],Tasks[UID],0),-1))</f>
        <v>0</v>
      </c>
      <c r="BN90" s="45" t="n">
        <f aca="false">IF(N(Tasks[[#This Row],[_Pred3UID]])=0,0,IFERROR(MATCH(Tasks[[#This Row],[_Pred3UID]],Tasks[UID],0),-1))</f>
        <v>0</v>
      </c>
      <c r="BO90" s="45" t="n">
        <f aca="false">IF(N(Tasks[[#This Row],[_Pred4UID]])=0,0,IFERROR(MATCH(Tasks[[#This Row],[_Pred4UID]],Tasks[UID],0),-1))</f>
        <v>0</v>
      </c>
      <c r="BP9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9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90" s="74" t="n">
        <f aca="false">IF(OR(Tasks[[#This Row],[_ConstraintCode]]=2,Tasks[[#This Row],[_ConstraintCode]]=3,Tasks[[#This Row],[_ConstraintCode]]=4,Tasks[[#This Row],[_ConstraintCode]]=6),Tasks[[#This Row],[_ConstraintStart]],0)</f>
        <v>0</v>
      </c>
      <c r="BS90" s="74" t="n">
        <f aca="false">IF(OR(Tasks[[#This Row],[_ConstraintCode]]=2,Tasks[[#This Row],[_ConstraintCode]]=3,Tasks[[#This Row],[_ConstraintCode]]=5,Tasks[[#This Row],[_ConstraintCode]]=7),Tasks[[#This Row],[_ConstraintStart]],2958465)</f>
        <v>2958465</v>
      </c>
      <c r="BT9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90" s="74" t="str">
        <f aca="false">IF(NOT(Tasks[[#This Row],[_IsLeaf]]=1),"",IF(N(Tasks[[#This Row],[Duration]])&lt;=0,Tasks[[#This Row],[_LeafCalcStart]],WORKDAY.INTL(Tasks[[#This Row],[_LeafCalcStart]],Tasks[[#This Row],[Duration]]-1,WorkWeek,Holidays)))</f>
        <v/>
      </c>
      <c r="BV9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9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90" s="45" t="str">
        <f aca="false">IF(Tasks[[#This Row],[Predecessors]]="","",TRIM(MID(SUBSTITUTE(SUBSTITUTE(SUBSTITUTE(UPPER(Tasks[[#This Row],[Predecessors]]),";",",")," ",""),",",REPT(" ",99)),1,99)))</f>
        <v/>
      </c>
      <c r="BY90" s="45" t="str">
        <f aca="false">IF(Tasks[[#This Row],[_Pred1Text]]="","",IFERROR(VALUE(LEFT(Tasks[[#This Row],[_Pred1Text]],MIN(FIND("F",Tasks[[#This Row],[_Pred1Text]]&amp;"F"),FIND("S",Tasks[[#This Row],[_Pred1Text]]&amp;"S"),FIND("+",Tasks[[#This Row],[_Pred1Text]]&amp;"+"),FIND("-",Tasks[[#This Row],[_Pred1Text]]&amp;"-"))-1)),""))</f>
        <v/>
      </c>
      <c r="BZ9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9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90" s="45" t="str">
        <f aca="false">IF(Tasks[[#This Row],[_Pred1Text]]="","",TRIM(MID(SUBSTITUTE(SUBSTITUTE(SUBSTITUTE(UPPER(Tasks[[#This Row],[Predecessors]]),";",",")," ",""),",",REPT(" ",99)),100,99)))</f>
        <v/>
      </c>
      <c r="CC90" s="45" t="str">
        <f aca="false">IF(Tasks[[#This Row],[_Pred2Text]]="","",IFERROR(VALUE(LEFT(Tasks[[#This Row],[_Pred2Text]],MIN(FIND("F",Tasks[[#This Row],[_Pred2Text]]&amp;"F"),FIND("S",Tasks[[#This Row],[_Pred2Text]]&amp;"S"),FIND("+",Tasks[[#This Row],[_Pred2Text]]&amp;"+"),FIND("-",Tasks[[#This Row],[_Pred2Text]]&amp;"-"))-1)),""))</f>
        <v/>
      </c>
      <c r="CD9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9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90" s="45" t="str">
        <f aca="false">IF(Tasks[[#This Row],[_Pred2Text]]="","",TRIM(MID(SUBSTITUTE(SUBSTITUTE(SUBSTITUTE(UPPER(Tasks[[#This Row],[Predecessors]]),";",",")," ",""),",",REPT(" ",99)),199,99)))</f>
        <v/>
      </c>
      <c r="CG90" s="45" t="str">
        <f aca="false">IF(Tasks[[#This Row],[_Pred3Text]]="","",IFERROR(VALUE(LEFT(Tasks[[#This Row],[_Pred3Text]],MIN(FIND("F",Tasks[[#This Row],[_Pred3Text]]&amp;"F"),FIND("S",Tasks[[#This Row],[_Pred3Text]]&amp;"S"),FIND("+",Tasks[[#This Row],[_Pred3Text]]&amp;"+"),FIND("-",Tasks[[#This Row],[_Pred3Text]]&amp;"-"))-1)),""))</f>
        <v/>
      </c>
      <c r="CH9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9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90" s="45" t="str">
        <f aca="false">IF(Tasks[[#This Row],[_Pred3Text]]="","",TRIM(MID(SUBSTITUTE(SUBSTITUTE(SUBSTITUTE(UPPER(Tasks[[#This Row],[Predecessors]]),";",",")," ",""),",",REPT(" ",99)),298,99)))</f>
        <v/>
      </c>
      <c r="CK90" s="45" t="str">
        <f aca="false">IF(Tasks[[#This Row],[_Pred4Text]]="","",IFERROR(VALUE(LEFT(Tasks[[#This Row],[_Pred4Text]],MIN(FIND("F",Tasks[[#This Row],[_Pred4Text]]&amp;"F"),FIND("S",Tasks[[#This Row],[_Pred4Text]]&amp;"S"),FIND("+",Tasks[[#This Row],[_Pred4Text]]&amp;"+"),FIND("-",Tasks[[#This Row],[_Pred4Text]]&amp;"-"))-1)),""))</f>
        <v/>
      </c>
      <c r="CL9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9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90" s="45" t="str">
        <f aca="false">IF(OR(Tasks[[#This Row],[Task Name]]="",Tasks[[#This Row],[Resources]]=""),"",TRIM(MID(SUBSTITUTE(Tasks[[#This Row],[Resources]],",",REPT(" ",99)),1,99)))</f>
        <v/>
      </c>
      <c r="CO90" s="45" t="str">
        <f aca="false">IF(Tasks[[#This Row],[_Res1Text]]="","",TRIM(MID(SUBSTITUTE(Tasks[[#This Row],[Resources]],",",REPT(" ",99)),100,99)))</f>
        <v/>
      </c>
      <c r="CP90" s="45" t="str">
        <f aca="false">IF(Tasks[[#This Row],[_Res2Text]]="","",TRIM(MID(SUBSTITUTE(Tasks[[#This Row],[Resources]],",",REPT(" ",99)),199,99)))</f>
        <v/>
      </c>
      <c r="CQ90" s="45" t="str">
        <f aca="false">IF(Tasks[[#This Row],[_Res3Text]]="","",TRIM(MID(SUBSTITUTE(Tasks[[#This Row],[Resources]],",",REPT(" ",99)),298,99)))</f>
        <v/>
      </c>
      <c r="CR9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9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0" s="45" t="n">
        <f aca="false">IF(NOT(Tasks[[#This Row],[_IsLeaf]]=1),0,(Tasks[[#This Row],[_Resource1]]&lt;&gt;"")+(Tasks[[#This Row],[_Res2]]&lt;&gt;"")+(Tasks[[#This Row],[_Res3]]&lt;&gt;"")+(Tasks[[#This Row],[_Res4]]&lt;&gt;""))</f>
        <v>0</v>
      </c>
      <c r="CU9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9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0" s="45" t="n">
        <f aca="false">IF(OR(NOT(Tasks[[#This Row],[_IsLeaf]]=1),Tasks[[#This Row],[_Res2]]=""),0,IF(ISNA(MATCH(Tasks[[#This Row],[_Res2]],res_Name,0)),0,N(Tasks[[#This Row],[Duration]])*HoursPerDay*IF(Tasks[[#This Row],[_Res2Units]]="",DefaultUnits,Tasks[[#This Row],[_Res2Units]])))</f>
        <v>0</v>
      </c>
      <c r="CX90" s="45" t="n">
        <f aca="false">IF(Tasks[[#This Row],[_Res2Work]]=0,0,Tasks[[#This Row],[_Res2Work]]*IFERROR(INDEX(res_Rate,MATCH(Tasks[[#This Row],[_Res2]],res_Name,0)),0))</f>
        <v>0</v>
      </c>
      <c r="CY90" s="45" t="n">
        <f aca="false">IF(AND(AND(Tasks[[#This Row],[_IsLeaf]]=1,Tasks[[#This Row],[_LeafTotalWork]]&gt;0),Tasks[[#This Row],[_Res2Work]]&gt;0),Tasks[[#This Row],[_Res2Work]]/(Tasks[[#This Row],[_FinishWorkday]]-Tasks[[#This Row],[_StartWorkday]]+1),0)</f>
        <v>0</v>
      </c>
      <c r="CZ90" s="45" t="n">
        <f aca="false">Tasks[[#This Row],[_Res2WorkPerWD]]*MAX(0,Tasks[[#This Row],[_StartWorkday]]-1)</f>
        <v>0</v>
      </c>
      <c r="DA90" s="45" t="n">
        <f aca="false">Tasks[[#This Row],[_Res2Work]]*Tasks[[#This Row],[_LeafProgress]]</f>
        <v>0</v>
      </c>
      <c r="DB90" s="45" t="n">
        <f aca="false">IF(Tasks[[#This Row],[_LeafTotalCost]]=0,0,Tasks[[#This Row],[_LeafAC]]*Tasks[[#This Row],[_Res2Cost]]/Tasks[[#This Row],[_LeafTotalCost]])</f>
        <v>0</v>
      </c>
      <c r="DC9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9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90" s="45" t="n">
        <f aca="false">IF(OR(NOT(Tasks[[#This Row],[_IsLeaf]]=1),Tasks[[#This Row],[_Res3]]=""),0,IF(ISNA(MATCH(Tasks[[#This Row],[_Res3]],res_Name,0)),0,N(Tasks[[#This Row],[Duration]])*HoursPerDay*IF(Tasks[[#This Row],[_Res3Units]]="",DefaultUnits,Tasks[[#This Row],[_Res3Units]])))</f>
        <v>0</v>
      </c>
      <c r="DF90" s="45" t="n">
        <f aca="false">IF(Tasks[[#This Row],[_Res3Work]]=0,0,Tasks[[#This Row],[_Res3Work]]*IFERROR(INDEX(res_Rate,MATCH(Tasks[[#This Row],[_Res3]],res_Name,0)),0))</f>
        <v>0</v>
      </c>
      <c r="DG90" s="45" t="n">
        <f aca="false">IF(AND(AND(Tasks[[#This Row],[_IsLeaf]]=1,Tasks[[#This Row],[_LeafTotalWork]]&gt;0),Tasks[[#This Row],[_Res3Work]]&gt;0),Tasks[[#This Row],[_Res3Work]]/(Tasks[[#This Row],[_FinishWorkday]]-Tasks[[#This Row],[_StartWorkday]]+1),0)</f>
        <v>0</v>
      </c>
      <c r="DH90" s="45" t="n">
        <f aca="false">Tasks[[#This Row],[_Res3WorkPerWD]]*MAX(0,Tasks[[#This Row],[_StartWorkday]]-1)</f>
        <v>0</v>
      </c>
      <c r="DI90" s="45" t="n">
        <f aca="false">Tasks[[#This Row],[_Res3Work]]*Tasks[[#This Row],[_LeafProgress]]</f>
        <v>0</v>
      </c>
      <c r="DJ90" s="45" t="n">
        <f aca="false">IF(Tasks[[#This Row],[_LeafTotalCost]]=0,0,Tasks[[#This Row],[_LeafAC]]*Tasks[[#This Row],[_Res3Cost]]/Tasks[[#This Row],[_LeafTotalCost]])</f>
        <v>0</v>
      </c>
      <c r="DK9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9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90" s="45" t="n">
        <f aca="false">IF(OR(NOT(Tasks[[#This Row],[_IsLeaf]]=1),Tasks[[#This Row],[_Res4]]=""),0,IF(ISNA(MATCH(Tasks[[#This Row],[_Res4]],res_Name,0)),0,N(Tasks[[#This Row],[Duration]])*HoursPerDay*IF(Tasks[[#This Row],[_Res4Units]]="",DefaultUnits,Tasks[[#This Row],[_Res4Units]])))</f>
        <v>0</v>
      </c>
      <c r="DN90" s="45" t="n">
        <f aca="false">IF(Tasks[[#This Row],[_Res4Work]]=0,0,Tasks[[#This Row],[_Res4Work]]*IFERROR(INDEX(res_Rate,MATCH(Tasks[[#This Row],[_Res4]],res_Name,0)),0))</f>
        <v>0</v>
      </c>
      <c r="DO90" s="45" t="n">
        <f aca="false">IF(AND(AND(Tasks[[#This Row],[_IsLeaf]]=1,Tasks[[#This Row],[_LeafTotalWork]]&gt;0),Tasks[[#This Row],[_Res4Work]]&gt;0),Tasks[[#This Row],[_Res4Work]]/(Tasks[[#This Row],[_FinishWorkday]]-Tasks[[#This Row],[_StartWorkday]]+1),0)</f>
        <v>0</v>
      </c>
      <c r="DP90" s="45" t="n">
        <f aca="false">Tasks[[#This Row],[_Res4WorkPerWD]]*MAX(0,Tasks[[#This Row],[_StartWorkday]]-1)</f>
        <v>0</v>
      </c>
      <c r="DQ90" s="45" t="n">
        <f aca="false">Tasks[[#This Row],[_Res4Work]]*Tasks[[#This Row],[_LeafProgress]]</f>
        <v>0</v>
      </c>
      <c r="DR90" s="45" t="n">
        <f aca="false">IF(Tasks[[#This Row],[_LeafTotalCost]]=0,0,Tasks[[#This Row],[_LeafAC]]*Tasks[[#This Row],[_Res4Cost]]/Tasks[[#This Row],[_LeafTotalCost]])</f>
        <v>0</v>
      </c>
      <c r="DS90" s="45" t="n">
        <f aca="false">IF(ISNUMBER(Tasks[[#This Row],[% Complete]]),Tasks[[#This Row],[% Complete]],IF(Tasks[[#This Row],[Stage]]="",0,IFERROR(INDEX(stg_Pct,MATCH(Tasks[[#This Row],[Stage]],stg_Name,0)),0)))</f>
        <v>0</v>
      </c>
      <c r="DT90" s="45" t="n">
        <f aca="false">IF(NOT(Tasks[[#This Row],[_IsLeaf]]=1),0,IF(N(Tasks[[#This Row],[Actual Finish]])&gt;0,1,MIN(1,Tasks[[#This Row],[_Pct]])))</f>
        <v>0</v>
      </c>
      <c r="DU90" s="45" t="n">
        <f aca="false">IF(OR(NOT(Tasks[[#This Row],[_IsLeaf]]=1),Tasks[[#This Row],[_Resource1]]=""),0,IF(ISNA(MATCH(Tasks[[#This Row],[_Resource1]],res_Name,0)),0,N(Tasks[[#This Row],[Duration]])*HoursPerDay*IF(Tasks[[#This Row],[_Units1]]="",DefaultUnits,Tasks[[#This Row],[_Units1]])))</f>
        <v>0</v>
      </c>
      <c r="DV90" s="45" t="n">
        <f aca="false">IF(Tasks[[#This Row],[_LeafWork]]=0,0,Tasks[[#This Row],[_LeafWork]]*IFERROR(INDEX(res_Rate,MATCH(Tasks[[#This Row],[_Resource1]],res_Name,0)),0))</f>
        <v>0</v>
      </c>
      <c r="DW90" s="45" t="n">
        <f aca="false">Tasks[[#This Row],[_LeafWork]]+Tasks[[#This Row],[_Res2Work]]+Tasks[[#This Row],[_Res3Work]]+Tasks[[#This Row],[_Res4Work]]</f>
        <v>0</v>
      </c>
      <c r="DX90" s="45" t="n">
        <f aca="false">Tasks[[#This Row],[_LeafCost]]+Tasks[[#This Row],[_Res2Cost]]+Tasks[[#This Row],[_Res3Cost]]+Tasks[[#This Row],[_Res4Cost]]</f>
        <v>0</v>
      </c>
      <c r="DY90" s="45" t="n">
        <f aca="false">IF(Tasks[[#This Row],[_LeafTotalCost]]=0,Tasks[[#This Row],[_LeafAC]],Tasks[[#This Row],[_LeafAC]]*Tasks[[#This Row],[_LeafCost]]/Tasks[[#This Row],[_LeafTotalCost]])</f>
        <v>0</v>
      </c>
      <c r="DZ9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9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9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9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9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9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9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9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90" s="45" t="n">
        <f aca="false">IF(NOT(Tasks[[#This Row],[_IsLeaf]]=1),0,MAX(_xlfn.MAXIFS(Tasks[_Row],Tasks[_Pred1UID],Tasks[[#This Row],[UID]]),_xlfn.MAXIFS(Tasks[_Row],Tasks[_Pred2UID],Tasks[[#This Row],[UID]]),_xlfn.MAXIFS(Tasks[_Row],Tasks[_Pred3UID],Tasks[[#This Row],[UID]]),_xlfn.MAXIFS(Tasks[_Row],Tasks[_Pred4UID],Tasks[[#This Row],[UID]])))</f>
        <v>0</v>
      </c>
      <c r="EI9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9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90" s="74" t="str">
        <f aca="false">IF(NOT(Tasks[[#This Row],[_IsLeaf]]=1),"",IF(N(Tasks[[#This Row],[Duration]])&lt;=0,Tasks[[#This Row],[_LeafLateFinish]],WORKDAY.INTL(Tasks[[#This Row],[_LeafLateFinish]],-(Tasks[[#This Row],[Duration]]-1),WorkWeek,Holidays)))</f>
        <v/>
      </c>
      <c r="EL9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90" s="73" t="b">
        <f aca="false">AND(Tasks[[#This Row],[_IsLeaf]]=1,Tasks[[#This Row],[_LeafProgress]]&lt;1,N(Tasks[[#This Row],[_LeafTotalSlack]])&lt;=CriticalSlackDays)</f>
        <v>0</v>
      </c>
      <c r="EN90" s="45" t="n">
        <f aca="false">IF(AND(Tasks[[#This Row],[_IsLeaf]]=1,Tasks[[#This Row],[_ConstraintCode]]=1,Tasks[[#This Row],[Mode]]&lt;&gt;"Manual",N(Tasks[[#This Row],[Actual Start]])=0),MAX(0,N(Tasks[[#This Row],[Free Slack]])),0)</f>
        <v>0</v>
      </c>
      <c r="EO90" s="74" t="str">
        <f aca="false">IF(NOT(Tasks[[#This Row],[_IsLeaf]]=1),"",IF(Tasks[[#This Row],[_AlapShift]]=0,Tasks[[#This Row],[_LeafCalcStart]],WORKDAY.INTL(Tasks[[#This Row],[_LeafCalcStart]],Tasks[[#This Row],[_AlapShift]],WorkWeek,Holidays)))</f>
        <v/>
      </c>
      <c r="EP90" s="74" t="str">
        <f aca="false">IF(NOT(Tasks[[#This Row],[_IsLeaf]]=1),"",IF(Tasks[[#This Row],[_AlapShift]]=0,Tasks[[#This Row],[_LeafCalcFinish]],WORKDAY.INTL(Tasks[[#This Row],[_LeafCalcFinish]],Tasks[[#This Row],[_AlapShift]],WorkWeek,Holidays)))</f>
        <v/>
      </c>
      <c r="EQ90" s="74" t="str">
        <f aca="false">IF(NOT(Tasks[[#This Row],[_IsLeaf]]=1),"",IF(Tasks[[#This Row],[_AlapShift]]=0,Tasks[[#This Row],[_LeafFcstStart]],WORKDAY.INTL(Tasks[[#This Row],[_LeafFcstStart]],Tasks[[#This Row],[_AlapShift]],WorkWeek,Holidays)))</f>
        <v/>
      </c>
      <c r="ER90" s="74" t="str">
        <f aca="false">IF(NOT(Tasks[[#This Row],[_IsLeaf]]=1),"",IF(Tasks[[#This Row],[_AlapShift]]=0,Tasks[[#This Row],[_LeafFcstFinish]],WORKDAY.INTL(Tasks[[#This Row],[_LeafFcstFinish]],Tasks[[#This Row],[_AlapShift]],WorkWeek,Holidays)))</f>
        <v/>
      </c>
      <c r="ES90" s="74" t="str">
        <f aca="false">IF(Tasks[[#This Row],[Task Name]]="","",IF(Tasks[[#This Row],[_IsSummary]],MIN(INDEX(Tasks[_ShownCalcStart],Tasks[[#This Row],[_Row]]+1):INDEX(Tasks[_ShownCalcStart],Tasks[[#This Row],[_Row]]+Tasks[[#This Row],[_Descendants]])),Tasks[[#This Row],[_ShownCalcStart]]))</f>
        <v/>
      </c>
      <c r="ET90" s="74" t="str">
        <f aca="false">IF(Tasks[[#This Row],[Task Name]]="","",IF(Tasks[[#This Row],[_IsSummary]],MAX(INDEX(Tasks[_ShownCalcFinish],Tasks[[#This Row],[_Row]]+1):INDEX(Tasks[_ShownCalcFinish],Tasks[[#This Row],[_Row]]+Tasks[[#This Row],[_Descendants]])),Tasks[[#This Row],[_ShownCalcFinish]]))</f>
        <v/>
      </c>
      <c r="EU9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9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9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9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9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9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9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9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9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9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9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9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90" s="45" t="n">
        <f aca="false">IF(AND(Tasks[[#This Row],[_IsLeaf]]=1,Tasks[[#This Row],[_LeafTotalWork]]&gt;0),NETWORKDAYS.INTL(ProjectStart,Tasks[[#This Row],[_ShownFcstStart]],WorkWeek,Holidays),0)</f>
        <v>0</v>
      </c>
      <c r="FH90" s="45" t="n">
        <f aca="false">IF(AND(Tasks[[#This Row],[_IsLeaf]]=1,Tasks[[#This Row],[_LeafTotalWork]]&gt;0),MAX(Tasks[[#This Row],[_StartWorkday]],NETWORKDAYS.INTL(ProjectStart,Tasks[[#This Row],[_ShownFcstFinish]],WorkWeek,Holidays)),0)</f>
        <v>0</v>
      </c>
      <c r="FI90" s="45" t="n">
        <f aca="false">IF(AND(Tasks[[#This Row],[_IsLeaf]]=1,Tasks[[#This Row],[_LeafTotalWork]]&gt;0),Tasks[[#This Row],[_LeafWork]]/(Tasks[[#This Row],[_FinishWorkday]]-Tasks[[#This Row],[_StartWorkday]]+1),0)</f>
        <v>0</v>
      </c>
      <c r="FJ90" s="45" t="n">
        <f aca="false">Tasks[[#This Row],[_WorkPerWorkday]]*(Tasks[[#This Row],[_StartWorkday]]-1)</f>
        <v>-0</v>
      </c>
      <c r="FK90" s="45" t="n">
        <f aca="false">IF(Tasks[[#This Row],[_IsLeaf]]=1,MAX(N(Tasks[[#This Row],[Duration]]),0.1),0)</f>
        <v>0</v>
      </c>
      <c r="FL90" s="45" t="n">
        <f aca="false">Tasks[[#This Row],[_WeightDur]]*Tasks[[#This Row],[_LeafProgress]]</f>
        <v>0</v>
      </c>
      <c r="FM9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90" s="45" t="str">
        <f aca="false">IF(AND(Tasks[[#This Row],[_IsLeaf]]=1,N(Tasks[[#This Row],[Duration]])=0,Tasks[[#This Row],[_LeafProgress]]&lt;1),Tasks[[#This Row],[_ShownFcstFinish]]+Tasks[[#This Row],[_Row]]/100000,"")</f>
        <v/>
      </c>
      <c r="FO9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90" s="45" t="n">
        <f aca="false">IF(NOT(Tasks[[#This Row],[_IsLeaf]]=1),0,IF(Tasks[[#This Row],[Baseline Cost]]="",Tasks[[#This Row],[_LeafTotalCost]],N(Tasks[[#This Row],[Baseline Cost]])))</f>
        <v>0</v>
      </c>
      <c r="FQ90" s="45" t="n">
        <f aca="false">Tasks[[#This Row],[_LeafBudget]]*Tasks[[#This Row],[_PlannedPct]]</f>
        <v>0</v>
      </c>
      <c r="FR90" s="45" t="n">
        <f aca="false">Tasks[[#This Row],[_LeafBudget]]*Tasks[[#This Row],[_LeafProgress]]</f>
        <v>0</v>
      </c>
      <c r="FS90" s="45" t="n">
        <f aca="false">IF(NOT(Tasks[[#This Row],[_IsLeaf]]=1),0,IF(Tasks[[#This Row],[Actual Cost]]="",Tasks[[#This Row],[_LeafTotalCost]]*Tasks[[#This Row],[_LeafProgress]],N(Tasks[[#This Row],[Actual Cost]])))</f>
        <v>0</v>
      </c>
      <c r="FT90" s="45" t="str">
        <f aca="false">IF(Tasks[[#This Row],[Task Name]]="","",LEFT(Tasks[[#This Row],[WBS]],FIND(".",Tasks[[#This Row],[WBS]]&amp;".")-1))</f>
        <v/>
      </c>
      <c r="FU90" s="45" t="str">
        <f aca="false">IF(AND(Tasks[[#This Row],[Task Name]]&lt;&gt;"",Tasks[[#This Row],[_Level]]=1),Tasks[[#This Row],[_Row]],"")</f>
        <v/>
      </c>
      <c r="FV90" s="45" t="str">
        <f aca="false">IF(AND(Tasks[[#This Row],[_IsLeaf]]=1,N(Tasks[[#This Row],[Duration]])=0),Tasks[[#This Row],[Planned Finish]]+Tasks[[#This Row],[_Row]]/100000,"")</f>
        <v/>
      </c>
      <c r="FW90" s="45" t="str">
        <f aca="false">IF(AND(Tasks[[#This Row],[_IsLeaf]]=1,Tasks[[#This Row],[_LeafProgress]]&lt;1,OR(N(Tasks[[#This Row],[Finish Var]])&gt;0,Tasks[[#This Row],[Status]]="Late Start")),MAX(0,Tasks[[#This Row],[Finish Var]])+1-Tasks[[#This Row],[_Row]]/1000000,"")</f>
        <v/>
      </c>
      <c r="FX90" s="45" t="str">
        <f aca="false">IF(AND(Tasks[[#This Row],[_IsLeaf]]=1,N(Tasks[[#This Row],[Actual Start]])=0,Tasks[[#This Row],[_ShownFcstStart]]&gt;=StatusDate,Tasks[[#This Row],[_ShownFcstStart]]&lt;=LookaheadEnd),Tasks[[#This Row],[_ShownFcstStart]]+Tasks[[#This Row],[_Row]]/100000,"")</f>
        <v/>
      </c>
      <c r="FY90" s="45" t="str">
        <f aca="false">IF(AND(Tasks[[#This Row],[_IsLeaf]]=1,Tasks[[#This Row],[_LeafProgress]]&lt;1,Tasks[[#This Row],[_ShownFcstFinish]]&gt;=StatusDate,Tasks[[#This Row],[_ShownFcstFinish]]&lt;=LookaheadEnd),Tasks[[#This Row],[_ShownFcstFinish]]+Tasks[[#This Row],[_Row]]/100000,"")</f>
        <v/>
      </c>
      <c r="FZ90" s="45" t="str">
        <f aca="false">IF(Tasks[[#This Row],[_LeafCritical]],Tasks[[#This Row],[_ShownFcstStart]]+Tasks[[#This Row],[_Row]]/100000,"")</f>
        <v/>
      </c>
      <c r="GA90" s="45" t="n">
        <f aca="false">Tasks[[#This Row],[_LeafWork]]*Tasks[[#This Row],[_LeafProgress]]</f>
        <v>0</v>
      </c>
      <c r="GB90" s="74" t="str">
        <f aca="false">IF(AND(Tasks[[#This Row],[_IsLeaf]]=1,Tasks[[#This Row],[_LeafProgress]]&gt;=1),IF(N(Tasks[[#This Row],[Actual Finish]])&gt;0,Tasks[[#This Row],[Actual Finish]],Tasks[[#This Row],[_ShownFcstFinish]]),"")</f>
        <v/>
      </c>
    </row>
    <row r="91" customFormat="false" ht="15" hidden="false" customHeight="false" outlineLevel="0" collapsed="false">
      <c r="A91" s="67" t="str">
        <f aca="false">IF(Tasks[[#This Row],[Task Name]]="","",COUNTA(Tasks[[#Headers],[Task Name]]:Tasks[[#This Row],[Task Name]])-1)</f>
        <v/>
      </c>
      <c r="B91" s="21" t="n">
        <v>86</v>
      </c>
      <c r="C9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21"/>
      <c r="E91" s="22"/>
      <c r="F91" s="21"/>
      <c r="G91" s="22"/>
      <c r="H91" s="22"/>
      <c r="I91" s="22"/>
      <c r="J91" s="7"/>
      <c r="K91" s="7"/>
      <c r="L91" s="22"/>
      <c r="M91" s="58" t="str">
        <f aca="false">IF(Tasks[[#This Row],[Task Name]]="","",IF(Tasks[[#This Row],[_IsSummary]],MIN(INDEX(Tasks[_ShownFcstStart],Tasks[[#This Row],[_Row]]+1):INDEX(Tasks[_ShownFcstStart],Tasks[[#This Row],[_Row]]+Tasks[[#This Row],[_Descendants]])),Tasks[[#This Row],[_ShownFcstStart]]))</f>
        <v/>
      </c>
      <c r="N91" s="58" t="str">
        <f aca="false">IF(Tasks[[#This Row],[Task Name]]="","",IF(Tasks[[#This Row],[_IsSummary]],MAX(INDEX(Tasks[_ShownFcstFinish],Tasks[[#This Row],[_Row]]+1):INDEX(Tasks[_ShownFcstFinish],Tasks[[#This Row],[_Row]]+Tasks[[#This Row],[_Descendants]])),Tasks[[#This Row],[_ShownFcstFinish]]))</f>
        <v/>
      </c>
      <c r="O91" s="20" t="str">
        <f aca="false">IF(Tasks[[#This Row],[Task Name]]="","",IF(Tasks[[#This Row],[Progress]]&gt;=1,"Complete",IF(OR(N(Tasks[[#This Row],[Actual Start]])&gt;0,Tasks[[#This Row],[Progress]]&gt;0),IF(Tasks[[#This Row],[Finish Var]]&gt;0,"Behind","In Progress"),IF(Tasks[[#This Row],[Planned Start]]&lt;StatusDate,"Late Start","Not Started"))))</f>
        <v/>
      </c>
      <c r="P91" s="20" t="str">
        <f aca="false">IF(Tasks[[#This Row],[Task Name]]="","",IF(IF(Tasks[[#This Row],[_IsSummary]],COUNTIF(INDEX(Tasks[_LeafCritical],Tasks[[#This Row],[_Row]]+1):INDEX(Tasks[_LeafCritical],Tasks[[#This Row],[_Row]]+Tasks[[#This Row],[_Descendants]]),TRUE())&gt;0,Tasks[[#This Row],[_LeafCritical]]),"Yes",""))</f>
        <v/>
      </c>
      <c r="Q9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91" s="67" t="str">
        <f aca="false">IF(Tasks[[#This Row],[Task Name]]="","",IF(Tasks[[#This Row],[_Level]]&lt;=OutlineShowLevel,"Yes","No"))</f>
        <v/>
      </c>
      <c r="S91" s="7"/>
      <c r="T91" s="21"/>
      <c r="U91" s="22"/>
      <c r="V91" s="7"/>
      <c r="W91" s="67" t="str">
        <f aca="false">IF(Tasks[[#This Row],[Task Name]]="","",IF(Tasks[[#This Row],[Finish]]&gt;=Tasks[[#This Row],[Planned Finish]],NETWORKDAYS.INTL(Tasks[[#This Row],[Planned Finish]],Tasks[[#This Row],[Finish]],WorkWeek,Holidays)-1,1-NETWORKDAYS.INTL(Tasks[[#This Row],[Finish]],Tasks[[#This Row],[Planned Finish]],WorkWeek,Holidays)))</f>
        <v/>
      </c>
      <c r="X91" s="58" t="str">
        <f aca="false">IF(Tasks[[#This Row],[Task Name]]="","",IF(N(Tasks[[#This Row],[Baseline Start]])&gt;0,Tasks[[#This Row],[Baseline Start]],Tasks[[#This Row],[_CalcStart]]))</f>
        <v/>
      </c>
      <c r="Y91" s="58" t="str">
        <f aca="false">IF(Tasks[[#This Row],[Task Name]]="","",IF(N(Tasks[[#This Row],[Baseline Finish]])&gt;0,Tasks[[#This Row],[Baseline Finish]],Tasks[[#This Row],[_CalcFinish]]))</f>
        <v/>
      </c>
      <c r="Z91" s="67" t="str">
        <f aca="false">IF(Tasks[[#This Row],[Task Name]]="","",IF(Tasks[[#This Row],[Start]]&gt;=Tasks[[#This Row],[Planned Start]],NETWORKDAYS.INTL(Tasks[[#This Row],[Planned Start]],Tasks[[#This Row],[Start]],WorkWeek,Holidays)-1,1-NETWORKDAYS.INTL(Tasks[[#This Row],[Start]],Tasks[[#This Row],[Planned Start]],WorkWeek,Holidays)))</f>
        <v/>
      </c>
      <c r="AA91" s="58" t="str">
        <f aca="false">IF(Tasks[[#This Row],[Task Name]]="","",IF(Tasks[[#This Row],[_IsSummary]],MIN(INDEX(Tasks[_LeafLateStart],Tasks[[#This Row],[_Row]]+1):INDEX(Tasks[_LeafLateStart],Tasks[[#This Row],[_Row]]+Tasks[[#This Row],[_Descendants]])),Tasks[[#This Row],[_LeafLateStart]]))</f>
        <v/>
      </c>
      <c r="AB91" s="58" t="str">
        <f aca="false">IF(Tasks[[#This Row],[Task Name]]="","",IF(Tasks[[#This Row],[_IsSummary]],MAX(INDEX(Tasks[_LeafLateFinish],Tasks[[#This Row],[_Row]]+1):INDEX(Tasks[_LeafLateFinish],Tasks[[#This Row],[_Row]]+Tasks[[#This Row],[_Descendants]])),Tasks[[#This Row],[_LeafLateFinish]]))</f>
        <v/>
      </c>
      <c r="AC91" s="67" t="str">
        <f aca="false">IF(Tasks[[#This Row],[Task Name]]="","",IF(Tasks[[#This Row],[_IsSummary]],MIN(INDEX(Tasks[_LeafTotalSlack],Tasks[[#This Row],[_Row]]+1):INDEX(Tasks[_LeafTotalSlack],Tasks[[#This Row],[_Row]]+Tasks[[#This Row],[_Descendants]])),Tasks[[#This Row],[_LeafTotalSlack]]))</f>
        <v/>
      </c>
      <c r="AD9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9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9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91" s="60"/>
      <c r="AH9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9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91" s="69" t="str">
        <f aca="false">IF(Tasks[[#This Row],[Task Name]]="","",IF(Tasks[[#This Row],[_IsSummary]],SUM(INDEX(Tasks[_LeafTotalWork],Tasks[[#This Row],[_Row]]+1):INDEX(Tasks[_LeafTotalWork],Tasks[[#This Row],[_Row]]+Tasks[[#This Row],[_Descendants]])),Tasks[[#This Row],[_LeafTotalWork]]))</f>
        <v/>
      </c>
      <c r="AK9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91" s="70" t="str">
        <f aca="false">IF(Tasks[[#This Row],[Task Name]]="","",IF(Tasks[[#This Row],[_IsSummary]],SUM(INDEX(Tasks[_LeafTotalCost],Tasks[[#This Row],[_Row]]+1):INDEX(Tasks[_LeafTotalCost],Tasks[[#This Row],[_Row]]+Tasks[[#This Row],[_Descendants]])),Tasks[[#This Row],[_LeafTotalCost]]))</f>
        <v/>
      </c>
      <c r="AM91" s="71"/>
      <c r="AN91" s="20" t="str">
        <f aca="false">IF(OR(Tasks[[#This Row],[Task Name]]="",Tasks[[#This Row],[Baseline Duration]]=""),"",Tasks[[#This Row],[BL Source Duration]]-N(Tasks[[#This Row],[Baseline Duration]]))</f>
        <v/>
      </c>
      <c r="AO91" s="69" t="str">
        <f aca="false">IF(OR(Tasks[[#This Row],[Task Name]]="",Tasks[[#This Row],[Baseline Work]]=""),"",Tasks[[#This Row],[Work]]-N(Tasks[[#This Row],[Baseline Work]]))</f>
        <v/>
      </c>
      <c r="AP91" s="70" t="str">
        <f aca="false">IF(OR(Tasks[[#This Row],[Task Name]]="",Tasks[[#This Row],[Baseline Cost]]=""),"",Tasks[[#This Row],[Cost]]-N(Tasks[[#This Row],[Baseline Cost]]))</f>
        <v/>
      </c>
      <c r="AQ91" s="58" t="str">
        <f aca="false">IF(Tasks[[#This Row],[Task Name]]="","",Tasks[[#This Row],[Start]])</f>
        <v/>
      </c>
      <c r="AR91" s="58" t="str">
        <f aca="false">IF(Tasks[[#This Row],[Task Name]]="","",Tasks[[#This Row],[Finish]])</f>
        <v/>
      </c>
      <c r="AS91" s="67" t="str">
        <f aca="false">IF(Tasks[[#This Row],[Task Name]]="","",IF(Tasks[[#This Row],[_IsSummary]],NETWORKDAYS.INTL(Tasks[[#This Row],[Start]],Tasks[[#This Row],[Finish]],WorkWeek,Holidays),N(Tasks[[#This Row],[Duration]])))</f>
        <v/>
      </c>
      <c r="AT91" s="69" t="str">
        <f aca="false">IF(Tasks[[#This Row],[Task Name]]="","",Tasks[[#This Row],[Work]])</f>
        <v/>
      </c>
      <c r="AU91" s="70" t="str">
        <f aca="false">IF(Tasks[[#This Row],[Task Name]]="","",Tasks[[#This Row],[Cost]])</f>
        <v/>
      </c>
      <c r="AV91" s="7"/>
      <c r="AW91" s="7"/>
      <c r="AX91" s="21"/>
      <c r="AY91" s="72"/>
      <c r="AZ91" s="71"/>
      <c r="BA91" s="70" t="str">
        <f aca="false">IF(Tasks[[#This Row],[Task Name]]="","",IF(Tasks[[#This Row],[_IsSummary]],SUM(INDEX(Tasks[_LeafEV],Tasks[[#This Row],[_Row]]+1):INDEX(Tasks[_LeafEV],Tasks[[#This Row],[_Row]]+Tasks[[#This Row],[_Descendants]])),Tasks[[#This Row],[_LeafEV]]))</f>
        <v/>
      </c>
      <c r="BB91" s="70" t="str">
        <f aca="false">IF(Tasks[[#This Row],[Task Name]]="","",IF(Tasks[[#This Row],[_IsSummary]],SUM(INDEX(Tasks[_LeafBudget],Tasks[[#This Row],[_Row]]+1):INDEX(Tasks[_LeafBudget],Tasks[[#This Row],[_Row]]+Tasks[[#This Row],[_Descendants]])),Tasks[[#This Row],[_LeafBudget]]))</f>
        <v/>
      </c>
      <c r="BC91" s="70" t="str">
        <f aca="false">IF(Tasks[[#This Row],[Task Name]]="","",IF(Tasks[[#This Row],[_IsSummary]],SUM(INDEX(Tasks[_LeafPV],Tasks[[#This Row],[_Row]]+1):INDEX(Tasks[_LeafPV],Tasks[[#This Row],[_Row]]+Tasks[[#This Row],[_Descendants]])),Tasks[[#This Row],[_LeafPV]]))</f>
        <v/>
      </c>
      <c r="BD91" s="70" t="str">
        <f aca="false">IF(Tasks[[#This Row],[Task Name]]="","",IF(Tasks[[#This Row],[_IsSummary]],SUM(INDEX(Tasks[_LeafAC],Tasks[[#This Row],[_Row]]+1):INDEX(Tasks[_LeafAC],Tasks[[#This Row],[_Row]]+Tasks[[#This Row],[_Descendants]])),Tasks[[#This Row],[_LeafAC]]))</f>
        <v/>
      </c>
      <c r="BE91" s="45" t="str">
        <f aca="false">IF(Tasks[[#This Row],[Task Name]]="","",MAX(1,N(Tasks[[#This Row],[Level]])))</f>
        <v/>
      </c>
      <c r="BF91" s="45" t="n">
        <f aca="false">ROW()-ROW(Tasks[[#Headers],[ID]])</f>
        <v>86</v>
      </c>
      <c r="BG91" s="45" t="n">
        <f aca="false">IF(OR(Tasks[[#This Row],[Task Name]]="",Tasks[[#This Row],[_Level]]&lt;=1),0,IFERROR(LOOKUP(2,1/(Tasks[[#Headers],[_Level]]:Tasks[[#This Row],[_Level]]=Tasks[[#This Row],[_Level]]-1),ROW(Tasks[[#Headers],[_Level]]:Tasks[[#This Row],[_Level]])),0))</f>
        <v>0</v>
      </c>
      <c r="BH91" s="45" t="n">
        <f aca="false">IFERROR(N(INDEX(Tasks[_Level],Tasks[[#This Row],[_Row]]+1)),0)</f>
        <v>0</v>
      </c>
      <c r="BI91" s="73" t="b">
        <f aca="false">AND(Tasks[[#This Row],[Task Name]]&lt;&gt;"",Tasks[[#This Row],[_NextLevel]]&gt;Tasks[[#This Row],[_Level]])</f>
        <v>0</v>
      </c>
      <c r="BJ91" s="45" t="n">
        <f aca="false">IF(Tasks[[#This Row],[_IsSummary]],COUNTIF(Tasks[WBS],Tasks[[#This Row],[WBS]]&amp;".*"),0)</f>
        <v>0</v>
      </c>
      <c r="BK91" s="45" t="n">
        <f aca="false">IF(AND(Tasks[[#This Row],[Task Name]]&lt;&gt;"",NOT(Tasks[[#This Row],[_IsSummary]])),1,0)</f>
        <v>0</v>
      </c>
      <c r="BL91" s="45" t="n">
        <f aca="false">IF(N(Tasks[[#This Row],[_Pred1UID]])=0,0,IFERROR(MATCH(Tasks[[#This Row],[_Pred1UID]],Tasks[UID],0),-1))</f>
        <v>0</v>
      </c>
      <c r="BM91" s="45" t="n">
        <f aca="false">IF(N(Tasks[[#This Row],[_Pred2UID]])=0,0,IFERROR(MATCH(Tasks[[#This Row],[_Pred2UID]],Tasks[UID],0),-1))</f>
        <v>0</v>
      </c>
      <c r="BN91" s="45" t="n">
        <f aca="false">IF(N(Tasks[[#This Row],[_Pred3UID]])=0,0,IFERROR(MATCH(Tasks[[#This Row],[_Pred3UID]],Tasks[UID],0),-1))</f>
        <v>0</v>
      </c>
      <c r="BO91" s="45" t="n">
        <f aca="false">IF(N(Tasks[[#This Row],[_Pred4UID]])=0,0,IFERROR(MATCH(Tasks[[#This Row],[_Pred4UID]],Tasks[UID],0),-1))</f>
        <v>0</v>
      </c>
      <c r="BP9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9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91" s="74" t="n">
        <f aca="false">IF(OR(Tasks[[#This Row],[_ConstraintCode]]=2,Tasks[[#This Row],[_ConstraintCode]]=3,Tasks[[#This Row],[_ConstraintCode]]=4,Tasks[[#This Row],[_ConstraintCode]]=6),Tasks[[#This Row],[_ConstraintStart]],0)</f>
        <v>0</v>
      </c>
      <c r="BS91" s="74" t="n">
        <f aca="false">IF(OR(Tasks[[#This Row],[_ConstraintCode]]=2,Tasks[[#This Row],[_ConstraintCode]]=3,Tasks[[#This Row],[_ConstraintCode]]=5,Tasks[[#This Row],[_ConstraintCode]]=7),Tasks[[#This Row],[_ConstraintStart]],2958465)</f>
        <v>2958465</v>
      </c>
      <c r="BT9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91" s="74" t="str">
        <f aca="false">IF(NOT(Tasks[[#This Row],[_IsLeaf]]=1),"",IF(N(Tasks[[#This Row],[Duration]])&lt;=0,Tasks[[#This Row],[_LeafCalcStart]],WORKDAY.INTL(Tasks[[#This Row],[_LeafCalcStart]],Tasks[[#This Row],[Duration]]-1,WorkWeek,Holidays)))</f>
        <v/>
      </c>
      <c r="BV9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9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91" s="45" t="str">
        <f aca="false">IF(Tasks[[#This Row],[Predecessors]]="","",TRIM(MID(SUBSTITUTE(SUBSTITUTE(SUBSTITUTE(UPPER(Tasks[[#This Row],[Predecessors]]),";",",")," ",""),",",REPT(" ",99)),1,99)))</f>
        <v/>
      </c>
      <c r="BY91" s="45" t="str">
        <f aca="false">IF(Tasks[[#This Row],[_Pred1Text]]="","",IFERROR(VALUE(LEFT(Tasks[[#This Row],[_Pred1Text]],MIN(FIND("F",Tasks[[#This Row],[_Pred1Text]]&amp;"F"),FIND("S",Tasks[[#This Row],[_Pred1Text]]&amp;"S"),FIND("+",Tasks[[#This Row],[_Pred1Text]]&amp;"+"),FIND("-",Tasks[[#This Row],[_Pred1Text]]&amp;"-"))-1)),""))</f>
        <v/>
      </c>
      <c r="BZ9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9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91" s="45" t="str">
        <f aca="false">IF(Tasks[[#This Row],[_Pred1Text]]="","",TRIM(MID(SUBSTITUTE(SUBSTITUTE(SUBSTITUTE(UPPER(Tasks[[#This Row],[Predecessors]]),";",",")," ",""),",",REPT(" ",99)),100,99)))</f>
        <v/>
      </c>
      <c r="CC91" s="45" t="str">
        <f aca="false">IF(Tasks[[#This Row],[_Pred2Text]]="","",IFERROR(VALUE(LEFT(Tasks[[#This Row],[_Pred2Text]],MIN(FIND("F",Tasks[[#This Row],[_Pred2Text]]&amp;"F"),FIND("S",Tasks[[#This Row],[_Pred2Text]]&amp;"S"),FIND("+",Tasks[[#This Row],[_Pred2Text]]&amp;"+"),FIND("-",Tasks[[#This Row],[_Pred2Text]]&amp;"-"))-1)),""))</f>
        <v/>
      </c>
      <c r="CD9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9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91" s="45" t="str">
        <f aca="false">IF(Tasks[[#This Row],[_Pred2Text]]="","",TRIM(MID(SUBSTITUTE(SUBSTITUTE(SUBSTITUTE(UPPER(Tasks[[#This Row],[Predecessors]]),";",",")," ",""),",",REPT(" ",99)),199,99)))</f>
        <v/>
      </c>
      <c r="CG91" s="45" t="str">
        <f aca="false">IF(Tasks[[#This Row],[_Pred3Text]]="","",IFERROR(VALUE(LEFT(Tasks[[#This Row],[_Pred3Text]],MIN(FIND("F",Tasks[[#This Row],[_Pred3Text]]&amp;"F"),FIND("S",Tasks[[#This Row],[_Pred3Text]]&amp;"S"),FIND("+",Tasks[[#This Row],[_Pred3Text]]&amp;"+"),FIND("-",Tasks[[#This Row],[_Pred3Text]]&amp;"-"))-1)),""))</f>
        <v/>
      </c>
      <c r="CH9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9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91" s="45" t="str">
        <f aca="false">IF(Tasks[[#This Row],[_Pred3Text]]="","",TRIM(MID(SUBSTITUTE(SUBSTITUTE(SUBSTITUTE(UPPER(Tasks[[#This Row],[Predecessors]]),";",",")," ",""),",",REPT(" ",99)),298,99)))</f>
        <v/>
      </c>
      <c r="CK91" s="45" t="str">
        <f aca="false">IF(Tasks[[#This Row],[_Pred4Text]]="","",IFERROR(VALUE(LEFT(Tasks[[#This Row],[_Pred4Text]],MIN(FIND("F",Tasks[[#This Row],[_Pred4Text]]&amp;"F"),FIND("S",Tasks[[#This Row],[_Pred4Text]]&amp;"S"),FIND("+",Tasks[[#This Row],[_Pred4Text]]&amp;"+"),FIND("-",Tasks[[#This Row],[_Pred4Text]]&amp;"-"))-1)),""))</f>
        <v/>
      </c>
      <c r="CL9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9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91" s="45" t="str">
        <f aca="false">IF(OR(Tasks[[#This Row],[Task Name]]="",Tasks[[#This Row],[Resources]]=""),"",TRIM(MID(SUBSTITUTE(Tasks[[#This Row],[Resources]],",",REPT(" ",99)),1,99)))</f>
        <v/>
      </c>
      <c r="CO91" s="45" t="str">
        <f aca="false">IF(Tasks[[#This Row],[_Res1Text]]="","",TRIM(MID(SUBSTITUTE(Tasks[[#This Row],[Resources]],",",REPT(" ",99)),100,99)))</f>
        <v/>
      </c>
      <c r="CP91" s="45" t="str">
        <f aca="false">IF(Tasks[[#This Row],[_Res2Text]]="","",TRIM(MID(SUBSTITUTE(Tasks[[#This Row],[Resources]],",",REPT(" ",99)),199,99)))</f>
        <v/>
      </c>
      <c r="CQ91" s="45" t="str">
        <f aca="false">IF(Tasks[[#This Row],[_Res3Text]]="","",TRIM(MID(SUBSTITUTE(Tasks[[#This Row],[Resources]],",",REPT(" ",99)),298,99)))</f>
        <v/>
      </c>
      <c r="CR9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9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1" s="45" t="n">
        <f aca="false">IF(NOT(Tasks[[#This Row],[_IsLeaf]]=1),0,(Tasks[[#This Row],[_Resource1]]&lt;&gt;"")+(Tasks[[#This Row],[_Res2]]&lt;&gt;"")+(Tasks[[#This Row],[_Res3]]&lt;&gt;"")+(Tasks[[#This Row],[_Res4]]&lt;&gt;""))</f>
        <v>0</v>
      </c>
      <c r="CU9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9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1" s="45" t="n">
        <f aca="false">IF(OR(NOT(Tasks[[#This Row],[_IsLeaf]]=1),Tasks[[#This Row],[_Res2]]=""),0,IF(ISNA(MATCH(Tasks[[#This Row],[_Res2]],res_Name,0)),0,N(Tasks[[#This Row],[Duration]])*HoursPerDay*IF(Tasks[[#This Row],[_Res2Units]]="",DefaultUnits,Tasks[[#This Row],[_Res2Units]])))</f>
        <v>0</v>
      </c>
      <c r="CX91" s="45" t="n">
        <f aca="false">IF(Tasks[[#This Row],[_Res2Work]]=0,0,Tasks[[#This Row],[_Res2Work]]*IFERROR(INDEX(res_Rate,MATCH(Tasks[[#This Row],[_Res2]],res_Name,0)),0))</f>
        <v>0</v>
      </c>
      <c r="CY91" s="45" t="n">
        <f aca="false">IF(AND(AND(Tasks[[#This Row],[_IsLeaf]]=1,Tasks[[#This Row],[_LeafTotalWork]]&gt;0),Tasks[[#This Row],[_Res2Work]]&gt;0),Tasks[[#This Row],[_Res2Work]]/(Tasks[[#This Row],[_FinishWorkday]]-Tasks[[#This Row],[_StartWorkday]]+1),0)</f>
        <v>0</v>
      </c>
      <c r="CZ91" s="45" t="n">
        <f aca="false">Tasks[[#This Row],[_Res2WorkPerWD]]*MAX(0,Tasks[[#This Row],[_StartWorkday]]-1)</f>
        <v>0</v>
      </c>
      <c r="DA91" s="45" t="n">
        <f aca="false">Tasks[[#This Row],[_Res2Work]]*Tasks[[#This Row],[_LeafProgress]]</f>
        <v>0</v>
      </c>
      <c r="DB91" s="45" t="n">
        <f aca="false">IF(Tasks[[#This Row],[_LeafTotalCost]]=0,0,Tasks[[#This Row],[_LeafAC]]*Tasks[[#This Row],[_Res2Cost]]/Tasks[[#This Row],[_LeafTotalCost]])</f>
        <v>0</v>
      </c>
      <c r="DC9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9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91" s="45" t="n">
        <f aca="false">IF(OR(NOT(Tasks[[#This Row],[_IsLeaf]]=1),Tasks[[#This Row],[_Res3]]=""),0,IF(ISNA(MATCH(Tasks[[#This Row],[_Res3]],res_Name,0)),0,N(Tasks[[#This Row],[Duration]])*HoursPerDay*IF(Tasks[[#This Row],[_Res3Units]]="",DefaultUnits,Tasks[[#This Row],[_Res3Units]])))</f>
        <v>0</v>
      </c>
      <c r="DF91" s="45" t="n">
        <f aca="false">IF(Tasks[[#This Row],[_Res3Work]]=0,0,Tasks[[#This Row],[_Res3Work]]*IFERROR(INDEX(res_Rate,MATCH(Tasks[[#This Row],[_Res3]],res_Name,0)),0))</f>
        <v>0</v>
      </c>
      <c r="DG91" s="45" t="n">
        <f aca="false">IF(AND(AND(Tasks[[#This Row],[_IsLeaf]]=1,Tasks[[#This Row],[_LeafTotalWork]]&gt;0),Tasks[[#This Row],[_Res3Work]]&gt;0),Tasks[[#This Row],[_Res3Work]]/(Tasks[[#This Row],[_FinishWorkday]]-Tasks[[#This Row],[_StartWorkday]]+1),0)</f>
        <v>0</v>
      </c>
      <c r="DH91" s="45" t="n">
        <f aca="false">Tasks[[#This Row],[_Res3WorkPerWD]]*MAX(0,Tasks[[#This Row],[_StartWorkday]]-1)</f>
        <v>0</v>
      </c>
      <c r="DI91" s="45" t="n">
        <f aca="false">Tasks[[#This Row],[_Res3Work]]*Tasks[[#This Row],[_LeafProgress]]</f>
        <v>0</v>
      </c>
      <c r="DJ91" s="45" t="n">
        <f aca="false">IF(Tasks[[#This Row],[_LeafTotalCost]]=0,0,Tasks[[#This Row],[_LeafAC]]*Tasks[[#This Row],[_Res3Cost]]/Tasks[[#This Row],[_LeafTotalCost]])</f>
        <v>0</v>
      </c>
      <c r="DK9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9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91" s="45" t="n">
        <f aca="false">IF(OR(NOT(Tasks[[#This Row],[_IsLeaf]]=1),Tasks[[#This Row],[_Res4]]=""),0,IF(ISNA(MATCH(Tasks[[#This Row],[_Res4]],res_Name,0)),0,N(Tasks[[#This Row],[Duration]])*HoursPerDay*IF(Tasks[[#This Row],[_Res4Units]]="",DefaultUnits,Tasks[[#This Row],[_Res4Units]])))</f>
        <v>0</v>
      </c>
      <c r="DN91" s="45" t="n">
        <f aca="false">IF(Tasks[[#This Row],[_Res4Work]]=0,0,Tasks[[#This Row],[_Res4Work]]*IFERROR(INDEX(res_Rate,MATCH(Tasks[[#This Row],[_Res4]],res_Name,0)),0))</f>
        <v>0</v>
      </c>
      <c r="DO91" s="45" t="n">
        <f aca="false">IF(AND(AND(Tasks[[#This Row],[_IsLeaf]]=1,Tasks[[#This Row],[_LeafTotalWork]]&gt;0),Tasks[[#This Row],[_Res4Work]]&gt;0),Tasks[[#This Row],[_Res4Work]]/(Tasks[[#This Row],[_FinishWorkday]]-Tasks[[#This Row],[_StartWorkday]]+1),0)</f>
        <v>0</v>
      </c>
      <c r="DP91" s="45" t="n">
        <f aca="false">Tasks[[#This Row],[_Res4WorkPerWD]]*MAX(0,Tasks[[#This Row],[_StartWorkday]]-1)</f>
        <v>0</v>
      </c>
      <c r="DQ91" s="45" t="n">
        <f aca="false">Tasks[[#This Row],[_Res4Work]]*Tasks[[#This Row],[_LeafProgress]]</f>
        <v>0</v>
      </c>
      <c r="DR91" s="45" t="n">
        <f aca="false">IF(Tasks[[#This Row],[_LeafTotalCost]]=0,0,Tasks[[#This Row],[_LeafAC]]*Tasks[[#This Row],[_Res4Cost]]/Tasks[[#This Row],[_LeafTotalCost]])</f>
        <v>0</v>
      </c>
      <c r="DS91" s="45" t="n">
        <f aca="false">IF(ISNUMBER(Tasks[[#This Row],[% Complete]]),Tasks[[#This Row],[% Complete]],IF(Tasks[[#This Row],[Stage]]="",0,IFERROR(INDEX(stg_Pct,MATCH(Tasks[[#This Row],[Stage]],stg_Name,0)),0)))</f>
        <v>0</v>
      </c>
      <c r="DT91" s="45" t="n">
        <f aca="false">IF(NOT(Tasks[[#This Row],[_IsLeaf]]=1),0,IF(N(Tasks[[#This Row],[Actual Finish]])&gt;0,1,MIN(1,Tasks[[#This Row],[_Pct]])))</f>
        <v>0</v>
      </c>
      <c r="DU91" s="45" t="n">
        <f aca="false">IF(OR(NOT(Tasks[[#This Row],[_IsLeaf]]=1),Tasks[[#This Row],[_Resource1]]=""),0,IF(ISNA(MATCH(Tasks[[#This Row],[_Resource1]],res_Name,0)),0,N(Tasks[[#This Row],[Duration]])*HoursPerDay*IF(Tasks[[#This Row],[_Units1]]="",DefaultUnits,Tasks[[#This Row],[_Units1]])))</f>
        <v>0</v>
      </c>
      <c r="DV91" s="45" t="n">
        <f aca="false">IF(Tasks[[#This Row],[_LeafWork]]=0,0,Tasks[[#This Row],[_LeafWork]]*IFERROR(INDEX(res_Rate,MATCH(Tasks[[#This Row],[_Resource1]],res_Name,0)),0))</f>
        <v>0</v>
      </c>
      <c r="DW91" s="45" t="n">
        <f aca="false">Tasks[[#This Row],[_LeafWork]]+Tasks[[#This Row],[_Res2Work]]+Tasks[[#This Row],[_Res3Work]]+Tasks[[#This Row],[_Res4Work]]</f>
        <v>0</v>
      </c>
      <c r="DX91" s="45" t="n">
        <f aca="false">Tasks[[#This Row],[_LeafCost]]+Tasks[[#This Row],[_Res2Cost]]+Tasks[[#This Row],[_Res3Cost]]+Tasks[[#This Row],[_Res4Cost]]</f>
        <v>0</v>
      </c>
      <c r="DY91" s="45" t="n">
        <f aca="false">IF(Tasks[[#This Row],[_LeafTotalCost]]=0,Tasks[[#This Row],[_LeafAC]],Tasks[[#This Row],[_LeafAC]]*Tasks[[#This Row],[_LeafCost]]/Tasks[[#This Row],[_LeafTotalCost]])</f>
        <v>0</v>
      </c>
      <c r="DZ9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9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9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9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9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9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9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9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91" s="45" t="n">
        <f aca="false">IF(NOT(Tasks[[#This Row],[_IsLeaf]]=1),0,MAX(_xlfn.MAXIFS(Tasks[_Row],Tasks[_Pred1UID],Tasks[[#This Row],[UID]]),_xlfn.MAXIFS(Tasks[_Row],Tasks[_Pred2UID],Tasks[[#This Row],[UID]]),_xlfn.MAXIFS(Tasks[_Row],Tasks[_Pred3UID],Tasks[[#This Row],[UID]]),_xlfn.MAXIFS(Tasks[_Row],Tasks[_Pred4UID],Tasks[[#This Row],[UID]])))</f>
        <v>0</v>
      </c>
      <c r="EI9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9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91" s="74" t="str">
        <f aca="false">IF(NOT(Tasks[[#This Row],[_IsLeaf]]=1),"",IF(N(Tasks[[#This Row],[Duration]])&lt;=0,Tasks[[#This Row],[_LeafLateFinish]],WORKDAY.INTL(Tasks[[#This Row],[_LeafLateFinish]],-(Tasks[[#This Row],[Duration]]-1),WorkWeek,Holidays)))</f>
        <v/>
      </c>
      <c r="EL9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91" s="73" t="b">
        <f aca="false">AND(Tasks[[#This Row],[_IsLeaf]]=1,Tasks[[#This Row],[_LeafProgress]]&lt;1,N(Tasks[[#This Row],[_LeafTotalSlack]])&lt;=CriticalSlackDays)</f>
        <v>0</v>
      </c>
      <c r="EN91" s="45" t="n">
        <f aca="false">IF(AND(Tasks[[#This Row],[_IsLeaf]]=1,Tasks[[#This Row],[_ConstraintCode]]=1,Tasks[[#This Row],[Mode]]&lt;&gt;"Manual",N(Tasks[[#This Row],[Actual Start]])=0),MAX(0,N(Tasks[[#This Row],[Free Slack]])),0)</f>
        <v>0</v>
      </c>
      <c r="EO91" s="74" t="str">
        <f aca="false">IF(NOT(Tasks[[#This Row],[_IsLeaf]]=1),"",IF(Tasks[[#This Row],[_AlapShift]]=0,Tasks[[#This Row],[_LeafCalcStart]],WORKDAY.INTL(Tasks[[#This Row],[_LeafCalcStart]],Tasks[[#This Row],[_AlapShift]],WorkWeek,Holidays)))</f>
        <v/>
      </c>
      <c r="EP91" s="74" t="str">
        <f aca="false">IF(NOT(Tasks[[#This Row],[_IsLeaf]]=1),"",IF(Tasks[[#This Row],[_AlapShift]]=0,Tasks[[#This Row],[_LeafCalcFinish]],WORKDAY.INTL(Tasks[[#This Row],[_LeafCalcFinish]],Tasks[[#This Row],[_AlapShift]],WorkWeek,Holidays)))</f>
        <v/>
      </c>
      <c r="EQ91" s="74" t="str">
        <f aca="false">IF(NOT(Tasks[[#This Row],[_IsLeaf]]=1),"",IF(Tasks[[#This Row],[_AlapShift]]=0,Tasks[[#This Row],[_LeafFcstStart]],WORKDAY.INTL(Tasks[[#This Row],[_LeafFcstStart]],Tasks[[#This Row],[_AlapShift]],WorkWeek,Holidays)))</f>
        <v/>
      </c>
      <c r="ER91" s="74" t="str">
        <f aca="false">IF(NOT(Tasks[[#This Row],[_IsLeaf]]=1),"",IF(Tasks[[#This Row],[_AlapShift]]=0,Tasks[[#This Row],[_LeafFcstFinish]],WORKDAY.INTL(Tasks[[#This Row],[_LeafFcstFinish]],Tasks[[#This Row],[_AlapShift]],WorkWeek,Holidays)))</f>
        <v/>
      </c>
      <c r="ES91" s="74" t="str">
        <f aca="false">IF(Tasks[[#This Row],[Task Name]]="","",IF(Tasks[[#This Row],[_IsSummary]],MIN(INDEX(Tasks[_ShownCalcStart],Tasks[[#This Row],[_Row]]+1):INDEX(Tasks[_ShownCalcStart],Tasks[[#This Row],[_Row]]+Tasks[[#This Row],[_Descendants]])),Tasks[[#This Row],[_ShownCalcStart]]))</f>
        <v/>
      </c>
      <c r="ET91" s="74" t="str">
        <f aca="false">IF(Tasks[[#This Row],[Task Name]]="","",IF(Tasks[[#This Row],[_IsSummary]],MAX(INDEX(Tasks[_ShownCalcFinish],Tasks[[#This Row],[_Row]]+1):INDEX(Tasks[_ShownCalcFinish],Tasks[[#This Row],[_Row]]+Tasks[[#This Row],[_Descendants]])),Tasks[[#This Row],[_ShownCalcFinish]]))</f>
        <v/>
      </c>
      <c r="EU9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9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9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9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9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9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9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9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9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9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9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9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91" s="45" t="n">
        <f aca="false">IF(AND(Tasks[[#This Row],[_IsLeaf]]=1,Tasks[[#This Row],[_LeafTotalWork]]&gt;0),NETWORKDAYS.INTL(ProjectStart,Tasks[[#This Row],[_ShownFcstStart]],WorkWeek,Holidays),0)</f>
        <v>0</v>
      </c>
      <c r="FH91" s="45" t="n">
        <f aca="false">IF(AND(Tasks[[#This Row],[_IsLeaf]]=1,Tasks[[#This Row],[_LeafTotalWork]]&gt;0),MAX(Tasks[[#This Row],[_StartWorkday]],NETWORKDAYS.INTL(ProjectStart,Tasks[[#This Row],[_ShownFcstFinish]],WorkWeek,Holidays)),0)</f>
        <v>0</v>
      </c>
      <c r="FI91" s="45" t="n">
        <f aca="false">IF(AND(Tasks[[#This Row],[_IsLeaf]]=1,Tasks[[#This Row],[_LeafTotalWork]]&gt;0),Tasks[[#This Row],[_LeafWork]]/(Tasks[[#This Row],[_FinishWorkday]]-Tasks[[#This Row],[_StartWorkday]]+1),0)</f>
        <v>0</v>
      </c>
      <c r="FJ91" s="45" t="n">
        <f aca="false">Tasks[[#This Row],[_WorkPerWorkday]]*(Tasks[[#This Row],[_StartWorkday]]-1)</f>
        <v>-0</v>
      </c>
      <c r="FK91" s="45" t="n">
        <f aca="false">IF(Tasks[[#This Row],[_IsLeaf]]=1,MAX(N(Tasks[[#This Row],[Duration]]),0.1),0)</f>
        <v>0</v>
      </c>
      <c r="FL91" s="45" t="n">
        <f aca="false">Tasks[[#This Row],[_WeightDur]]*Tasks[[#This Row],[_LeafProgress]]</f>
        <v>0</v>
      </c>
      <c r="FM9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91" s="45" t="str">
        <f aca="false">IF(AND(Tasks[[#This Row],[_IsLeaf]]=1,N(Tasks[[#This Row],[Duration]])=0,Tasks[[#This Row],[_LeafProgress]]&lt;1),Tasks[[#This Row],[_ShownFcstFinish]]+Tasks[[#This Row],[_Row]]/100000,"")</f>
        <v/>
      </c>
      <c r="FO9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91" s="45" t="n">
        <f aca="false">IF(NOT(Tasks[[#This Row],[_IsLeaf]]=1),0,IF(Tasks[[#This Row],[Baseline Cost]]="",Tasks[[#This Row],[_LeafTotalCost]],N(Tasks[[#This Row],[Baseline Cost]])))</f>
        <v>0</v>
      </c>
      <c r="FQ91" s="45" t="n">
        <f aca="false">Tasks[[#This Row],[_LeafBudget]]*Tasks[[#This Row],[_PlannedPct]]</f>
        <v>0</v>
      </c>
      <c r="FR91" s="45" t="n">
        <f aca="false">Tasks[[#This Row],[_LeafBudget]]*Tasks[[#This Row],[_LeafProgress]]</f>
        <v>0</v>
      </c>
      <c r="FS91" s="45" t="n">
        <f aca="false">IF(NOT(Tasks[[#This Row],[_IsLeaf]]=1),0,IF(Tasks[[#This Row],[Actual Cost]]="",Tasks[[#This Row],[_LeafTotalCost]]*Tasks[[#This Row],[_LeafProgress]],N(Tasks[[#This Row],[Actual Cost]])))</f>
        <v>0</v>
      </c>
      <c r="FT91" s="45" t="str">
        <f aca="false">IF(Tasks[[#This Row],[Task Name]]="","",LEFT(Tasks[[#This Row],[WBS]],FIND(".",Tasks[[#This Row],[WBS]]&amp;".")-1))</f>
        <v/>
      </c>
      <c r="FU91" s="45" t="str">
        <f aca="false">IF(AND(Tasks[[#This Row],[Task Name]]&lt;&gt;"",Tasks[[#This Row],[_Level]]=1),Tasks[[#This Row],[_Row]],"")</f>
        <v/>
      </c>
      <c r="FV91" s="45" t="str">
        <f aca="false">IF(AND(Tasks[[#This Row],[_IsLeaf]]=1,N(Tasks[[#This Row],[Duration]])=0),Tasks[[#This Row],[Planned Finish]]+Tasks[[#This Row],[_Row]]/100000,"")</f>
        <v/>
      </c>
      <c r="FW91" s="45" t="str">
        <f aca="false">IF(AND(Tasks[[#This Row],[_IsLeaf]]=1,Tasks[[#This Row],[_LeafProgress]]&lt;1,OR(N(Tasks[[#This Row],[Finish Var]])&gt;0,Tasks[[#This Row],[Status]]="Late Start")),MAX(0,Tasks[[#This Row],[Finish Var]])+1-Tasks[[#This Row],[_Row]]/1000000,"")</f>
        <v/>
      </c>
      <c r="FX91" s="45" t="str">
        <f aca="false">IF(AND(Tasks[[#This Row],[_IsLeaf]]=1,N(Tasks[[#This Row],[Actual Start]])=0,Tasks[[#This Row],[_ShownFcstStart]]&gt;=StatusDate,Tasks[[#This Row],[_ShownFcstStart]]&lt;=LookaheadEnd),Tasks[[#This Row],[_ShownFcstStart]]+Tasks[[#This Row],[_Row]]/100000,"")</f>
        <v/>
      </c>
      <c r="FY91" s="45" t="str">
        <f aca="false">IF(AND(Tasks[[#This Row],[_IsLeaf]]=1,Tasks[[#This Row],[_LeafProgress]]&lt;1,Tasks[[#This Row],[_ShownFcstFinish]]&gt;=StatusDate,Tasks[[#This Row],[_ShownFcstFinish]]&lt;=LookaheadEnd),Tasks[[#This Row],[_ShownFcstFinish]]+Tasks[[#This Row],[_Row]]/100000,"")</f>
        <v/>
      </c>
      <c r="FZ91" s="45" t="str">
        <f aca="false">IF(Tasks[[#This Row],[_LeafCritical]],Tasks[[#This Row],[_ShownFcstStart]]+Tasks[[#This Row],[_Row]]/100000,"")</f>
        <v/>
      </c>
      <c r="GA91" s="45" t="n">
        <f aca="false">Tasks[[#This Row],[_LeafWork]]*Tasks[[#This Row],[_LeafProgress]]</f>
        <v>0</v>
      </c>
      <c r="GB91" s="74" t="str">
        <f aca="false">IF(AND(Tasks[[#This Row],[_IsLeaf]]=1,Tasks[[#This Row],[_LeafProgress]]&gt;=1),IF(N(Tasks[[#This Row],[Actual Finish]])&gt;0,Tasks[[#This Row],[Actual Finish]],Tasks[[#This Row],[_ShownFcstFinish]]),"")</f>
        <v/>
      </c>
    </row>
    <row r="92" customFormat="false" ht="15" hidden="false" customHeight="false" outlineLevel="0" collapsed="false">
      <c r="A92" s="67" t="str">
        <f aca="false">IF(Tasks[[#This Row],[Task Name]]="","",COUNTA(Tasks[[#Headers],[Task Name]]:Tasks[[#This Row],[Task Name]])-1)</f>
        <v/>
      </c>
      <c r="B92" s="21" t="n">
        <v>87</v>
      </c>
      <c r="C9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21"/>
      <c r="E92" s="22"/>
      <c r="F92" s="21"/>
      <c r="G92" s="22"/>
      <c r="H92" s="22"/>
      <c r="I92" s="22"/>
      <c r="J92" s="7"/>
      <c r="K92" s="7"/>
      <c r="L92" s="22"/>
      <c r="M92" s="58" t="str">
        <f aca="false">IF(Tasks[[#This Row],[Task Name]]="","",IF(Tasks[[#This Row],[_IsSummary]],MIN(INDEX(Tasks[_ShownFcstStart],Tasks[[#This Row],[_Row]]+1):INDEX(Tasks[_ShownFcstStart],Tasks[[#This Row],[_Row]]+Tasks[[#This Row],[_Descendants]])),Tasks[[#This Row],[_ShownFcstStart]]))</f>
        <v/>
      </c>
      <c r="N92" s="58" t="str">
        <f aca="false">IF(Tasks[[#This Row],[Task Name]]="","",IF(Tasks[[#This Row],[_IsSummary]],MAX(INDEX(Tasks[_ShownFcstFinish],Tasks[[#This Row],[_Row]]+1):INDEX(Tasks[_ShownFcstFinish],Tasks[[#This Row],[_Row]]+Tasks[[#This Row],[_Descendants]])),Tasks[[#This Row],[_ShownFcstFinish]]))</f>
        <v/>
      </c>
      <c r="O92" s="20" t="str">
        <f aca="false">IF(Tasks[[#This Row],[Task Name]]="","",IF(Tasks[[#This Row],[Progress]]&gt;=1,"Complete",IF(OR(N(Tasks[[#This Row],[Actual Start]])&gt;0,Tasks[[#This Row],[Progress]]&gt;0),IF(Tasks[[#This Row],[Finish Var]]&gt;0,"Behind","In Progress"),IF(Tasks[[#This Row],[Planned Start]]&lt;StatusDate,"Late Start","Not Started"))))</f>
        <v/>
      </c>
      <c r="P92" s="20" t="str">
        <f aca="false">IF(Tasks[[#This Row],[Task Name]]="","",IF(IF(Tasks[[#This Row],[_IsSummary]],COUNTIF(INDEX(Tasks[_LeafCritical],Tasks[[#This Row],[_Row]]+1):INDEX(Tasks[_LeafCritical],Tasks[[#This Row],[_Row]]+Tasks[[#This Row],[_Descendants]]),TRUE())&gt;0,Tasks[[#This Row],[_LeafCritical]]),"Yes",""))</f>
        <v/>
      </c>
      <c r="Q9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92" s="67" t="str">
        <f aca="false">IF(Tasks[[#This Row],[Task Name]]="","",IF(Tasks[[#This Row],[_Level]]&lt;=OutlineShowLevel,"Yes","No"))</f>
        <v/>
      </c>
      <c r="S92" s="7"/>
      <c r="T92" s="21"/>
      <c r="U92" s="22"/>
      <c r="V92" s="7"/>
      <c r="W92" s="67" t="str">
        <f aca="false">IF(Tasks[[#This Row],[Task Name]]="","",IF(Tasks[[#This Row],[Finish]]&gt;=Tasks[[#This Row],[Planned Finish]],NETWORKDAYS.INTL(Tasks[[#This Row],[Planned Finish]],Tasks[[#This Row],[Finish]],WorkWeek,Holidays)-1,1-NETWORKDAYS.INTL(Tasks[[#This Row],[Finish]],Tasks[[#This Row],[Planned Finish]],WorkWeek,Holidays)))</f>
        <v/>
      </c>
      <c r="X92" s="58" t="str">
        <f aca="false">IF(Tasks[[#This Row],[Task Name]]="","",IF(N(Tasks[[#This Row],[Baseline Start]])&gt;0,Tasks[[#This Row],[Baseline Start]],Tasks[[#This Row],[_CalcStart]]))</f>
        <v/>
      </c>
      <c r="Y92" s="58" t="str">
        <f aca="false">IF(Tasks[[#This Row],[Task Name]]="","",IF(N(Tasks[[#This Row],[Baseline Finish]])&gt;0,Tasks[[#This Row],[Baseline Finish]],Tasks[[#This Row],[_CalcFinish]]))</f>
        <v/>
      </c>
      <c r="Z92" s="67" t="str">
        <f aca="false">IF(Tasks[[#This Row],[Task Name]]="","",IF(Tasks[[#This Row],[Start]]&gt;=Tasks[[#This Row],[Planned Start]],NETWORKDAYS.INTL(Tasks[[#This Row],[Planned Start]],Tasks[[#This Row],[Start]],WorkWeek,Holidays)-1,1-NETWORKDAYS.INTL(Tasks[[#This Row],[Start]],Tasks[[#This Row],[Planned Start]],WorkWeek,Holidays)))</f>
        <v/>
      </c>
      <c r="AA92" s="58" t="str">
        <f aca="false">IF(Tasks[[#This Row],[Task Name]]="","",IF(Tasks[[#This Row],[_IsSummary]],MIN(INDEX(Tasks[_LeafLateStart],Tasks[[#This Row],[_Row]]+1):INDEX(Tasks[_LeafLateStart],Tasks[[#This Row],[_Row]]+Tasks[[#This Row],[_Descendants]])),Tasks[[#This Row],[_LeafLateStart]]))</f>
        <v/>
      </c>
      <c r="AB92" s="58" t="str">
        <f aca="false">IF(Tasks[[#This Row],[Task Name]]="","",IF(Tasks[[#This Row],[_IsSummary]],MAX(INDEX(Tasks[_LeafLateFinish],Tasks[[#This Row],[_Row]]+1):INDEX(Tasks[_LeafLateFinish],Tasks[[#This Row],[_Row]]+Tasks[[#This Row],[_Descendants]])),Tasks[[#This Row],[_LeafLateFinish]]))</f>
        <v/>
      </c>
      <c r="AC92" s="67" t="str">
        <f aca="false">IF(Tasks[[#This Row],[Task Name]]="","",IF(Tasks[[#This Row],[_IsSummary]],MIN(INDEX(Tasks[_LeafTotalSlack],Tasks[[#This Row],[_Row]]+1):INDEX(Tasks[_LeafTotalSlack],Tasks[[#This Row],[_Row]]+Tasks[[#This Row],[_Descendants]])),Tasks[[#This Row],[_LeafTotalSlack]]))</f>
        <v/>
      </c>
      <c r="AD9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9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9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92" s="60"/>
      <c r="AH9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9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92" s="69" t="str">
        <f aca="false">IF(Tasks[[#This Row],[Task Name]]="","",IF(Tasks[[#This Row],[_IsSummary]],SUM(INDEX(Tasks[_LeafTotalWork],Tasks[[#This Row],[_Row]]+1):INDEX(Tasks[_LeafTotalWork],Tasks[[#This Row],[_Row]]+Tasks[[#This Row],[_Descendants]])),Tasks[[#This Row],[_LeafTotalWork]]))</f>
        <v/>
      </c>
      <c r="AK9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92" s="70" t="str">
        <f aca="false">IF(Tasks[[#This Row],[Task Name]]="","",IF(Tasks[[#This Row],[_IsSummary]],SUM(INDEX(Tasks[_LeafTotalCost],Tasks[[#This Row],[_Row]]+1):INDEX(Tasks[_LeafTotalCost],Tasks[[#This Row],[_Row]]+Tasks[[#This Row],[_Descendants]])),Tasks[[#This Row],[_LeafTotalCost]]))</f>
        <v/>
      </c>
      <c r="AM92" s="71"/>
      <c r="AN92" s="20" t="str">
        <f aca="false">IF(OR(Tasks[[#This Row],[Task Name]]="",Tasks[[#This Row],[Baseline Duration]]=""),"",Tasks[[#This Row],[BL Source Duration]]-N(Tasks[[#This Row],[Baseline Duration]]))</f>
        <v/>
      </c>
      <c r="AO92" s="69" t="str">
        <f aca="false">IF(OR(Tasks[[#This Row],[Task Name]]="",Tasks[[#This Row],[Baseline Work]]=""),"",Tasks[[#This Row],[Work]]-N(Tasks[[#This Row],[Baseline Work]]))</f>
        <v/>
      </c>
      <c r="AP92" s="70" t="str">
        <f aca="false">IF(OR(Tasks[[#This Row],[Task Name]]="",Tasks[[#This Row],[Baseline Cost]]=""),"",Tasks[[#This Row],[Cost]]-N(Tasks[[#This Row],[Baseline Cost]]))</f>
        <v/>
      </c>
      <c r="AQ92" s="58" t="str">
        <f aca="false">IF(Tasks[[#This Row],[Task Name]]="","",Tasks[[#This Row],[Start]])</f>
        <v/>
      </c>
      <c r="AR92" s="58" t="str">
        <f aca="false">IF(Tasks[[#This Row],[Task Name]]="","",Tasks[[#This Row],[Finish]])</f>
        <v/>
      </c>
      <c r="AS92" s="67" t="str">
        <f aca="false">IF(Tasks[[#This Row],[Task Name]]="","",IF(Tasks[[#This Row],[_IsSummary]],NETWORKDAYS.INTL(Tasks[[#This Row],[Start]],Tasks[[#This Row],[Finish]],WorkWeek,Holidays),N(Tasks[[#This Row],[Duration]])))</f>
        <v/>
      </c>
      <c r="AT92" s="69" t="str">
        <f aca="false">IF(Tasks[[#This Row],[Task Name]]="","",Tasks[[#This Row],[Work]])</f>
        <v/>
      </c>
      <c r="AU92" s="70" t="str">
        <f aca="false">IF(Tasks[[#This Row],[Task Name]]="","",Tasks[[#This Row],[Cost]])</f>
        <v/>
      </c>
      <c r="AV92" s="7"/>
      <c r="AW92" s="7"/>
      <c r="AX92" s="21"/>
      <c r="AY92" s="72"/>
      <c r="AZ92" s="71"/>
      <c r="BA92" s="70" t="str">
        <f aca="false">IF(Tasks[[#This Row],[Task Name]]="","",IF(Tasks[[#This Row],[_IsSummary]],SUM(INDEX(Tasks[_LeafEV],Tasks[[#This Row],[_Row]]+1):INDEX(Tasks[_LeafEV],Tasks[[#This Row],[_Row]]+Tasks[[#This Row],[_Descendants]])),Tasks[[#This Row],[_LeafEV]]))</f>
        <v/>
      </c>
      <c r="BB92" s="70" t="str">
        <f aca="false">IF(Tasks[[#This Row],[Task Name]]="","",IF(Tasks[[#This Row],[_IsSummary]],SUM(INDEX(Tasks[_LeafBudget],Tasks[[#This Row],[_Row]]+1):INDEX(Tasks[_LeafBudget],Tasks[[#This Row],[_Row]]+Tasks[[#This Row],[_Descendants]])),Tasks[[#This Row],[_LeafBudget]]))</f>
        <v/>
      </c>
      <c r="BC92" s="70" t="str">
        <f aca="false">IF(Tasks[[#This Row],[Task Name]]="","",IF(Tasks[[#This Row],[_IsSummary]],SUM(INDEX(Tasks[_LeafPV],Tasks[[#This Row],[_Row]]+1):INDEX(Tasks[_LeafPV],Tasks[[#This Row],[_Row]]+Tasks[[#This Row],[_Descendants]])),Tasks[[#This Row],[_LeafPV]]))</f>
        <v/>
      </c>
      <c r="BD92" s="70" t="str">
        <f aca="false">IF(Tasks[[#This Row],[Task Name]]="","",IF(Tasks[[#This Row],[_IsSummary]],SUM(INDEX(Tasks[_LeafAC],Tasks[[#This Row],[_Row]]+1):INDEX(Tasks[_LeafAC],Tasks[[#This Row],[_Row]]+Tasks[[#This Row],[_Descendants]])),Tasks[[#This Row],[_LeafAC]]))</f>
        <v/>
      </c>
      <c r="BE92" s="45" t="str">
        <f aca="false">IF(Tasks[[#This Row],[Task Name]]="","",MAX(1,N(Tasks[[#This Row],[Level]])))</f>
        <v/>
      </c>
      <c r="BF92" s="45" t="n">
        <f aca="false">ROW()-ROW(Tasks[[#Headers],[ID]])</f>
        <v>87</v>
      </c>
      <c r="BG92" s="45" t="n">
        <f aca="false">IF(OR(Tasks[[#This Row],[Task Name]]="",Tasks[[#This Row],[_Level]]&lt;=1),0,IFERROR(LOOKUP(2,1/(Tasks[[#Headers],[_Level]]:Tasks[[#This Row],[_Level]]=Tasks[[#This Row],[_Level]]-1),ROW(Tasks[[#Headers],[_Level]]:Tasks[[#This Row],[_Level]])),0))</f>
        <v>0</v>
      </c>
      <c r="BH92" s="45" t="n">
        <f aca="false">IFERROR(N(INDEX(Tasks[_Level],Tasks[[#This Row],[_Row]]+1)),0)</f>
        <v>0</v>
      </c>
      <c r="BI92" s="73" t="b">
        <f aca="false">AND(Tasks[[#This Row],[Task Name]]&lt;&gt;"",Tasks[[#This Row],[_NextLevel]]&gt;Tasks[[#This Row],[_Level]])</f>
        <v>0</v>
      </c>
      <c r="BJ92" s="45" t="n">
        <f aca="false">IF(Tasks[[#This Row],[_IsSummary]],COUNTIF(Tasks[WBS],Tasks[[#This Row],[WBS]]&amp;".*"),0)</f>
        <v>0</v>
      </c>
      <c r="BK92" s="45" t="n">
        <f aca="false">IF(AND(Tasks[[#This Row],[Task Name]]&lt;&gt;"",NOT(Tasks[[#This Row],[_IsSummary]])),1,0)</f>
        <v>0</v>
      </c>
      <c r="BL92" s="45" t="n">
        <f aca="false">IF(N(Tasks[[#This Row],[_Pred1UID]])=0,0,IFERROR(MATCH(Tasks[[#This Row],[_Pred1UID]],Tasks[UID],0),-1))</f>
        <v>0</v>
      </c>
      <c r="BM92" s="45" t="n">
        <f aca="false">IF(N(Tasks[[#This Row],[_Pred2UID]])=0,0,IFERROR(MATCH(Tasks[[#This Row],[_Pred2UID]],Tasks[UID],0),-1))</f>
        <v>0</v>
      </c>
      <c r="BN92" s="45" t="n">
        <f aca="false">IF(N(Tasks[[#This Row],[_Pred3UID]])=0,0,IFERROR(MATCH(Tasks[[#This Row],[_Pred3UID]],Tasks[UID],0),-1))</f>
        <v>0</v>
      </c>
      <c r="BO92" s="45" t="n">
        <f aca="false">IF(N(Tasks[[#This Row],[_Pred4UID]])=0,0,IFERROR(MATCH(Tasks[[#This Row],[_Pred4UID]],Tasks[UID],0),-1))</f>
        <v>0</v>
      </c>
      <c r="BP9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9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92" s="74" t="n">
        <f aca="false">IF(OR(Tasks[[#This Row],[_ConstraintCode]]=2,Tasks[[#This Row],[_ConstraintCode]]=3,Tasks[[#This Row],[_ConstraintCode]]=4,Tasks[[#This Row],[_ConstraintCode]]=6),Tasks[[#This Row],[_ConstraintStart]],0)</f>
        <v>0</v>
      </c>
      <c r="BS92" s="74" t="n">
        <f aca="false">IF(OR(Tasks[[#This Row],[_ConstraintCode]]=2,Tasks[[#This Row],[_ConstraintCode]]=3,Tasks[[#This Row],[_ConstraintCode]]=5,Tasks[[#This Row],[_ConstraintCode]]=7),Tasks[[#This Row],[_ConstraintStart]],2958465)</f>
        <v>2958465</v>
      </c>
      <c r="BT9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92" s="74" t="str">
        <f aca="false">IF(NOT(Tasks[[#This Row],[_IsLeaf]]=1),"",IF(N(Tasks[[#This Row],[Duration]])&lt;=0,Tasks[[#This Row],[_LeafCalcStart]],WORKDAY.INTL(Tasks[[#This Row],[_LeafCalcStart]],Tasks[[#This Row],[Duration]]-1,WorkWeek,Holidays)))</f>
        <v/>
      </c>
      <c r="BV9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9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92" s="45" t="str">
        <f aca="false">IF(Tasks[[#This Row],[Predecessors]]="","",TRIM(MID(SUBSTITUTE(SUBSTITUTE(SUBSTITUTE(UPPER(Tasks[[#This Row],[Predecessors]]),";",",")," ",""),",",REPT(" ",99)),1,99)))</f>
        <v/>
      </c>
      <c r="BY92" s="45" t="str">
        <f aca="false">IF(Tasks[[#This Row],[_Pred1Text]]="","",IFERROR(VALUE(LEFT(Tasks[[#This Row],[_Pred1Text]],MIN(FIND("F",Tasks[[#This Row],[_Pred1Text]]&amp;"F"),FIND("S",Tasks[[#This Row],[_Pred1Text]]&amp;"S"),FIND("+",Tasks[[#This Row],[_Pred1Text]]&amp;"+"),FIND("-",Tasks[[#This Row],[_Pred1Text]]&amp;"-"))-1)),""))</f>
        <v/>
      </c>
      <c r="BZ9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9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92" s="45" t="str">
        <f aca="false">IF(Tasks[[#This Row],[_Pred1Text]]="","",TRIM(MID(SUBSTITUTE(SUBSTITUTE(SUBSTITUTE(UPPER(Tasks[[#This Row],[Predecessors]]),";",",")," ",""),",",REPT(" ",99)),100,99)))</f>
        <v/>
      </c>
      <c r="CC92" s="45" t="str">
        <f aca="false">IF(Tasks[[#This Row],[_Pred2Text]]="","",IFERROR(VALUE(LEFT(Tasks[[#This Row],[_Pred2Text]],MIN(FIND("F",Tasks[[#This Row],[_Pred2Text]]&amp;"F"),FIND("S",Tasks[[#This Row],[_Pred2Text]]&amp;"S"),FIND("+",Tasks[[#This Row],[_Pred2Text]]&amp;"+"),FIND("-",Tasks[[#This Row],[_Pred2Text]]&amp;"-"))-1)),""))</f>
        <v/>
      </c>
      <c r="CD9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9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92" s="45" t="str">
        <f aca="false">IF(Tasks[[#This Row],[_Pred2Text]]="","",TRIM(MID(SUBSTITUTE(SUBSTITUTE(SUBSTITUTE(UPPER(Tasks[[#This Row],[Predecessors]]),";",",")," ",""),",",REPT(" ",99)),199,99)))</f>
        <v/>
      </c>
      <c r="CG92" s="45" t="str">
        <f aca="false">IF(Tasks[[#This Row],[_Pred3Text]]="","",IFERROR(VALUE(LEFT(Tasks[[#This Row],[_Pred3Text]],MIN(FIND("F",Tasks[[#This Row],[_Pred3Text]]&amp;"F"),FIND("S",Tasks[[#This Row],[_Pred3Text]]&amp;"S"),FIND("+",Tasks[[#This Row],[_Pred3Text]]&amp;"+"),FIND("-",Tasks[[#This Row],[_Pred3Text]]&amp;"-"))-1)),""))</f>
        <v/>
      </c>
      <c r="CH9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9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92" s="45" t="str">
        <f aca="false">IF(Tasks[[#This Row],[_Pred3Text]]="","",TRIM(MID(SUBSTITUTE(SUBSTITUTE(SUBSTITUTE(UPPER(Tasks[[#This Row],[Predecessors]]),";",",")," ",""),",",REPT(" ",99)),298,99)))</f>
        <v/>
      </c>
      <c r="CK92" s="45" t="str">
        <f aca="false">IF(Tasks[[#This Row],[_Pred4Text]]="","",IFERROR(VALUE(LEFT(Tasks[[#This Row],[_Pred4Text]],MIN(FIND("F",Tasks[[#This Row],[_Pred4Text]]&amp;"F"),FIND("S",Tasks[[#This Row],[_Pred4Text]]&amp;"S"),FIND("+",Tasks[[#This Row],[_Pred4Text]]&amp;"+"),FIND("-",Tasks[[#This Row],[_Pred4Text]]&amp;"-"))-1)),""))</f>
        <v/>
      </c>
      <c r="CL9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9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92" s="45" t="str">
        <f aca="false">IF(OR(Tasks[[#This Row],[Task Name]]="",Tasks[[#This Row],[Resources]]=""),"",TRIM(MID(SUBSTITUTE(Tasks[[#This Row],[Resources]],",",REPT(" ",99)),1,99)))</f>
        <v/>
      </c>
      <c r="CO92" s="45" t="str">
        <f aca="false">IF(Tasks[[#This Row],[_Res1Text]]="","",TRIM(MID(SUBSTITUTE(Tasks[[#This Row],[Resources]],",",REPT(" ",99)),100,99)))</f>
        <v/>
      </c>
      <c r="CP92" s="45" t="str">
        <f aca="false">IF(Tasks[[#This Row],[_Res2Text]]="","",TRIM(MID(SUBSTITUTE(Tasks[[#This Row],[Resources]],",",REPT(" ",99)),199,99)))</f>
        <v/>
      </c>
      <c r="CQ92" s="45" t="str">
        <f aca="false">IF(Tasks[[#This Row],[_Res3Text]]="","",TRIM(MID(SUBSTITUTE(Tasks[[#This Row],[Resources]],",",REPT(" ",99)),298,99)))</f>
        <v/>
      </c>
      <c r="CR9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9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2" s="45" t="n">
        <f aca="false">IF(NOT(Tasks[[#This Row],[_IsLeaf]]=1),0,(Tasks[[#This Row],[_Resource1]]&lt;&gt;"")+(Tasks[[#This Row],[_Res2]]&lt;&gt;"")+(Tasks[[#This Row],[_Res3]]&lt;&gt;"")+(Tasks[[#This Row],[_Res4]]&lt;&gt;""))</f>
        <v>0</v>
      </c>
      <c r="CU9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9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2" s="45" t="n">
        <f aca="false">IF(OR(NOT(Tasks[[#This Row],[_IsLeaf]]=1),Tasks[[#This Row],[_Res2]]=""),0,IF(ISNA(MATCH(Tasks[[#This Row],[_Res2]],res_Name,0)),0,N(Tasks[[#This Row],[Duration]])*HoursPerDay*IF(Tasks[[#This Row],[_Res2Units]]="",DefaultUnits,Tasks[[#This Row],[_Res2Units]])))</f>
        <v>0</v>
      </c>
      <c r="CX92" s="45" t="n">
        <f aca="false">IF(Tasks[[#This Row],[_Res2Work]]=0,0,Tasks[[#This Row],[_Res2Work]]*IFERROR(INDEX(res_Rate,MATCH(Tasks[[#This Row],[_Res2]],res_Name,0)),0))</f>
        <v>0</v>
      </c>
      <c r="CY92" s="45" t="n">
        <f aca="false">IF(AND(AND(Tasks[[#This Row],[_IsLeaf]]=1,Tasks[[#This Row],[_LeafTotalWork]]&gt;0),Tasks[[#This Row],[_Res2Work]]&gt;0),Tasks[[#This Row],[_Res2Work]]/(Tasks[[#This Row],[_FinishWorkday]]-Tasks[[#This Row],[_StartWorkday]]+1),0)</f>
        <v>0</v>
      </c>
      <c r="CZ92" s="45" t="n">
        <f aca="false">Tasks[[#This Row],[_Res2WorkPerWD]]*MAX(0,Tasks[[#This Row],[_StartWorkday]]-1)</f>
        <v>0</v>
      </c>
      <c r="DA92" s="45" t="n">
        <f aca="false">Tasks[[#This Row],[_Res2Work]]*Tasks[[#This Row],[_LeafProgress]]</f>
        <v>0</v>
      </c>
      <c r="DB92" s="45" t="n">
        <f aca="false">IF(Tasks[[#This Row],[_LeafTotalCost]]=0,0,Tasks[[#This Row],[_LeafAC]]*Tasks[[#This Row],[_Res2Cost]]/Tasks[[#This Row],[_LeafTotalCost]])</f>
        <v>0</v>
      </c>
      <c r="DC9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9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92" s="45" t="n">
        <f aca="false">IF(OR(NOT(Tasks[[#This Row],[_IsLeaf]]=1),Tasks[[#This Row],[_Res3]]=""),0,IF(ISNA(MATCH(Tasks[[#This Row],[_Res3]],res_Name,0)),0,N(Tasks[[#This Row],[Duration]])*HoursPerDay*IF(Tasks[[#This Row],[_Res3Units]]="",DefaultUnits,Tasks[[#This Row],[_Res3Units]])))</f>
        <v>0</v>
      </c>
      <c r="DF92" s="45" t="n">
        <f aca="false">IF(Tasks[[#This Row],[_Res3Work]]=0,0,Tasks[[#This Row],[_Res3Work]]*IFERROR(INDEX(res_Rate,MATCH(Tasks[[#This Row],[_Res3]],res_Name,0)),0))</f>
        <v>0</v>
      </c>
      <c r="DG92" s="45" t="n">
        <f aca="false">IF(AND(AND(Tasks[[#This Row],[_IsLeaf]]=1,Tasks[[#This Row],[_LeafTotalWork]]&gt;0),Tasks[[#This Row],[_Res3Work]]&gt;0),Tasks[[#This Row],[_Res3Work]]/(Tasks[[#This Row],[_FinishWorkday]]-Tasks[[#This Row],[_StartWorkday]]+1),0)</f>
        <v>0</v>
      </c>
      <c r="DH92" s="45" t="n">
        <f aca="false">Tasks[[#This Row],[_Res3WorkPerWD]]*MAX(0,Tasks[[#This Row],[_StartWorkday]]-1)</f>
        <v>0</v>
      </c>
      <c r="DI92" s="45" t="n">
        <f aca="false">Tasks[[#This Row],[_Res3Work]]*Tasks[[#This Row],[_LeafProgress]]</f>
        <v>0</v>
      </c>
      <c r="DJ92" s="45" t="n">
        <f aca="false">IF(Tasks[[#This Row],[_LeafTotalCost]]=0,0,Tasks[[#This Row],[_LeafAC]]*Tasks[[#This Row],[_Res3Cost]]/Tasks[[#This Row],[_LeafTotalCost]])</f>
        <v>0</v>
      </c>
      <c r="DK9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9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92" s="45" t="n">
        <f aca="false">IF(OR(NOT(Tasks[[#This Row],[_IsLeaf]]=1),Tasks[[#This Row],[_Res4]]=""),0,IF(ISNA(MATCH(Tasks[[#This Row],[_Res4]],res_Name,0)),0,N(Tasks[[#This Row],[Duration]])*HoursPerDay*IF(Tasks[[#This Row],[_Res4Units]]="",DefaultUnits,Tasks[[#This Row],[_Res4Units]])))</f>
        <v>0</v>
      </c>
      <c r="DN92" s="45" t="n">
        <f aca="false">IF(Tasks[[#This Row],[_Res4Work]]=0,0,Tasks[[#This Row],[_Res4Work]]*IFERROR(INDEX(res_Rate,MATCH(Tasks[[#This Row],[_Res4]],res_Name,0)),0))</f>
        <v>0</v>
      </c>
      <c r="DO92" s="45" t="n">
        <f aca="false">IF(AND(AND(Tasks[[#This Row],[_IsLeaf]]=1,Tasks[[#This Row],[_LeafTotalWork]]&gt;0),Tasks[[#This Row],[_Res4Work]]&gt;0),Tasks[[#This Row],[_Res4Work]]/(Tasks[[#This Row],[_FinishWorkday]]-Tasks[[#This Row],[_StartWorkday]]+1),0)</f>
        <v>0</v>
      </c>
      <c r="DP92" s="45" t="n">
        <f aca="false">Tasks[[#This Row],[_Res4WorkPerWD]]*MAX(0,Tasks[[#This Row],[_StartWorkday]]-1)</f>
        <v>0</v>
      </c>
      <c r="DQ92" s="45" t="n">
        <f aca="false">Tasks[[#This Row],[_Res4Work]]*Tasks[[#This Row],[_LeafProgress]]</f>
        <v>0</v>
      </c>
      <c r="DR92" s="45" t="n">
        <f aca="false">IF(Tasks[[#This Row],[_LeafTotalCost]]=0,0,Tasks[[#This Row],[_LeafAC]]*Tasks[[#This Row],[_Res4Cost]]/Tasks[[#This Row],[_LeafTotalCost]])</f>
        <v>0</v>
      </c>
      <c r="DS92" s="45" t="n">
        <f aca="false">IF(ISNUMBER(Tasks[[#This Row],[% Complete]]),Tasks[[#This Row],[% Complete]],IF(Tasks[[#This Row],[Stage]]="",0,IFERROR(INDEX(stg_Pct,MATCH(Tasks[[#This Row],[Stage]],stg_Name,0)),0)))</f>
        <v>0</v>
      </c>
      <c r="DT92" s="45" t="n">
        <f aca="false">IF(NOT(Tasks[[#This Row],[_IsLeaf]]=1),0,IF(N(Tasks[[#This Row],[Actual Finish]])&gt;0,1,MIN(1,Tasks[[#This Row],[_Pct]])))</f>
        <v>0</v>
      </c>
      <c r="DU92" s="45" t="n">
        <f aca="false">IF(OR(NOT(Tasks[[#This Row],[_IsLeaf]]=1),Tasks[[#This Row],[_Resource1]]=""),0,IF(ISNA(MATCH(Tasks[[#This Row],[_Resource1]],res_Name,0)),0,N(Tasks[[#This Row],[Duration]])*HoursPerDay*IF(Tasks[[#This Row],[_Units1]]="",DefaultUnits,Tasks[[#This Row],[_Units1]])))</f>
        <v>0</v>
      </c>
      <c r="DV92" s="45" t="n">
        <f aca="false">IF(Tasks[[#This Row],[_LeafWork]]=0,0,Tasks[[#This Row],[_LeafWork]]*IFERROR(INDEX(res_Rate,MATCH(Tasks[[#This Row],[_Resource1]],res_Name,0)),0))</f>
        <v>0</v>
      </c>
      <c r="DW92" s="45" t="n">
        <f aca="false">Tasks[[#This Row],[_LeafWork]]+Tasks[[#This Row],[_Res2Work]]+Tasks[[#This Row],[_Res3Work]]+Tasks[[#This Row],[_Res4Work]]</f>
        <v>0</v>
      </c>
      <c r="DX92" s="45" t="n">
        <f aca="false">Tasks[[#This Row],[_LeafCost]]+Tasks[[#This Row],[_Res2Cost]]+Tasks[[#This Row],[_Res3Cost]]+Tasks[[#This Row],[_Res4Cost]]</f>
        <v>0</v>
      </c>
      <c r="DY92" s="45" t="n">
        <f aca="false">IF(Tasks[[#This Row],[_LeafTotalCost]]=0,Tasks[[#This Row],[_LeafAC]],Tasks[[#This Row],[_LeafAC]]*Tasks[[#This Row],[_LeafCost]]/Tasks[[#This Row],[_LeafTotalCost]])</f>
        <v>0</v>
      </c>
      <c r="DZ9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9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9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9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9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9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9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9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92" s="45" t="n">
        <f aca="false">IF(NOT(Tasks[[#This Row],[_IsLeaf]]=1),0,MAX(_xlfn.MAXIFS(Tasks[_Row],Tasks[_Pred1UID],Tasks[[#This Row],[UID]]),_xlfn.MAXIFS(Tasks[_Row],Tasks[_Pred2UID],Tasks[[#This Row],[UID]]),_xlfn.MAXIFS(Tasks[_Row],Tasks[_Pred3UID],Tasks[[#This Row],[UID]]),_xlfn.MAXIFS(Tasks[_Row],Tasks[_Pred4UID],Tasks[[#This Row],[UID]])))</f>
        <v>0</v>
      </c>
      <c r="EI9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9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92" s="74" t="str">
        <f aca="false">IF(NOT(Tasks[[#This Row],[_IsLeaf]]=1),"",IF(N(Tasks[[#This Row],[Duration]])&lt;=0,Tasks[[#This Row],[_LeafLateFinish]],WORKDAY.INTL(Tasks[[#This Row],[_LeafLateFinish]],-(Tasks[[#This Row],[Duration]]-1),WorkWeek,Holidays)))</f>
        <v/>
      </c>
      <c r="EL9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92" s="73" t="b">
        <f aca="false">AND(Tasks[[#This Row],[_IsLeaf]]=1,Tasks[[#This Row],[_LeafProgress]]&lt;1,N(Tasks[[#This Row],[_LeafTotalSlack]])&lt;=CriticalSlackDays)</f>
        <v>0</v>
      </c>
      <c r="EN92" s="45" t="n">
        <f aca="false">IF(AND(Tasks[[#This Row],[_IsLeaf]]=1,Tasks[[#This Row],[_ConstraintCode]]=1,Tasks[[#This Row],[Mode]]&lt;&gt;"Manual",N(Tasks[[#This Row],[Actual Start]])=0),MAX(0,N(Tasks[[#This Row],[Free Slack]])),0)</f>
        <v>0</v>
      </c>
      <c r="EO92" s="74" t="str">
        <f aca="false">IF(NOT(Tasks[[#This Row],[_IsLeaf]]=1),"",IF(Tasks[[#This Row],[_AlapShift]]=0,Tasks[[#This Row],[_LeafCalcStart]],WORKDAY.INTL(Tasks[[#This Row],[_LeafCalcStart]],Tasks[[#This Row],[_AlapShift]],WorkWeek,Holidays)))</f>
        <v/>
      </c>
      <c r="EP92" s="74" t="str">
        <f aca="false">IF(NOT(Tasks[[#This Row],[_IsLeaf]]=1),"",IF(Tasks[[#This Row],[_AlapShift]]=0,Tasks[[#This Row],[_LeafCalcFinish]],WORKDAY.INTL(Tasks[[#This Row],[_LeafCalcFinish]],Tasks[[#This Row],[_AlapShift]],WorkWeek,Holidays)))</f>
        <v/>
      </c>
      <c r="EQ92" s="74" t="str">
        <f aca="false">IF(NOT(Tasks[[#This Row],[_IsLeaf]]=1),"",IF(Tasks[[#This Row],[_AlapShift]]=0,Tasks[[#This Row],[_LeafFcstStart]],WORKDAY.INTL(Tasks[[#This Row],[_LeafFcstStart]],Tasks[[#This Row],[_AlapShift]],WorkWeek,Holidays)))</f>
        <v/>
      </c>
      <c r="ER92" s="74" t="str">
        <f aca="false">IF(NOT(Tasks[[#This Row],[_IsLeaf]]=1),"",IF(Tasks[[#This Row],[_AlapShift]]=0,Tasks[[#This Row],[_LeafFcstFinish]],WORKDAY.INTL(Tasks[[#This Row],[_LeafFcstFinish]],Tasks[[#This Row],[_AlapShift]],WorkWeek,Holidays)))</f>
        <v/>
      </c>
      <c r="ES92" s="74" t="str">
        <f aca="false">IF(Tasks[[#This Row],[Task Name]]="","",IF(Tasks[[#This Row],[_IsSummary]],MIN(INDEX(Tasks[_ShownCalcStart],Tasks[[#This Row],[_Row]]+1):INDEX(Tasks[_ShownCalcStart],Tasks[[#This Row],[_Row]]+Tasks[[#This Row],[_Descendants]])),Tasks[[#This Row],[_ShownCalcStart]]))</f>
        <v/>
      </c>
      <c r="ET92" s="74" t="str">
        <f aca="false">IF(Tasks[[#This Row],[Task Name]]="","",IF(Tasks[[#This Row],[_IsSummary]],MAX(INDEX(Tasks[_ShownCalcFinish],Tasks[[#This Row],[_Row]]+1):INDEX(Tasks[_ShownCalcFinish],Tasks[[#This Row],[_Row]]+Tasks[[#This Row],[_Descendants]])),Tasks[[#This Row],[_ShownCalcFinish]]))</f>
        <v/>
      </c>
      <c r="EU9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9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9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9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9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9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9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9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9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9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9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9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92" s="45" t="n">
        <f aca="false">IF(AND(Tasks[[#This Row],[_IsLeaf]]=1,Tasks[[#This Row],[_LeafTotalWork]]&gt;0),NETWORKDAYS.INTL(ProjectStart,Tasks[[#This Row],[_ShownFcstStart]],WorkWeek,Holidays),0)</f>
        <v>0</v>
      </c>
      <c r="FH92" s="45" t="n">
        <f aca="false">IF(AND(Tasks[[#This Row],[_IsLeaf]]=1,Tasks[[#This Row],[_LeafTotalWork]]&gt;0),MAX(Tasks[[#This Row],[_StartWorkday]],NETWORKDAYS.INTL(ProjectStart,Tasks[[#This Row],[_ShownFcstFinish]],WorkWeek,Holidays)),0)</f>
        <v>0</v>
      </c>
      <c r="FI92" s="45" t="n">
        <f aca="false">IF(AND(Tasks[[#This Row],[_IsLeaf]]=1,Tasks[[#This Row],[_LeafTotalWork]]&gt;0),Tasks[[#This Row],[_LeafWork]]/(Tasks[[#This Row],[_FinishWorkday]]-Tasks[[#This Row],[_StartWorkday]]+1),0)</f>
        <v>0</v>
      </c>
      <c r="FJ92" s="45" t="n">
        <f aca="false">Tasks[[#This Row],[_WorkPerWorkday]]*(Tasks[[#This Row],[_StartWorkday]]-1)</f>
        <v>-0</v>
      </c>
      <c r="FK92" s="45" t="n">
        <f aca="false">IF(Tasks[[#This Row],[_IsLeaf]]=1,MAX(N(Tasks[[#This Row],[Duration]]),0.1),0)</f>
        <v>0</v>
      </c>
      <c r="FL92" s="45" t="n">
        <f aca="false">Tasks[[#This Row],[_WeightDur]]*Tasks[[#This Row],[_LeafProgress]]</f>
        <v>0</v>
      </c>
      <c r="FM9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92" s="45" t="str">
        <f aca="false">IF(AND(Tasks[[#This Row],[_IsLeaf]]=1,N(Tasks[[#This Row],[Duration]])=0,Tasks[[#This Row],[_LeafProgress]]&lt;1),Tasks[[#This Row],[_ShownFcstFinish]]+Tasks[[#This Row],[_Row]]/100000,"")</f>
        <v/>
      </c>
      <c r="FO9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92" s="45" t="n">
        <f aca="false">IF(NOT(Tasks[[#This Row],[_IsLeaf]]=1),0,IF(Tasks[[#This Row],[Baseline Cost]]="",Tasks[[#This Row],[_LeafTotalCost]],N(Tasks[[#This Row],[Baseline Cost]])))</f>
        <v>0</v>
      </c>
      <c r="FQ92" s="45" t="n">
        <f aca="false">Tasks[[#This Row],[_LeafBudget]]*Tasks[[#This Row],[_PlannedPct]]</f>
        <v>0</v>
      </c>
      <c r="FR92" s="45" t="n">
        <f aca="false">Tasks[[#This Row],[_LeafBudget]]*Tasks[[#This Row],[_LeafProgress]]</f>
        <v>0</v>
      </c>
      <c r="FS92" s="45" t="n">
        <f aca="false">IF(NOT(Tasks[[#This Row],[_IsLeaf]]=1),0,IF(Tasks[[#This Row],[Actual Cost]]="",Tasks[[#This Row],[_LeafTotalCost]]*Tasks[[#This Row],[_LeafProgress]],N(Tasks[[#This Row],[Actual Cost]])))</f>
        <v>0</v>
      </c>
      <c r="FT92" s="45" t="str">
        <f aca="false">IF(Tasks[[#This Row],[Task Name]]="","",LEFT(Tasks[[#This Row],[WBS]],FIND(".",Tasks[[#This Row],[WBS]]&amp;".")-1))</f>
        <v/>
      </c>
      <c r="FU92" s="45" t="str">
        <f aca="false">IF(AND(Tasks[[#This Row],[Task Name]]&lt;&gt;"",Tasks[[#This Row],[_Level]]=1),Tasks[[#This Row],[_Row]],"")</f>
        <v/>
      </c>
      <c r="FV92" s="45" t="str">
        <f aca="false">IF(AND(Tasks[[#This Row],[_IsLeaf]]=1,N(Tasks[[#This Row],[Duration]])=0),Tasks[[#This Row],[Planned Finish]]+Tasks[[#This Row],[_Row]]/100000,"")</f>
        <v/>
      </c>
      <c r="FW92" s="45" t="str">
        <f aca="false">IF(AND(Tasks[[#This Row],[_IsLeaf]]=1,Tasks[[#This Row],[_LeafProgress]]&lt;1,OR(N(Tasks[[#This Row],[Finish Var]])&gt;0,Tasks[[#This Row],[Status]]="Late Start")),MAX(0,Tasks[[#This Row],[Finish Var]])+1-Tasks[[#This Row],[_Row]]/1000000,"")</f>
        <v/>
      </c>
      <c r="FX92" s="45" t="str">
        <f aca="false">IF(AND(Tasks[[#This Row],[_IsLeaf]]=1,N(Tasks[[#This Row],[Actual Start]])=0,Tasks[[#This Row],[_ShownFcstStart]]&gt;=StatusDate,Tasks[[#This Row],[_ShownFcstStart]]&lt;=LookaheadEnd),Tasks[[#This Row],[_ShownFcstStart]]+Tasks[[#This Row],[_Row]]/100000,"")</f>
        <v/>
      </c>
      <c r="FY92" s="45" t="str">
        <f aca="false">IF(AND(Tasks[[#This Row],[_IsLeaf]]=1,Tasks[[#This Row],[_LeafProgress]]&lt;1,Tasks[[#This Row],[_ShownFcstFinish]]&gt;=StatusDate,Tasks[[#This Row],[_ShownFcstFinish]]&lt;=LookaheadEnd),Tasks[[#This Row],[_ShownFcstFinish]]+Tasks[[#This Row],[_Row]]/100000,"")</f>
        <v/>
      </c>
      <c r="FZ92" s="45" t="str">
        <f aca="false">IF(Tasks[[#This Row],[_LeafCritical]],Tasks[[#This Row],[_ShownFcstStart]]+Tasks[[#This Row],[_Row]]/100000,"")</f>
        <v/>
      </c>
      <c r="GA92" s="45" t="n">
        <f aca="false">Tasks[[#This Row],[_LeafWork]]*Tasks[[#This Row],[_LeafProgress]]</f>
        <v>0</v>
      </c>
      <c r="GB92" s="74" t="str">
        <f aca="false">IF(AND(Tasks[[#This Row],[_IsLeaf]]=1,Tasks[[#This Row],[_LeafProgress]]&gt;=1),IF(N(Tasks[[#This Row],[Actual Finish]])&gt;0,Tasks[[#This Row],[Actual Finish]],Tasks[[#This Row],[_ShownFcstFinish]]),"")</f>
        <v/>
      </c>
    </row>
    <row r="93" customFormat="false" ht="15" hidden="false" customHeight="false" outlineLevel="0" collapsed="false">
      <c r="A93" s="67" t="str">
        <f aca="false">IF(Tasks[[#This Row],[Task Name]]="","",COUNTA(Tasks[[#Headers],[Task Name]]:Tasks[[#This Row],[Task Name]])-1)</f>
        <v/>
      </c>
      <c r="B93" s="21" t="n">
        <v>88</v>
      </c>
      <c r="C9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21"/>
      <c r="E93" s="22"/>
      <c r="F93" s="21"/>
      <c r="G93" s="22"/>
      <c r="H93" s="22"/>
      <c r="I93" s="22"/>
      <c r="J93" s="7"/>
      <c r="K93" s="7"/>
      <c r="L93" s="22"/>
      <c r="M93" s="58" t="str">
        <f aca="false">IF(Tasks[[#This Row],[Task Name]]="","",IF(Tasks[[#This Row],[_IsSummary]],MIN(INDEX(Tasks[_ShownFcstStart],Tasks[[#This Row],[_Row]]+1):INDEX(Tasks[_ShownFcstStart],Tasks[[#This Row],[_Row]]+Tasks[[#This Row],[_Descendants]])),Tasks[[#This Row],[_ShownFcstStart]]))</f>
        <v/>
      </c>
      <c r="N93" s="58" t="str">
        <f aca="false">IF(Tasks[[#This Row],[Task Name]]="","",IF(Tasks[[#This Row],[_IsSummary]],MAX(INDEX(Tasks[_ShownFcstFinish],Tasks[[#This Row],[_Row]]+1):INDEX(Tasks[_ShownFcstFinish],Tasks[[#This Row],[_Row]]+Tasks[[#This Row],[_Descendants]])),Tasks[[#This Row],[_ShownFcstFinish]]))</f>
        <v/>
      </c>
      <c r="O93" s="20" t="str">
        <f aca="false">IF(Tasks[[#This Row],[Task Name]]="","",IF(Tasks[[#This Row],[Progress]]&gt;=1,"Complete",IF(OR(N(Tasks[[#This Row],[Actual Start]])&gt;0,Tasks[[#This Row],[Progress]]&gt;0),IF(Tasks[[#This Row],[Finish Var]]&gt;0,"Behind","In Progress"),IF(Tasks[[#This Row],[Planned Start]]&lt;StatusDate,"Late Start","Not Started"))))</f>
        <v/>
      </c>
      <c r="P93" s="20" t="str">
        <f aca="false">IF(Tasks[[#This Row],[Task Name]]="","",IF(IF(Tasks[[#This Row],[_IsSummary]],COUNTIF(INDEX(Tasks[_LeafCritical],Tasks[[#This Row],[_Row]]+1):INDEX(Tasks[_LeafCritical],Tasks[[#This Row],[_Row]]+Tasks[[#This Row],[_Descendants]]),TRUE())&gt;0,Tasks[[#This Row],[_LeafCritical]]),"Yes",""))</f>
        <v/>
      </c>
      <c r="Q9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93" s="67" t="str">
        <f aca="false">IF(Tasks[[#This Row],[Task Name]]="","",IF(Tasks[[#This Row],[_Level]]&lt;=OutlineShowLevel,"Yes","No"))</f>
        <v/>
      </c>
      <c r="S93" s="7"/>
      <c r="T93" s="21"/>
      <c r="U93" s="22"/>
      <c r="V93" s="7"/>
      <c r="W93" s="67" t="str">
        <f aca="false">IF(Tasks[[#This Row],[Task Name]]="","",IF(Tasks[[#This Row],[Finish]]&gt;=Tasks[[#This Row],[Planned Finish]],NETWORKDAYS.INTL(Tasks[[#This Row],[Planned Finish]],Tasks[[#This Row],[Finish]],WorkWeek,Holidays)-1,1-NETWORKDAYS.INTL(Tasks[[#This Row],[Finish]],Tasks[[#This Row],[Planned Finish]],WorkWeek,Holidays)))</f>
        <v/>
      </c>
      <c r="X93" s="58" t="str">
        <f aca="false">IF(Tasks[[#This Row],[Task Name]]="","",IF(N(Tasks[[#This Row],[Baseline Start]])&gt;0,Tasks[[#This Row],[Baseline Start]],Tasks[[#This Row],[_CalcStart]]))</f>
        <v/>
      </c>
      <c r="Y93" s="58" t="str">
        <f aca="false">IF(Tasks[[#This Row],[Task Name]]="","",IF(N(Tasks[[#This Row],[Baseline Finish]])&gt;0,Tasks[[#This Row],[Baseline Finish]],Tasks[[#This Row],[_CalcFinish]]))</f>
        <v/>
      </c>
      <c r="Z93" s="67" t="str">
        <f aca="false">IF(Tasks[[#This Row],[Task Name]]="","",IF(Tasks[[#This Row],[Start]]&gt;=Tasks[[#This Row],[Planned Start]],NETWORKDAYS.INTL(Tasks[[#This Row],[Planned Start]],Tasks[[#This Row],[Start]],WorkWeek,Holidays)-1,1-NETWORKDAYS.INTL(Tasks[[#This Row],[Start]],Tasks[[#This Row],[Planned Start]],WorkWeek,Holidays)))</f>
        <v/>
      </c>
      <c r="AA93" s="58" t="str">
        <f aca="false">IF(Tasks[[#This Row],[Task Name]]="","",IF(Tasks[[#This Row],[_IsSummary]],MIN(INDEX(Tasks[_LeafLateStart],Tasks[[#This Row],[_Row]]+1):INDEX(Tasks[_LeafLateStart],Tasks[[#This Row],[_Row]]+Tasks[[#This Row],[_Descendants]])),Tasks[[#This Row],[_LeafLateStart]]))</f>
        <v/>
      </c>
      <c r="AB93" s="58" t="str">
        <f aca="false">IF(Tasks[[#This Row],[Task Name]]="","",IF(Tasks[[#This Row],[_IsSummary]],MAX(INDEX(Tasks[_LeafLateFinish],Tasks[[#This Row],[_Row]]+1):INDEX(Tasks[_LeafLateFinish],Tasks[[#This Row],[_Row]]+Tasks[[#This Row],[_Descendants]])),Tasks[[#This Row],[_LeafLateFinish]]))</f>
        <v/>
      </c>
      <c r="AC93" s="67" t="str">
        <f aca="false">IF(Tasks[[#This Row],[Task Name]]="","",IF(Tasks[[#This Row],[_IsSummary]],MIN(INDEX(Tasks[_LeafTotalSlack],Tasks[[#This Row],[_Row]]+1):INDEX(Tasks[_LeafTotalSlack],Tasks[[#This Row],[_Row]]+Tasks[[#This Row],[_Descendants]])),Tasks[[#This Row],[_LeafTotalSlack]]))</f>
        <v/>
      </c>
      <c r="AD9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9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9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93" s="60"/>
      <c r="AH9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9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93" s="69" t="str">
        <f aca="false">IF(Tasks[[#This Row],[Task Name]]="","",IF(Tasks[[#This Row],[_IsSummary]],SUM(INDEX(Tasks[_LeafTotalWork],Tasks[[#This Row],[_Row]]+1):INDEX(Tasks[_LeafTotalWork],Tasks[[#This Row],[_Row]]+Tasks[[#This Row],[_Descendants]])),Tasks[[#This Row],[_LeafTotalWork]]))</f>
        <v/>
      </c>
      <c r="AK9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93" s="70" t="str">
        <f aca="false">IF(Tasks[[#This Row],[Task Name]]="","",IF(Tasks[[#This Row],[_IsSummary]],SUM(INDEX(Tasks[_LeafTotalCost],Tasks[[#This Row],[_Row]]+1):INDEX(Tasks[_LeafTotalCost],Tasks[[#This Row],[_Row]]+Tasks[[#This Row],[_Descendants]])),Tasks[[#This Row],[_LeafTotalCost]]))</f>
        <v/>
      </c>
      <c r="AM93" s="71"/>
      <c r="AN93" s="20" t="str">
        <f aca="false">IF(OR(Tasks[[#This Row],[Task Name]]="",Tasks[[#This Row],[Baseline Duration]]=""),"",Tasks[[#This Row],[BL Source Duration]]-N(Tasks[[#This Row],[Baseline Duration]]))</f>
        <v/>
      </c>
      <c r="AO93" s="69" t="str">
        <f aca="false">IF(OR(Tasks[[#This Row],[Task Name]]="",Tasks[[#This Row],[Baseline Work]]=""),"",Tasks[[#This Row],[Work]]-N(Tasks[[#This Row],[Baseline Work]]))</f>
        <v/>
      </c>
      <c r="AP93" s="70" t="str">
        <f aca="false">IF(OR(Tasks[[#This Row],[Task Name]]="",Tasks[[#This Row],[Baseline Cost]]=""),"",Tasks[[#This Row],[Cost]]-N(Tasks[[#This Row],[Baseline Cost]]))</f>
        <v/>
      </c>
      <c r="AQ93" s="58" t="str">
        <f aca="false">IF(Tasks[[#This Row],[Task Name]]="","",Tasks[[#This Row],[Start]])</f>
        <v/>
      </c>
      <c r="AR93" s="58" t="str">
        <f aca="false">IF(Tasks[[#This Row],[Task Name]]="","",Tasks[[#This Row],[Finish]])</f>
        <v/>
      </c>
      <c r="AS93" s="67" t="str">
        <f aca="false">IF(Tasks[[#This Row],[Task Name]]="","",IF(Tasks[[#This Row],[_IsSummary]],NETWORKDAYS.INTL(Tasks[[#This Row],[Start]],Tasks[[#This Row],[Finish]],WorkWeek,Holidays),N(Tasks[[#This Row],[Duration]])))</f>
        <v/>
      </c>
      <c r="AT93" s="69" t="str">
        <f aca="false">IF(Tasks[[#This Row],[Task Name]]="","",Tasks[[#This Row],[Work]])</f>
        <v/>
      </c>
      <c r="AU93" s="70" t="str">
        <f aca="false">IF(Tasks[[#This Row],[Task Name]]="","",Tasks[[#This Row],[Cost]])</f>
        <v/>
      </c>
      <c r="AV93" s="7"/>
      <c r="AW93" s="7"/>
      <c r="AX93" s="21"/>
      <c r="AY93" s="72"/>
      <c r="AZ93" s="71"/>
      <c r="BA93" s="70" t="str">
        <f aca="false">IF(Tasks[[#This Row],[Task Name]]="","",IF(Tasks[[#This Row],[_IsSummary]],SUM(INDEX(Tasks[_LeafEV],Tasks[[#This Row],[_Row]]+1):INDEX(Tasks[_LeafEV],Tasks[[#This Row],[_Row]]+Tasks[[#This Row],[_Descendants]])),Tasks[[#This Row],[_LeafEV]]))</f>
        <v/>
      </c>
      <c r="BB93" s="70" t="str">
        <f aca="false">IF(Tasks[[#This Row],[Task Name]]="","",IF(Tasks[[#This Row],[_IsSummary]],SUM(INDEX(Tasks[_LeafBudget],Tasks[[#This Row],[_Row]]+1):INDEX(Tasks[_LeafBudget],Tasks[[#This Row],[_Row]]+Tasks[[#This Row],[_Descendants]])),Tasks[[#This Row],[_LeafBudget]]))</f>
        <v/>
      </c>
      <c r="BC93" s="70" t="str">
        <f aca="false">IF(Tasks[[#This Row],[Task Name]]="","",IF(Tasks[[#This Row],[_IsSummary]],SUM(INDEX(Tasks[_LeafPV],Tasks[[#This Row],[_Row]]+1):INDEX(Tasks[_LeafPV],Tasks[[#This Row],[_Row]]+Tasks[[#This Row],[_Descendants]])),Tasks[[#This Row],[_LeafPV]]))</f>
        <v/>
      </c>
      <c r="BD93" s="70" t="str">
        <f aca="false">IF(Tasks[[#This Row],[Task Name]]="","",IF(Tasks[[#This Row],[_IsSummary]],SUM(INDEX(Tasks[_LeafAC],Tasks[[#This Row],[_Row]]+1):INDEX(Tasks[_LeafAC],Tasks[[#This Row],[_Row]]+Tasks[[#This Row],[_Descendants]])),Tasks[[#This Row],[_LeafAC]]))</f>
        <v/>
      </c>
      <c r="BE93" s="45" t="str">
        <f aca="false">IF(Tasks[[#This Row],[Task Name]]="","",MAX(1,N(Tasks[[#This Row],[Level]])))</f>
        <v/>
      </c>
      <c r="BF93" s="45" t="n">
        <f aca="false">ROW()-ROW(Tasks[[#Headers],[ID]])</f>
        <v>88</v>
      </c>
      <c r="BG93" s="45" t="n">
        <f aca="false">IF(OR(Tasks[[#This Row],[Task Name]]="",Tasks[[#This Row],[_Level]]&lt;=1),0,IFERROR(LOOKUP(2,1/(Tasks[[#Headers],[_Level]]:Tasks[[#This Row],[_Level]]=Tasks[[#This Row],[_Level]]-1),ROW(Tasks[[#Headers],[_Level]]:Tasks[[#This Row],[_Level]])),0))</f>
        <v>0</v>
      </c>
      <c r="BH93" s="45" t="n">
        <f aca="false">IFERROR(N(INDEX(Tasks[_Level],Tasks[[#This Row],[_Row]]+1)),0)</f>
        <v>0</v>
      </c>
      <c r="BI93" s="73" t="b">
        <f aca="false">AND(Tasks[[#This Row],[Task Name]]&lt;&gt;"",Tasks[[#This Row],[_NextLevel]]&gt;Tasks[[#This Row],[_Level]])</f>
        <v>0</v>
      </c>
      <c r="BJ93" s="45" t="n">
        <f aca="false">IF(Tasks[[#This Row],[_IsSummary]],COUNTIF(Tasks[WBS],Tasks[[#This Row],[WBS]]&amp;".*"),0)</f>
        <v>0</v>
      </c>
      <c r="BK93" s="45" t="n">
        <f aca="false">IF(AND(Tasks[[#This Row],[Task Name]]&lt;&gt;"",NOT(Tasks[[#This Row],[_IsSummary]])),1,0)</f>
        <v>0</v>
      </c>
      <c r="BL93" s="45" t="n">
        <f aca="false">IF(N(Tasks[[#This Row],[_Pred1UID]])=0,0,IFERROR(MATCH(Tasks[[#This Row],[_Pred1UID]],Tasks[UID],0),-1))</f>
        <v>0</v>
      </c>
      <c r="BM93" s="45" t="n">
        <f aca="false">IF(N(Tasks[[#This Row],[_Pred2UID]])=0,0,IFERROR(MATCH(Tasks[[#This Row],[_Pred2UID]],Tasks[UID],0),-1))</f>
        <v>0</v>
      </c>
      <c r="BN93" s="45" t="n">
        <f aca="false">IF(N(Tasks[[#This Row],[_Pred3UID]])=0,0,IFERROR(MATCH(Tasks[[#This Row],[_Pred3UID]],Tasks[UID],0),-1))</f>
        <v>0</v>
      </c>
      <c r="BO93" s="45" t="n">
        <f aca="false">IF(N(Tasks[[#This Row],[_Pred4UID]])=0,0,IFERROR(MATCH(Tasks[[#This Row],[_Pred4UID]],Tasks[UID],0),-1))</f>
        <v>0</v>
      </c>
      <c r="BP9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9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93" s="74" t="n">
        <f aca="false">IF(OR(Tasks[[#This Row],[_ConstraintCode]]=2,Tasks[[#This Row],[_ConstraintCode]]=3,Tasks[[#This Row],[_ConstraintCode]]=4,Tasks[[#This Row],[_ConstraintCode]]=6),Tasks[[#This Row],[_ConstraintStart]],0)</f>
        <v>0</v>
      </c>
      <c r="BS93" s="74" t="n">
        <f aca="false">IF(OR(Tasks[[#This Row],[_ConstraintCode]]=2,Tasks[[#This Row],[_ConstraintCode]]=3,Tasks[[#This Row],[_ConstraintCode]]=5,Tasks[[#This Row],[_ConstraintCode]]=7),Tasks[[#This Row],[_ConstraintStart]],2958465)</f>
        <v>2958465</v>
      </c>
      <c r="BT9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93" s="74" t="str">
        <f aca="false">IF(NOT(Tasks[[#This Row],[_IsLeaf]]=1),"",IF(N(Tasks[[#This Row],[Duration]])&lt;=0,Tasks[[#This Row],[_LeafCalcStart]],WORKDAY.INTL(Tasks[[#This Row],[_LeafCalcStart]],Tasks[[#This Row],[Duration]]-1,WorkWeek,Holidays)))</f>
        <v/>
      </c>
      <c r="BV9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9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93" s="45" t="str">
        <f aca="false">IF(Tasks[[#This Row],[Predecessors]]="","",TRIM(MID(SUBSTITUTE(SUBSTITUTE(SUBSTITUTE(UPPER(Tasks[[#This Row],[Predecessors]]),";",",")," ",""),",",REPT(" ",99)),1,99)))</f>
        <v/>
      </c>
      <c r="BY93" s="45" t="str">
        <f aca="false">IF(Tasks[[#This Row],[_Pred1Text]]="","",IFERROR(VALUE(LEFT(Tasks[[#This Row],[_Pred1Text]],MIN(FIND("F",Tasks[[#This Row],[_Pred1Text]]&amp;"F"),FIND("S",Tasks[[#This Row],[_Pred1Text]]&amp;"S"),FIND("+",Tasks[[#This Row],[_Pred1Text]]&amp;"+"),FIND("-",Tasks[[#This Row],[_Pred1Text]]&amp;"-"))-1)),""))</f>
        <v/>
      </c>
      <c r="BZ9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9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93" s="45" t="str">
        <f aca="false">IF(Tasks[[#This Row],[_Pred1Text]]="","",TRIM(MID(SUBSTITUTE(SUBSTITUTE(SUBSTITUTE(UPPER(Tasks[[#This Row],[Predecessors]]),";",",")," ",""),",",REPT(" ",99)),100,99)))</f>
        <v/>
      </c>
      <c r="CC93" s="45" t="str">
        <f aca="false">IF(Tasks[[#This Row],[_Pred2Text]]="","",IFERROR(VALUE(LEFT(Tasks[[#This Row],[_Pred2Text]],MIN(FIND("F",Tasks[[#This Row],[_Pred2Text]]&amp;"F"),FIND("S",Tasks[[#This Row],[_Pred2Text]]&amp;"S"),FIND("+",Tasks[[#This Row],[_Pred2Text]]&amp;"+"),FIND("-",Tasks[[#This Row],[_Pred2Text]]&amp;"-"))-1)),""))</f>
        <v/>
      </c>
      <c r="CD9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9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93" s="45" t="str">
        <f aca="false">IF(Tasks[[#This Row],[_Pred2Text]]="","",TRIM(MID(SUBSTITUTE(SUBSTITUTE(SUBSTITUTE(UPPER(Tasks[[#This Row],[Predecessors]]),";",",")," ",""),",",REPT(" ",99)),199,99)))</f>
        <v/>
      </c>
      <c r="CG93" s="45" t="str">
        <f aca="false">IF(Tasks[[#This Row],[_Pred3Text]]="","",IFERROR(VALUE(LEFT(Tasks[[#This Row],[_Pred3Text]],MIN(FIND("F",Tasks[[#This Row],[_Pred3Text]]&amp;"F"),FIND("S",Tasks[[#This Row],[_Pred3Text]]&amp;"S"),FIND("+",Tasks[[#This Row],[_Pred3Text]]&amp;"+"),FIND("-",Tasks[[#This Row],[_Pred3Text]]&amp;"-"))-1)),""))</f>
        <v/>
      </c>
      <c r="CH9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9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93" s="45" t="str">
        <f aca="false">IF(Tasks[[#This Row],[_Pred3Text]]="","",TRIM(MID(SUBSTITUTE(SUBSTITUTE(SUBSTITUTE(UPPER(Tasks[[#This Row],[Predecessors]]),";",",")," ",""),",",REPT(" ",99)),298,99)))</f>
        <v/>
      </c>
      <c r="CK93" s="45" t="str">
        <f aca="false">IF(Tasks[[#This Row],[_Pred4Text]]="","",IFERROR(VALUE(LEFT(Tasks[[#This Row],[_Pred4Text]],MIN(FIND("F",Tasks[[#This Row],[_Pred4Text]]&amp;"F"),FIND("S",Tasks[[#This Row],[_Pred4Text]]&amp;"S"),FIND("+",Tasks[[#This Row],[_Pred4Text]]&amp;"+"),FIND("-",Tasks[[#This Row],[_Pred4Text]]&amp;"-"))-1)),""))</f>
        <v/>
      </c>
      <c r="CL9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9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93" s="45" t="str">
        <f aca="false">IF(OR(Tasks[[#This Row],[Task Name]]="",Tasks[[#This Row],[Resources]]=""),"",TRIM(MID(SUBSTITUTE(Tasks[[#This Row],[Resources]],",",REPT(" ",99)),1,99)))</f>
        <v/>
      </c>
      <c r="CO93" s="45" t="str">
        <f aca="false">IF(Tasks[[#This Row],[_Res1Text]]="","",TRIM(MID(SUBSTITUTE(Tasks[[#This Row],[Resources]],",",REPT(" ",99)),100,99)))</f>
        <v/>
      </c>
      <c r="CP93" s="45" t="str">
        <f aca="false">IF(Tasks[[#This Row],[_Res2Text]]="","",TRIM(MID(SUBSTITUTE(Tasks[[#This Row],[Resources]],",",REPT(" ",99)),199,99)))</f>
        <v/>
      </c>
      <c r="CQ93" s="45" t="str">
        <f aca="false">IF(Tasks[[#This Row],[_Res3Text]]="","",TRIM(MID(SUBSTITUTE(Tasks[[#This Row],[Resources]],",",REPT(" ",99)),298,99)))</f>
        <v/>
      </c>
      <c r="CR9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9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3" s="45" t="n">
        <f aca="false">IF(NOT(Tasks[[#This Row],[_IsLeaf]]=1),0,(Tasks[[#This Row],[_Resource1]]&lt;&gt;"")+(Tasks[[#This Row],[_Res2]]&lt;&gt;"")+(Tasks[[#This Row],[_Res3]]&lt;&gt;"")+(Tasks[[#This Row],[_Res4]]&lt;&gt;""))</f>
        <v>0</v>
      </c>
      <c r="CU9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9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3" s="45" t="n">
        <f aca="false">IF(OR(NOT(Tasks[[#This Row],[_IsLeaf]]=1),Tasks[[#This Row],[_Res2]]=""),0,IF(ISNA(MATCH(Tasks[[#This Row],[_Res2]],res_Name,0)),0,N(Tasks[[#This Row],[Duration]])*HoursPerDay*IF(Tasks[[#This Row],[_Res2Units]]="",DefaultUnits,Tasks[[#This Row],[_Res2Units]])))</f>
        <v>0</v>
      </c>
      <c r="CX93" s="45" t="n">
        <f aca="false">IF(Tasks[[#This Row],[_Res2Work]]=0,0,Tasks[[#This Row],[_Res2Work]]*IFERROR(INDEX(res_Rate,MATCH(Tasks[[#This Row],[_Res2]],res_Name,0)),0))</f>
        <v>0</v>
      </c>
      <c r="CY93" s="45" t="n">
        <f aca="false">IF(AND(AND(Tasks[[#This Row],[_IsLeaf]]=1,Tasks[[#This Row],[_LeafTotalWork]]&gt;0),Tasks[[#This Row],[_Res2Work]]&gt;0),Tasks[[#This Row],[_Res2Work]]/(Tasks[[#This Row],[_FinishWorkday]]-Tasks[[#This Row],[_StartWorkday]]+1),0)</f>
        <v>0</v>
      </c>
      <c r="CZ93" s="45" t="n">
        <f aca="false">Tasks[[#This Row],[_Res2WorkPerWD]]*MAX(0,Tasks[[#This Row],[_StartWorkday]]-1)</f>
        <v>0</v>
      </c>
      <c r="DA93" s="45" t="n">
        <f aca="false">Tasks[[#This Row],[_Res2Work]]*Tasks[[#This Row],[_LeafProgress]]</f>
        <v>0</v>
      </c>
      <c r="DB93" s="45" t="n">
        <f aca="false">IF(Tasks[[#This Row],[_LeafTotalCost]]=0,0,Tasks[[#This Row],[_LeafAC]]*Tasks[[#This Row],[_Res2Cost]]/Tasks[[#This Row],[_LeafTotalCost]])</f>
        <v>0</v>
      </c>
      <c r="DC9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9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93" s="45" t="n">
        <f aca="false">IF(OR(NOT(Tasks[[#This Row],[_IsLeaf]]=1),Tasks[[#This Row],[_Res3]]=""),0,IF(ISNA(MATCH(Tasks[[#This Row],[_Res3]],res_Name,0)),0,N(Tasks[[#This Row],[Duration]])*HoursPerDay*IF(Tasks[[#This Row],[_Res3Units]]="",DefaultUnits,Tasks[[#This Row],[_Res3Units]])))</f>
        <v>0</v>
      </c>
      <c r="DF93" s="45" t="n">
        <f aca="false">IF(Tasks[[#This Row],[_Res3Work]]=0,0,Tasks[[#This Row],[_Res3Work]]*IFERROR(INDEX(res_Rate,MATCH(Tasks[[#This Row],[_Res3]],res_Name,0)),0))</f>
        <v>0</v>
      </c>
      <c r="DG93" s="45" t="n">
        <f aca="false">IF(AND(AND(Tasks[[#This Row],[_IsLeaf]]=1,Tasks[[#This Row],[_LeafTotalWork]]&gt;0),Tasks[[#This Row],[_Res3Work]]&gt;0),Tasks[[#This Row],[_Res3Work]]/(Tasks[[#This Row],[_FinishWorkday]]-Tasks[[#This Row],[_StartWorkday]]+1),0)</f>
        <v>0</v>
      </c>
      <c r="DH93" s="45" t="n">
        <f aca="false">Tasks[[#This Row],[_Res3WorkPerWD]]*MAX(0,Tasks[[#This Row],[_StartWorkday]]-1)</f>
        <v>0</v>
      </c>
      <c r="DI93" s="45" t="n">
        <f aca="false">Tasks[[#This Row],[_Res3Work]]*Tasks[[#This Row],[_LeafProgress]]</f>
        <v>0</v>
      </c>
      <c r="DJ93" s="45" t="n">
        <f aca="false">IF(Tasks[[#This Row],[_LeafTotalCost]]=0,0,Tasks[[#This Row],[_LeafAC]]*Tasks[[#This Row],[_Res3Cost]]/Tasks[[#This Row],[_LeafTotalCost]])</f>
        <v>0</v>
      </c>
      <c r="DK9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9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93" s="45" t="n">
        <f aca="false">IF(OR(NOT(Tasks[[#This Row],[_IsLeaf]]=1),Tasks[[#This Row],[_Res4]]=""),0,IF(ISNA(MATCH(Tasks[[#This Row],[_Res4]],res_Name,0)),0,N(Tasks[[#This Row],[Duration]])*HoursPerDay*IF(Tasks[[#This Row],[_Res4Units]]="",DefaultUnits,Tasks[[#This Row],[_Res4Units]])))</f>
        <v>0</v>
      </c>
      <c r="DN93" s="45" t="n">
        <f aca="false">IF(Tasks[[#This Row],[_Res4Work]]=0,0,Tasks[[#This Row],[_Res4Work]]*IFERROR(INDEX(res_Rate,MATCH(Tasks[[#This Row],[_Res4]],res_Name,0)),0))</f>
        <v>0</v>
      </c>
      <c r="DO93" s="45" t="n">
        <f aca="false">IF(AND(AND(Tasks[[#This Row],[_IsLeaf]]=1,Tasks[[#This Row],[_LeafTotalWork]]&gt;0),Tasks[[#This Row],[_Res4Work]]&gt;0),Tasks[[#This Row],[_Res4Work]]/(Tasks[[#This Row],[_FinishWorkday]]-Tasks[[#This Row],[_StartWorkday]]+1),0)</f>
        <v>0</v>
      </c>
      <c r="DP93" s="45" t="n">
        <f aca="false">Tasks[[#This Row],[_Res4WorkPerWD]]*MAX(0,Tasks[[#This Row],[_StartWorkday]]-1)</f>
        <v>0</v>
      </c>
      <c r="DQ93" s="45" t="n">
        <f aca="false">Tasks[[#This Row],[_Res4Work]]*Tasks[[#This Row],[_LeafProgress]]</f>
        <v>0</v>
      </c>
      <c r="DR93" s="45" t="n">
        <f aca="false">IF(Tasks[[#This Row],[_LeafTotalCost]]=0,0,Tasks[[#This Row],[_LeafAC]]*Tasks[[#This Row],[_Res4Cost]]/Tasks[[#This Row],[_LeafTotalCost]])</f>
        <v>0</v>
      </c>
      <c r="DS93" s="45" t="n">
        <f aca="false">IF(ISNUMBER(Tasks[[#This Row],[% Complete]]),Tasks[[#This Row],[% Complete]],IF(Tasks[[#This Row],[Stage]]="",0,IFERROR(INDEX(stg_Pct,MATCH(Tasks[[#This Row],[Stage]],stg_Name,0)),0)))</f>
        <v>0</v>
      </c>
      <c r="DT93" s="45" t="n">
        <f aca="false">IF(NOT(Tasks[[#This Row],[_IsLeaf]]=1),0,IF(N(Tasks[[#This Row],[Actual Finish]])&gt;0,1,MIN(1,Tasks[[#This Row],[_Pct]])))</f>
        <v>0</v>
      </c>
      <c r="DU93" s="45" t="n">
        <f aca="false">IF(OR(NOT(Tasks[[#This Row],[_IsLeaf]]=1),Tasks[[#This Row],[_Resource1]]=""),0,IF(ISNA(MATCH(Tasks[[#This Row],[_Resource1]],res_Name,0)),0,N(Tasks[[#This Row],[Duration]])*HoursPerDay*IF(Tasks[[#This Row],[_Units1]]="",DefaultUnits,Tasks[[#This Row],[_Units1]])))</f>
        <v>0</v>
      </c>
      <c r="DV93" s="45" t="n">
        <f aca="false">IF(Tasks[[#This Row],[_LeafWork]]=0,0,Tasks[[#This Row],[_LeafWork]]*IFERROR(INDEX(res_Rate,MATCH(Tasks[[#This Row],[_Resource1]],res_Name,0)),0))</f>
        <v>0</v>
      </c>
      <c r="DW93" s="45" t="n">
        <f aca="false">Tasks[[#This Row],[_LeafWork]]+Tasks[[#This Row],[_Res2Work]]+Tasks[[#This Row],[_Res3Work]]+Tasks[[#This Row],[_Res4Work]]</f>
        <v>0</v>
      </c>
      <c r="DX93" s="45" t="n">
        <f aca="false">Tasks[[#This Row],[_LeafCost]]+Tasks[[#This Row],[_Res2Cost]]+Tasks[[#This Row],[_Res3Cost]]+Tasks[[#This Row],[_Res4Cost]]</f>
        <v>0</v>
      </c>
      <c r="DY93" s="45" t="n">
        <f aca="false">IF(Tasks[[#This Row],[_LeafTotalCost]]=0,Tasks[[#This Row],[_LeafAC]],Tasks[[#This Row],[_LeafAC]]*Tasks[[#This Row],[_LeafCost]]/Tasks[[#This Row],[_LeafTotalCost]])</f>
        <v>0</v>
      </c>
      <c r="DZ9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9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9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9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9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9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9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9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93" s="45" t="n">
        <f aca="false">IF(NOT(Tasks[[#This Row],[_IsLeaf]]=1),0,MAX(_xlfn.MAXIFS(Tasks[_Row],Tasks[_Pred1UID],Tasks[[#This Row],[UID]]),_xlfn.MAXIFS(Tasks[_Row],Tasks[_Pred2UID],Tasks[[#This Row],[UID]]),_xlfn.MAXIFS(Tasks[_Row],Tasks[_Pred3UID],Tasks[[#This Row],[UID]]),_xlfn.MAXIFS(Tasks[_Row],Tasks[_Pred4UID],Tasks[[#This Row],[UID]])))</f>
        <v>0</v>
      </c>
      <c r="EI9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9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93" s="74" t="str">
        <f aca="false">IF(NOT(Tasks[[#This Row],[_IsLeaf]]=1),"",IF(N(Tasks[[#This Row],[Duration]])&lt;=0,Tasks[[#This Row],[_LeafLateFinish]],WORKDAY.INTL(Tasks[[#This Row],[_LeafLateFinish]],-(Tasks[[#This Row],[Duration]]-1),WorkWeek,Holidays)))</f>
        <v/>
      </c>
      <c r="EL9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93" s="73" t="b">
        <f aca="false">AND(Tasks[[#This Row],[_IsLeaf]]=1,Tasks[[#This Row],[_LeafProgress]]&lt;1,N(Tasks[[#This Row],[_LeafTotalSlack]])&lt;=CriticalSlackDays)</f>
        <v>0</v>
      </c>
      <c r="EN93" s="45" t="n">
        <f aca="false">IF(AND(Tasks[[#This Row],[_IsLeaf]]=1,Tasks[[#This Row],[_ConstraintCode]]=1,Tasks[[#This Row],[Mode]]&lt;&gt;"Manual",N(Tasks[[#This Row],[Actual Start]])=0),MAX(0,N(Tasks[[#This Row],[Free Slack]])),0)</f>
        <v>0</v>
      </c>
      <c r="EO93" s="74" t="str">
        <f aca="false">IF(NOT(Tasks[[#This Row],[_IsLeaf]]=1),"",IF(Tasks[[#This Row],[_AlapShift]]=0,Tasks[[#This Row],[_LeafCalcStart]],WORKDAY.INTL(Tasks[[#This Row],[_LeafCalcStart]],Tasks[[#This Row],[_AlapShift]],WorkWeek,Holidays)))</f>
        <v/>
      </c>
      <c r="EP93" s="74" t="str">
        <f aca="false">IF(NOT(Tasks[[#This Row],[_IsLeaf]]=1),"",IF(Tasks[[#This Row],[_AlapShift]]=0,Tasks[[#This Row],[_LeafCalcFinish]],WORKDAY.INTL(Tasks[[#This Row],[_LeafCalcFinish]],Tasks[[#This Row],[_AlapShift]],WorkWeek,Holidays)))</f>
        <v/>
      </c>
      <c r="EQ93" s="74" t="str">
        <f aca="false">IF(NOT(Tasks[[#This Row],[_IsLeaf]]=1),"",IF(Tasks[[#This Row],[_AlapShift]]=0,Tasks[[#This Row],[_LeafFcstStart]],WORKDAY.INTL(Tasks[[#This Row],[_LeafFcstStart]],Tasks[[#This Row],[_AlapShift]],WorkWeek,Holidays)))</f>
        <v/>
      </c>
      <c r="ER93" s="74" t="str">
        <f aca="false">IF(NOT(Tasks[[#This Row],[_IsLeaf]]=1),"",IF(Tasks[[#This Row],[_AlapShift]]=0,Tasks[[#This Row],[_LeafFcstFinish]],WORKDAY.INTL(Tasks[[#This Row],[_LeafFcstFinish]],Tasks[[#This Row],[_AlapShift]],WorkWeek,Holidays)))</f>
        <v/>
      </c>
      <c r="ES93" s="74" t="str">
        <f aca="false">IF(Tasks[[#This Row],[Task Name]]="","",IF(Tasks[[#This Row],[_IsSummary]],MIN(INDEX(Tasks[_ShownCalcStart],Tasks[[#This Row],[_Row]]+1):INDEX(Tasks[_ShownCalcStart],Tasks[[#This Row],[_Row]]+Tasks[[#This Row],[_Descendants]])),Tasks[[#This Row],[_ShownCalcStart]]))</f>
        <v/>
      </c>
      <c r="ET93" s="74" t="str">
        <f aca="false">IF(Tasks[[#This Row],[Task Name]]="","",IF(Tasks[[#This Row],[_IsSummary]],MAX(INDEX(Tasks[_ShownCalcFinish],Tasks[[#This Row],[_Row]]+1):INDEX(Tasks[_ShownCalcFinish],Tasks[[#This Row],[_Row]]+Tasks[[#This Row],[_Descendants]])),Tasks[[#This Row],[_ShownCalcFinish]]))</f>
        <v/>
      </c>
      <c r="EU9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9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9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9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9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9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9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9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9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9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9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9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93" s="45" t="n">
        <f aca="false">IF(AND(Tasks[[#This Row],[_IsLeaf]]=1,Tasks[[#This Row],[_LeafTotalWork]]&gt;0),NETWORKDAYS.INTL(ProjectStart,Tasks[[#This Row],[_ShownFcstStart]],WorkWeek,Holidays),0)</f>
        <v>0</v>
      </c>
      <c r="FH93" s="45" t="n">
        <f aca="false">IF(AND(Tasks[[#This Row],[_IsLeaf]]=1,Tasks[[#This Row],[_LeafTotalWork]]&gt;0),MAX(Tasks[[#This Row],[_StartWorkday]],NETWORKDAYS.INTL(ProjectStart,Tasks[[#This Row],[_ShownFcstFinish]],WorkWeek,Holidays)),0)</f>
        <v>0</v>
      </c>
      <c r="FI93" s="45" t="n">
        <f aca="false">IF(AND(Tasks[[#This Row],[_IsLeaf]]=1,Tasks[[#This Row],[_LeafTotalWork]]&gt;0),Tasks[[#This Row],[_LeafWork]]/(Tasks[[#This Row],[_FinishWorkday]]-Tasks[[#This Row],[_StartWorkday]]+1),0)</f>
        <v>0</v>
      </c>
      <c r="FJ93" s="45" t="n">
        <f aca="false">Tasks[[#This Row],[_WorkPerWorkday]]*(Tasks[[#This Row],[_StartWorkday]]-1)</f>
        <v>-0</v>
      </c>
      <c r="FK93" s="45" t="n">
        <f aca="false">IF(Tasks[[#This Row],[_IsLeaf]]=1,MAX(N(Tasks[[#This Row],[Duration]]),0.1),0)</f>
        <v>0</v>
      </c>
      <c r="FL93" s="45" t="n">
        <f aca="false">Tasks[[#This Row],[_WeightDur]]*Tasks[[#This Row],[_LeafProgress]]</f>
        <v>0</v>
      </c>
      <c r="FM9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93" s="45" t="str">
        <f aca="false">IF(AND(Tasks[[#This Row],[_IsLeaf]]=1,N(Tasks[[#This Row],[Duration]])=0,Tasks[[#This Row],[_LeafProgress]]&lt;1),Tasks[[#This Row],[_ShownFcstFinish]]+Tasks[[#This Row],[_Row]]/100000,"")</f>
        <v/>
      </c>
      <c r="FO9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93" s="45" t="n">
        <f aca="false">IF(NOT(Tasks[[#This Row],[_IsLeaf]]=1),0,IF(Tasks[[#This Row],[Baseline Cost]]="",Tasks[[#This Row],[_LeafTotalCost]],N(Tasks[[#This Row],[Baseline Cost]])))</f>
        <v>0</v>
      </c>
      <c r="FQ93" s="45" t="n">
        <f aca="false">Tasks[[#This Row],[_LeafBudget]]*Tasks[[#This Row],[_PlannedPct]]</f>
        <v>0</v>
      </c>
      <c r="FR93" s="45" t="n">
        <f aca="false">Tasks[[#This Row],[_LeafBudget]]*Tasks[[#This Row],[_LeafProgress]]</f>
        <v>0</v>
      </c>
      <c r="FS93" s="45" t="n">
        <f aca="false">IF(NOT(Tasks[[#This Row],[_IsLeaf]]=1),0,IF(Tasks[[#This Row],[Actual Cost]]="",Tasks[[#This Row],[_LeafTotalCost]]*Tasks[[#This Row],[_LeafProgress]],N(Tasks[[#This Row],[Actual Cost]])))</f>
        <v>0</v>
      </c>
      <c r="FT93" s="45" t="str">
        <f aca="false">IF(Tasks[[#This Row],[Task Name]]="","",LEFT(Tasks[[#This Row],[WBS]],FIND(".",Tasks[[#This Row],[WBS]]&amp;".")-1))</f>
        <v/>
      </c>
      <c r="FU93" s="45" t="str">
        <f aca="false">IF(AND(Tasks[[#This Row],[Task Name]]&lt;&gt;"",Tasks[[#This Row],[_Level]]=1),Tasks[[#This Row],[_Row]],"")</f>
        <v/>
      </c>
      <c r="FV93" s="45" t="str">
        <f aca="false">IF(AND(Tasks[[#This Row],[_IsLeaf]]=1,N(Tasks[[#This Row],[Duration]])=0),Tasks[[#This Row],[Planned Finish]]+Tasks[[#This Row],[_Row]]/100000,"")</f>
        <v/>
      </c>
      <c r="FW93" s="45" t="str">
        <f aca="false">IF(AND(Tasks[[#This Row],[_IsLeaf]]=1,Tasks[[#This Row],[_LeafProgress]]&lt;1,OR(N(Tasks[[#This Row],[Finish Var]])&gt;0,Tasks[[#This Row],[Status]]="Late Start")),MAX(0,Tasks[[#This Row],[Finish Var]])+1-Tasks[[#This Row],[_Row]]/1000000,"")</f>
        <v/>
      </c>
      <c r="FX93" s="45" t="str">
        <f aca="false">IF(AND(Tasks[[#This Row],[_IsLeaf]]=1,N(Tasks[[#This Row],[Actual Start]])=0,Tasks[[#This Row],[_ShownFcstStart]]&gt;=StatusDate,Tasks[[#This Row],[_ShownFcstStart]]&lt;=LookaheadEnd),Tasks[[#This Row],[_ShownFcstStart]]+Tasks[[#This Row],[_Row]]/100000,"")</f>
        <v/>
      </c>
      <c r="FY93" s="45" t="str">
        <f aca="false">IF(AND(Tasks[[#This Row],[_IsLeaf]]=1,Tasks[[#This Row],[_LeafProgress]]&lt;1,Tasks[[#This Row],[_ShownFcstFinish]]&gt;=StatusDate,Tasks[[#This Row],[_ShownFcstFinish]]&lt;=LookaheadEnd),Tasks[[#This Row],[_ShownFcstFinish]]+Tasks[[#This Row],[_Row]]/100000,"")</f>
        <v/>
      </c>
      <c r="FZ93" s="45" t="str">
        <f aca="false">IF(Tasks[[#This Row],[_LeafCritical]],Tasks[[#This Row],[_ShownFcstStart]]+Tasks[[#This Row],[_Row]]/100000,"")</f>
        <v/>
      </c>
      <c r="GA93" s="45" t="n">
        <f aca="false">Tasks[[#This Row],[_LeafWork]]*Tasks[[#This Row],[_LeafProgress]]</f>
        <v>0</v>
      </c>
      <c r="GB93" s="74" t="str">
        <f aca="false">IF(AND(Tasks[[#This Row],[_IsLeaf]]=1,Tasks[[#This Row],[_LeafProgress]]&gt;=1),IF(N(Tasks[[#This Row],[Actual Finish]])&gt;0,Tasks[[#This Row],[Actual Finish]],Tasks[[#This Row],[_ShownFcstFinish]]),"")</f>
        <v/>
      </c>
    </row>
    <row r="94" customFormat="false" ht="15" hidden="false" customHeight="false" outlineLevel="0" collapsed="false">
      <c r="A94" s="67" t="str">
        <f aca="false">IF(Tasks[[#This Row],[Task Name]]="","",COUNTA(Tasks[[#Headers],[Task Name]]:Tasks[[#This Row],[Task Name]])-1)</f>
        <v/>
      </c>
      <c r="B94" s="21" t="n">
        <v>89</v>
      </c>
      <c r="C9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21"/>
      <c r="E94" s="22"/>
      <c r="F94" s="21"/>
      <c r="G94" s="22"/>
      <c r="H94" s="22"/>
      <c r="I94" s="22"/>
      <c r="J94" s="7"/>
      <c r="K94" s="7"/>
      <c r="L94" s="22"/>
      <c r="M94" s="58" t="str">
        <f aca="false">IF(Tasks[[#This Row],[Task Name]]="","",IF(Tasks[[#This Row],[_IsSummary]],MIN(INDEX(Tasks[_ShownFcstStart],Tasks[[#This Row],[_Row]]+1):INDEX(Tasks[_ShownFcstStart],Tasks[[#This Row],[_Row]]+Tasks[[#This Row],[_Descendants]])),Tasks[[#This Row],[_ShownFcstStart]]))</f>
        <v/>
      </c>
      <c r="N94" s="58" t="str">
        <f aca="false">IF(Tasks[[#This Row],[Task Name]]="","",IF(Tasks[[#This Row],[_IsSummary]],MAX(INDEX(Tasks[_ShownFcstFinish],Tasks[[#This Row],[_Row]]+1):INDEX(Tasks[_ShownFcstFinish],Tasks[[#This Row],[_Row]]+Tasks[[#This Row],[_Descendants]])),Tasks[[#This Row],[_ShownFcstFinish]]))</f>
        <v/>
      </c>
      <c r="O94" s="20" t="str">
        <f aca="false">IF(Tasks[[#This Row],[Task Name]]="","",IF(Tasks[[#This Row],[Progress]]&gt;=1,"Complete",IF(OR(N(Tasks[[#This Row],[Actual Start]])&gt;0,Tasks[[#This Row],[Progress]]&gt;0),IF(Tasks[[#This Row],[Finish Var]]&gt;0,"Behind","In Progress"),IF(Tasks[[#This Row],[Planned Start]]&lt;StatusDate,"Late Start","Not Started"))))</f>
        <v/>
      </c>
      <c r="P94" s="20" t="str">
        <f aca="false">IF(Tasks[[#This Row],[Task Name]]="","",IF(IF(Tasks[[#This Row],[_IsSummary]],COUNTIF(INDEX(Tasks[_LeafCritical],Tasks[[#This Row],[_Row]]+1):INDEX(Tasks[_LeafCritical],Tasks[[#This Row],[_Row]]+Tasks[[#This Row],[_Descendants]]),TRUE())&gt;0,Tasks[[#This Row],[_LeafCritical]]),"Yes",""))</f>
        <v/>
      </c>
      <c r="Q9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94" s="67" t="str">
        <f aca="false">IF(Tasks[[#This Row],[Task Name]]="","",IF(Tasks[[#This Row],[_Level]]&lt;=OutlineShowLevel,"Yes","No"))</f>
        <v/>
      </c>
      <c r="S94" s="7"/>
      <c r="T94" s="21"/>
      <c r="U94" s="22"/>
      <c r="V94" s="7"/>
      <c r="W94" s="67" t="str">
        <f aca="false">IF(Tasks[[#This Row],[Task Name]]="","",IF(Tasks[[#This Row],[Finish]]&gt;=Tasks[[#This Row],[Planned Finish]],NETWORKDAYS.INTL(Tasks[[#This Row],[Planned Finish]],Tasks[[#This Row],[Finish]],WorkWeek,Holidays)-1,1-NETWORKDAYS.INTL(Tasks[[#This Row],[Finish]],Tasks[[#This Row],[Planned Finish]],WorkWeek,Holidays)))</f>
        <v/>
      </c>
      <c r="X94" s="58" t="str">
        <f aca="false">IF(Tasks[[#This Row],[Task Name]]="","",IF(N(Tasks[[#This Row],[Baseline Start]])&gt;0,Tasks[[#This Row],[Baseline Start]],Tasks[[#This Row],[_CalcStart]]))</f>
        <v/>
      </c>
      <c r="Y94" s="58" t="str">
        <f aca="false">IF(Tasks[[#This Row],[Task Name]]="","",IF(N(Tasks[[#This Row],[Baseline Finish]])&gt;0,Tasks[[#This Row],[Baseline Finish]],Tasks[[#This Row],[_CalcFinish]]))</f>
        <v/>
      </c>
      <c r="Z94" s="67" t="str">
        <f aca="false">IF(Tasks[[#This Row],[Task Name]]="","",IF(Tasks[[#This Row],[Start]]&gt;=Tasks[[#This Row],[Planned Start]],NETWORKDAYS.INTL(Tasks[[#This Row],[Planned Start]],Tasks[[#This Row],[Start]],WorkWeek,Holidays)-1,1-NETWORKDAYS.INTL(Tasks[[#This Row],[Start]],Tasks[[#This Row],[Planned Start]],WorkWeek,Holidays)))</f>
        <v/>
      </c>
      <c r="AA94" s="58" t="str">
        <f aca="false">IF(Tasks[[#This Row],[Task Name]]="","",IF(Tasks[[#This Row],[_IsSummary]],MIN(INDEX(Tasks[_LeafLateStart],Tasks[[#This Row],[_Row]]+1):INDEX(Tasks[_LeafLateStart],Tasks[[#This Row],[_Row]]+Tasks[[#This Row],[_Descendants]])),Tasks[[#This Row],[_LeafLateStart]]))</f>
        <v/>
      </c>
      <c r="AB94" s="58" t="str">
        <f aca="false">IF(Tasks[[#This Row],[Task Name]]="","",IF(Tasks[[#This Row],[_IsSummary]],MAX(INDEX(Tasks[_LeafLateFinish],Tasks[[#This Row],[_Row]]+1):INDEX(Tasks[_LeafLateFinish],Tasks[[#This Row],[_Row]]+Tasks[[#This Row],[_Descendants]])),Tasks[[#This Row],[_LeafLateFinish]]))</f>
        <v/>
      </c>
      <c r="AC94" s="67" t="str">
        <f aca="false">IF(Tasks[[#This Row],[Task Name]]="","",IF(Tasks[[#This Row],[_IsSummary]],MIN(INDEX(Tasks[_LeafTotalSlack],Tasks[[#This Row],[_Row]]+1):INDEX(Tasks[_LeafTotalSlack],Tasks[[#This Row],[_Row]]+Tasks[[#This Row],[_Descendants]])),Tasks[[#This Row],[_LeafTotalSlack]]))</f>
        <v/>
      </c>
      <c r="AD9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9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9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94" s="60"/>
      <c r="AH9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9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94" s="69" t="str">
        <f aca="false">IF(Tasks[[#This Row],[Task Name]]="","",IF(Tasks[[#This Row],[_IsSummary]],SUM(INDEX(Tasks[_LeafTotalWork],Tasks[[#This Row],[_Row]]+1):INDEX(Tasks[_LeafTotalWork],Tasks[[#This Row],[_Row]]+Tasks[[#This Row],[_Descendants]])),Tasks[[#This Row],[_LeafTotalWork]]))</f>
        <v/>
      </c>
      <c r="AK9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94" s="70" t="str">
        <f aca="false">IF(Tasks[[#This Row],[Task Name]]="","",IF(Tasks[[#This Row],[_IsSummary]],SUM(INDEX(Tasks[_LeafTotalCost],Tasks[[#This Row],[_Row]]+1):INDEX(Tasks[_LeafTotalCost],Tasks[[#This Row],[_Row]]+Tasks[[#This Row],[_Descendants]])),Tasks[[#This Row],[_LeafTotalCost]]))</f>
        <v/>
      </c>
      <c r="AM94" s="71"/>
      <c r="AN94" s="20" t="str">
        <f aca="false">IF(OR(Tasks[[#This Row],[Task Name]]="",Tasks[[#This Row],[Baseline Duration]]=""),"",Tasks[[#This Row],[BL Source Duration]]-N(Tasks[[#This Row],[Baseline Duration]]))</f>
        <v/>
      </c>
      <c r="AO94" s="69" t="str">
        <f aca="false">IF(OR(Tasks[[#This Row],[Task Name]]="",Tasks[[#This Row],[Baseline Work]]=""),"",Tasks[[#This Row],[Work]]-N(Tasks[[#This Row],[Baseline Work]]))</f>
        <v/>
      </c>
      <c r="AP94" s="70" t="str">
        <f aca="false">IF(OR(Tasks[[#This Row],[Task Name]]="",Tasks[[#This Row],[Baseline Cost]]=""),"",Tasks[[#This Row],[Cost]]-N(Tasks[[#This Row],[Baseline Cost]]))</f>
        <v/>
      </c>
      <c r="AQ94" s="58" t="str">
        <f aca="false">IF(Tasks[[#This Row],[Task Name]]="","",Tasks[[#This Row],[Start]])</f>
        <v/>
      </c>
      <c r="AR94" s="58" t="str">
        <f aca="false">IF(Tasks[[#This Row],[Task Name]]="","",Tasks[[#This Row],[Finish]])</f>
        <v/>
      </c>
      <c r="AS94" s="67" t="str">
        <f aca="false">IF(Tasks[[#This Row],[Task Name]]="","",IF(Tasks[[#This Row],[_IsSummary]],NETWORKDAYS.INTL(Tasks[[#This Row],[Start]],Tasks[[#This Row],[Finish]],WorkWeek,Holidays),N(Tasks[[#This Row],[Duration]])))</f>
        <v/>
      </c>
      <c r="AT94" s="69" t="str">
        <f aca="false">IF(Tasks[[#This Row],[Task Name]]="","",Tasks[[#This Row],[Work]])</f>
        <v/>
      </c>
      <c r="AU94" s="70" t="str">
        <f aca="false">IF(Tasks[[#This Row],[Task Name]]="","",Tasks[[#This Row],[Cost]])</f>
        <v/>
      </c>
      <c r="AV94" s="7"/>
      <c r="AW94" s="7"/>
      <c r="AX94" s="21"/>
      <c r="AY94" s="72"/>
      <c r="AZ94" s="71"/>
      <c r="BA94" s="70" t="str">
        <f aca="false">IF(Tasks[[#This Row],[Task Name]]="","",IF(Tasks[[#This Row],[_IsSummary]],SUM(INDEX(Tasks[_LeafEV],Tasks[[#This Row],[_Row]]+1):INDEX(Tasks[_LeafEV],Tasks[[#This Row],[_Row]]+Tasks[[#This Row],[_Descendants]])),Tasks[[#This Row],[_LeafEV]]))</f>
        <v/>
      </c>
      <c r="BB94" s="70" t="str">
        <f aca="false">IF(Tasks[[#This Row],[Task Name]]="","",IF(Tasks[[#This Row],[_IsSummary]],SUM(INDEX(Tasks[_LeafBudget],Tasks[[#This Row],[_Row]]+1):INDEX(Tasks[_LeafBudget],Tasks[[#This Row],[_Row]]+Tasks[[#This Row],[_Descendants]])),Tasks[[#This Row],[_LeafBudget]]))</f>
        <v/>
      </c>
      <c r="BC94" s="70" t="str">
        <f aca="false">IF(Tasks[[#This Row],[Task Name]]="","",IF(Tasks[[#This Row],[_IsSummary]],SUM(INDEX(Tasks[_LeafPV],Tasks[[#This Row],[_Row]]+1):INDEX(Tasks[_LeafPV],Tasks[[#This Row],[_Row]]+Tasks[[#This Row],[_Descendants]])),Tasks[[#This Row],[_LeafPV]]))</f>
        <v/>
      </c>
      <c r="BD94" s="70" t="str">
        <f aca="false">IF(Tasks[[#This Row],[Task Name]]="","",IF(Tasks[[#This Row],[_IsSummary]],SUM(INDEX(Tasks[_LeafAC],Tasks[[#This Row],[_Row]]+1):INDEX(Tasks[_LeafAC],Tasks[[#This Row],[_Row]]+Tasks[[#This Row],[_Descendants]])),Tasks[[#This Row],[_LeafAC]]))</f>
        <v/>
      </c>
      <c r="BE94" s="45" t="str">
        <f aca="false">IF(Tasks[[#This Row],[Task Name]]="","",MAX(1,N(Tasks[[#This Row],[Level]])))</f>
        <v/>
      </c>
      <c r="BF94" s="45" t="n">
        <f aca="false">ROW()-ROW(Tasks[[#Headers],[ID]])</f>
        <v>89</v>
      </c>
      <c r="BG94" s="45" t="n">
        <f aca="false">IF(OR(Tasks[[#This Row],[Task Name]]="",Tasks[[#This Row],[_Level]]&lt;=1),0,IFERROR(LOOKUP(2,1/(Tasks[[#Headers],[_Level]]:Tasks[[#This Row],[_Level]]=Tasks[[#This Row],[_Level]]-1),ROW(Tasks[[#Headers],[_Level]]:Tasks[[#This Row],[_Level]])),0))</f>
        <v>0</v>
      </c>
      <c r="BH94" s="45" t="n">
        <f aca="false">IFERROR(N(INDEX(Tasks[_Level],Tasks[[#This Row],[_Row]]+1)),0)</f>
        <v>0</v>
      </c>
      <c r="BI94" s="73" t="b">
        <f aca="false">AND(Tasks[[#This Row],[Task Name]]&lt;&gt;"",Tasks[[#This Row],[_NextLevel]]&gt;Tasks[[#This Row],[_Level]])</f>
        <v>0</v>
      </c>
      <c r="BJ94" s="45" t="n">
        <f aca="false">IF(Tasks[[#This Row],[_IsSummary]],COUNTIF(Tasks[WBS],Tasks[[#This Row],[WBS]]&amp;".*"),0)</f>
        <v>0</v>
      </c>
      <c r="BK94" s="45" t="n">
        <f aca="false">IF(AND(Tasks[[#This Row],[Task Name]]&lt;&gt;"",NOT(Tasks[[#This Row],[_IsSummary]])),1,0)</f>
        <v>0</v>
      </c>
      <c r="BL94" s="45" t="n">
        <f aca="false">IF(N(Tasks[[#This Row],[_Pred1UID]])=0,0,IFERROR(MATCH(Tasks[[#This Row],[_Pred1UID]],Tasks[UID],0),-1))</f>
        <v>0</v>
      </c>
      <c r="BM94" s="45" t="n">
        <f aca="false">IF(N(Tasks[[#This Row],[_Pred2UID]])=0,0,IFERROR(MATCH(Tasks[[#This Row],[_Pred2UID]],Tasks[UID],0),-1))</f>
        <v>0</v>
      </c>
      <c r="BN94" s="45" t="n">
        <f aca="false">IF(N(Tasks[[#This Row],[_Pred3UID]])=0,0,IFERROR(MATCH(Tasks[[#This Row],[_Pred3UID]],Tasks[UID],0),-1))</f>
        <v>0</v>
      </c>
      <c r="BO94" s="45" t="n">
        <f aca="false">IF(N(Tasks[[#This Row],[_Pred4UID]])=0,0,IFERROR(MATCH(Tasks[[#This Row],[_Pred4UID]],Tasks[UID],0),-1))</f>
        <v>0</v>
      </c>
      <c r="BP9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9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94" s="74" t="n">
        <f aca="false">IF(OR(Tasks[[#This Row],[_ConstraintCode]]=2,Tasks[[#This Row],[_ConstraintCode]]=3,Tasks[[#This Row],[_ConstraintCode]]=4,Tasks[[#This Row],[_ConstraintCode]]=6),Tasks[[#This Row],[_ConstraintStart]],0)</f>
        <v>0</v>
      </c>
      <c r="BS94" s="74" t="n">
        <f aca="false">IF(OR(Tasks[[#This Row],[_ConstraintCode]]=2,Tasks[[#This Row],[_ConstraintCode]]=3,Tasks[[#This Row],[_ConstraintCode]]=5,Tasks[[#This Row],[_ConstraintCode]]=7),Tasks[[#This Row],[_ConstraintStart]],2958465)</f>
        <v>2958465</v>
      </c>
      <c r="BT9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94" s="74" t="str">
        <f aca="false">IF(NOT(Tasks[[#This Row],[_IsLeaf]]=1),"",IF(N(Tasks[[#This Row],[Duration]])&lt;=0,Tasks[[#This Row],[_LeafCalcStart]],WORKDAY.INTL(Tasks[[#This Row],[_LeafCalcStart]],Tasks[[#This Row],[Duration]]-1,WorkWeek,Holidays)))</f>
        <v/>
      </c>
      <c r="BV9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9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94" s="45" t="str">
        <f aca="false">IF(Tasks[[#This Row],[Predecessors]]="","",TRIM(MID(SUBSTITUTE(SUBSTITUTE(SUBSTITUTE(UPPER(Tasks[[#This Row],[Predecessors]]),";",",")," ",""),",",REPT(" ",99)),1,99)))</f>
        <v/>
      </c>
      <c r="BY94" s="45" t="str">
        <f aca="false">IF(Tasks[[#This Row],[_Pred1Text]]="","",IFERROR(VALUE(LEFT(Tasks[[#This Row],[_Pred1Text]],MIN(FIND("F",Tasks[[#This Row],[_Pred1Text]]&amp;"F"),FIND("S",Tasks[[#This Row],[_Pred1Text]]&amp;"S"),FIND("+",Tasks[[#This Row],[_Pred1Text]]&amp;"+"),FIND("-",Tasks[[#This Row],[_Pred1Text]]&amp;"-"))-1)),""))</f>
        <v/>
      </c>
      <c r="BZ9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9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94" s="45" t="str">
        <f aca="false">IF(Tasks[[#This Row],[_Pred1Text]]="","",TRIM(MID(SUBSTITUTE(SUBSTITUTE(SUBSTITUTE(UPPER(Tasks[[#This Row],[Predecessors]]),";",",")," ",""),",",REPT(" ",99)),100,99)))</f>
        <v/>
      </c>
      <c r="CC94" s="45" t="str">
        <f aca="false">IF(Tasks[[#This Row],[_Pred2Text]]="","",IFERROR(VALUE(LEFT(Tasks[[#This Row],[_Pred2Text]],MIN(FIND("F",Tasks[[#This Row],[_Pred2Text]]&amp;"F"),FIND("S",Tasks[[#This Row],[_Pred2Text]]&amp;"S"),FIND("+",Tasks[[#This Row],[_Pred2Text]]&amp;"+"),FIND("-",Tasks[[#This Row],[_Pred2Text]]&amp;"-"))-1)),""))</f>
        <v/>
      </c>
      <c r="CD9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9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94" s="45" t="str">
        <f aca="false">IF(Tasks[[#This Row],[_Pred2Text]]="","",TRIM(MID(SUBSTITUTE(SUBSTITUTE(SUBSTITUTE(UPPER(Tasks[[#This Row],[Predecessors]]),";",",")," ",""),",",REPT(" ",99)),199,99)))</f>
        <v/>
      </c>
      <c r="CG94" s="45" t="str">
        <f aca="false">IF(Tasks[[#This Row],[_Pred3Text]]="","",IFERROR(VALUE(LEFT(Tasks[[#This Row],[_Pred3Text]],MIN(FIND("F",Tasks[[#This Row],[_Pred3Text]]&amp;"F"),FIND("S",Tasks[[#This Row],[_Pred3Text]]&amp;"S"),FIND("+",Tasks[[#This Row],[_Pred3Text]]&amp;"+"),FIND("-",Tasks[[#This Row],[_Pred3Text]]&amp;"-"))-1)),""))</f>
        <v/>
      </c>
      <c r="CH9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9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94" s="45" t="str">
        <f aca="false">IF(Tasks[[#This Row],[_Pred3Text]]="","",TRIM(MID(SUBSTITUTE(SUBSTITUTE(SUBSTITUTE(UPPER(Tasks[[#This Row],[Predecessors]]),";",",")," ",""),",",REPT(" ",99)),298,99)))</f>
        <v/>
      </c>
      <c r="CK94" s="45" t="str">
        <f aca="false">IF(Tasks[[#This Row],[_Pred4Text]]="","",IFERROR(VALUE(LEFT(Tasks[[#This Row],[_Pred4Text]],MIN(FIND("F",Tasks[[#This Row],[_Pred4Text]]&amp;"F"),FIND("S",Tasks[[#This Row],[_Pred4Text]]&amp;"S"),FIND("+",Tasks[[#This Row],[_Pred4Text]]&amp;"+"),FIND("-",Tasks[[#This Row],[_Pred4Text]]&amp;"-"))-1)),""))</f>
        <v/>
      </c>
      <c r="CL9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9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94" s="45" t="str">
        <f aca="false">IF(OR(Tasks[[#This Row],[Task Name]]="",Tasks[[#This Row],[Resources]]=""),"",TRIM(MID(SUBSTITUTE(Tasks[[#This Row],[Resources]],",",REPT(" ",99)),1,99)))</f>
        <v/>
      </c>
      <c r="CO94" s="45" t="str">
        <f aca="false">IF(Tasks[[#This Row],[_Res1Text]]="","",TRIM(MID(SUBSTITUTE(Tasks[[#This Row],[Resources]],",",REPT(" ",99)),100,99)))</f>
        <v/>
      </c>
      <c r="CP94" s="45" t="str">
        <f aca="false">IF(Tasks[[#This Row],[_Res2Text]]="","",TRIM(MID(SUBSTITUTE(Tasks[[#This Row],[Resources]],",",REPT(" ",99)),199,99)))</f>
        <v/>
      </c>
      <c r="CQ94" s="45" t="str">
        <f aca="false">IF(Tasks[[#This Row],[_Res3Text]]="","",TRIM(MID(SUBSTITUTE(Tasks[[#This Row],[Resources]],",",REPT(" ",99)),298,99)))</f>
        <v/>
      </c>
      <c r="CR9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9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4" s="45" t="n">
        <f aca="false">IF(NOT(Tasks[[#This Row],[_IsLeaf]]=1),0,(Tasks[[#This Row],[_Resource1]]&lt;&gt;"")+(Tasks[[#This Row],[_Res2]]&lt;&gt;"")+(Tasks[[#This Row],[_Res3]]&lt;&gt;"")+(Tasks[[#This Row],[_Res4]]&lt;&gt;""))</f>
        <v>0</v>
      </c>
      <c r="CU9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9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4" s="45" t="n">
        <f aca="false">IF(OR(NOT(Tasks[[#This Row],[_IsLeaf]]=1),Tasks[[#This Row],[_Res2]]=""),0,IF(ISNA(MATCH(Tasks[[#This Row],[_Res2]],res_Name,0)),0,N(Tasks[[#This Row],[Duration]])*HoursPerDay*IF(Tasks[[#This Row],[_Res2Units]]="",DefaultUnits,Tasks[[#This Row],[_Res2Units]])))</f>
        <v>0</v>
      </c>
      <c r="CX94" s="45" t="n">
        <f aca="false">IF(Tasks[[#This Row],[_Res2Work]]=0,0,Tasks[[#This Row],[_Res2Work]]*IFERROR(INDEX(res_Rate,MATCH(Tasks[[#This Row],[_Res2]],res_Name,0)),0))</f>
        <v>0</v>
      </c>
      <c r="CY94" s="45" t="n">
        <f aca="false">IF(AND(AND(Tasks[[#This Row],[_IsLeaf]]=1,Tasks[[#This Row],[_LeafTotalWork]]&gt;0),Tasks[[#This Row],[_Res2Work]]&gt;0),Tasks[[#This Row],[_Res2Work]]/(Tasks[[#This Row],[_FinishWorkday]]-Tasks[[#This Row],[_StartWorkday]]+1),0)</f>
        <v>0</v>
      </c>
      <c r="CZ94" s="45" t="n">
        <f aca="false">Tasks[[#This Row],[_Res2WorkPerWD]]*MAX(0,Tasks[[#This Row],[_StartWorkday]]-1)</f>
        <v>0</v>
      </c>
      <c r="DA94" s="45" t="n">
        <f aca="false">Tasks[[#This Row],[_Res2Work]]*Tasks[[#This Row],[_LeafProgress]]</f>
        <v>0</v>
      </c>
      <c r="DB94" s="45" t="n">
        <f aca="false">IF(Tasks[[#This Row],[_LeafTotalCost]]=0,0,Tasks[[#This Row],[_LeafAC]]*Tasks[[#This Row],[_Res2Cost]]/Tasks[[#This Row],[_LeafTotalCost]])</f>
        <v>0</v>
      </c>
      <c r="DC9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9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94" s="45" t="n">
        <f aca="false">IF(OR(NOT(Tasks[[#This Row],[_IsLeaf]]=1),Tasks[[#This Row],[_Res3]]=""),0,IF(ISNA(MATCH(Tasks[[#This Row],[_Res3]],res_Name,0)),0,N(Tasks[[#This Row],[Duration]])*HoursPerDay*IF(Tasks[[#This Row],[_Res3Units]]="",DefaultUnits,Tasks[[#This Row],[_Res3Units]])))</f>
        <v>0</v>
      </c>
      <c r="DF94" s="45" t="n">
        <f aca="false">IF(Tasks[[#This Row],[_Res3Work]]=0,0,Tasks[[#This Row],[_Res3Work]]*IFERROR(INDEX(res_Rate,MATCH(Tasks[[#This Row],[_Res3]],res_Name,0)),0))</f>
        <v>0</v>
      </c>
      <c r="DG94" s="45" t="n">
        <f aca="false">IF(AND(AND(Tasks[[#This Row],[_IsLeaf]]=1,Tasks[[#This Row],[_LeafTotalWork]]&gt;0),Tasks[[#This Row],[_Res3Work]]&gt;0),Tasks[[#This Row],[_Res3Work]]/(Tasks[[#This Row],[_FinishWorkday]]-Tasks[[#This Row],[_StartWorkday]]+1),0)</f>
        <v>0</v>
      </c>
      <c r="DH94" s="45" t="n">
        <f aca="false">Tasks[[#This Row],[_Res3WorkPerWD]]*MAX(0,Tasks[[#This Row],[_StartWorkday]]-1)</f>
        <v>0</v>
      </c>
      <c r="DI94" s="45" t="n">
        <f aca="false">Tasks[[#This Row],[_Res3Work]]*Tasks[[#This Row],[_LeafProgress]]</f>
        <v>0</v>
      </c>
      <c r="DJ94" s="45" t="n">
        <f aca="false">IF(Tasks[[#This Row],[_LeafTotalCost]]=0,0,Tasks[[#This Row],[_LeafAC]]*Tasks[[#This Row],[_Res3Cost]]/Tasks[[#This Row],[_LeafTotalCost]])</f>
        <v>0</v>
      </c>
      <c r="DK9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9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94" s="45" t="n">
        <f aca="false">IF(OR(NOT(Tasks[[#This Row],[_IsLeaf]]=1),Tasks[[#This Row],[_Res4]]=""),0,IF(ISNA(MATCH(Tasks[[#This Row],[_Res4]],res_Name,0)),0,N(Tasks[[#This Row],[Duration]])*HoursPerDay*IF(Tasks[[#This Row],[_Res4Units]]="",DefaultUnits,Tasks[[#This Row],[_Res4Units]])))</f>
        <v>0</v>
      </c>
      <c r="DN94" s="45" t="n">
        <f aca="false">IF(Tasks[[#This Row],[_Res4Work]]=0,0,Tasks[[#This Row],[_Res4Work]]*IFERROR(INDEX(res_Rate,MATCH(Tasks[[#This Row],[_Res4]],res_Name,0)),0))</f>
        <v>0</v>
      </c>
      <c r="DO94" s="45" t="n">
        <f aca="false">IF(AND(AND(Tasks[[#This Row],[_IsLeaf]]=1,Tasks[[#This Row],[_LeafTotalWork]]&gt;0),Tasks[[#This Row],[_Res4Work]]&gt;0),Tasks[[#This Row],[_Res4Work]]/(Tasks[[#This Row],[_FinishWorkday]]-Tasks[[#This Row],[_StartWorkday]]+1),0)</f>
        <v>0</v>
      </c>
      <c r="DP94" s="45" t="n">
        <f aca="false">Tasks[[#This Row],[_Res4WorkPerWD]]*MAX(0,Tasks[[#This Row],[_StartWorkday]]-1)</f>
        <v>0</v>
      </c>
      <c r="DQ94" s="45" t="n">
        <f aca="false">Tasks[[#This Row],[_Res4Work]]*Tasks[[#This Row],[_LeafProgress]]</f>
        <v>0</v>
      </c>
      <c r="DR94" s="45" t="n">
        <f aca="false">IF(Tasks[[#This Row],[_LeafTotalCost]]=0,0,Tasks[[#This Row],[_LeafAC]]*Tasks[[#This Row],[_Res4Cost]]/Tasks[[#This Row],[_LeafTotalCost]])</f>
        <v>0</v>
      </c>
      <c r="DS94" s="45" t="n">
        <f aca="false">IF(ISNUMBER(Tasks[[#This Row],[% Complete]]),Tasks[[#This Row],[% Complete]],IF(Tasks[[#This Row],[Stage]]="",0,IFERROR(INDEX(stg_Pct,MATCH(Tasks[[#This Row],[Stage]],stg_Name,0)),0)))</f>
        <v>0</v>
      </c>
      <c r="DT94" s="45" t="n">
        <f aca="false">IF(NOT(Tasks[[#This Row],[_IsLeaf]]=1),0,IF(N(Tasks[[#This Row],[Actual Finish]])&gt;0,1,MIN(1,Tasks[[#This Row],[_Pct]])))</f>
        <v>0</v>
      </c>
      <c r="DU94" s="45" t="n">
        <f aca="false">IF(OR(NOT(Tasks[[#This Row],[_IsLeaf]]=1),Tasks[[#This Row],[_Resource1]]=""),0,IF(ISNA(MATCH(Tasks[[#This Row],[_Resource1]],res_Name,0)),0,N(Tasks[[#This Row],[Duration]])*HoursPerDay*IF(Tasks[[#This Row],[_Units1]]="",DefaultUnits,Tasks[[#This Row],[_Units1]])))</f>
        <v>0</v>
      </c>
      <c r="DV94" s="45" t="n">
        <f aca="false">IF(Tasks[[#This Row],[_LeafWork]]=0,0,Tasks[[#This Row],[_LeafWork]]*IFERROR(INDEX(res_Rate,MATCH(Tasks[[#This Row],[_Resource1]],res_Name,0)),0))</f>
        <v>0</v>
      </c>
      <c r="DW94" s="45" t="n">
        <f aca="false">Tasks[[#This Row],[_LeafWork]]+Tasks[[#This Row],[_Res2Work]]+Tasks[[#This Row],[_Res3Work]]+Tasks[[#This Row],[_Res4Work]]</f>
        <v>0</v>
      </c>
      <c r="DX94" s="45" t="n">
        <f aca="false">Tasks[[#This Row],[_LeafCost]]+Tasks[[#This Row],[_Res2Cost]]+Tasks[[#This Row],[_Res3Cost]]+Tasks[[#This Row],[_Res4Cost]]</f>
        <v>0</v>
      </c>
      <c r="DY94" s="45" t="n">
        <f aca="false">IF(Tasks[[#This Row],[_LeafTotalCost]]=0,Tasks[[#This Row],[_LeafAC]],Tasks[[#This Row],[_LeafAC]]*Tasks[[#This Row],[_LeafCost]]/Tasks[[#This Row],[_LeafTotalCost]])</f>
        <v>0</v>
      </c>
      <c r="DZ9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9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9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9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9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9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9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9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94" s="45" t="n">
        <f aca="false">IF(NOT(Tasks[[#This Row],[_IsLeaf]]=1),0,MAX(_xlfn.MAXIFS(Tasks[_Row],Tasks[_Pred1UID],Tasks[[#This Row],[UID]]),_xlfn.MAXIFS(Tasks[_Row],Tasks[_Pred2UID],Tasks[[#This Row],[UID]]),_xlfn.MAXIFS(Tasks[_Row],Tasks[_Pred3UID],Tasks[[#This Row],[UID]]),_xlfn.MAXIFS(Tasks[_Row],Tasks[_Pred4UID],Tasks[[#This Row],[UID]])))</f>
        <v>0</v>
      </c>
      <c r="EI9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9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94" s="74" t="str">
        <f aca="false">IF(NOT(Tasks[[#This Row],[_IsLeaf]]=1),"",IF(N(Tasks[[#This Row],[Duration]])&lt;=0,Tasks[[#This Row],[_LeafLateFinish]],WORKDAY.INTL(Tasks[[#This Row],[_LeafLateFinish]],-(Tasks[[#This Row],[Duration]]-1),WorkWeek,Holidays)))</f>
        <v/>
      </c>
      <c r="EL9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94" s="73" t="b">
        <f aca="false">AND(Tasks[[#This Row],[_IsLeaf]]=1,Tasks[[#This Row],[_LeafProgress]]&lt;1,N(Tasks[[#This Row],[_LeafTotalSlack]])&lt;=CriticalSlackDays)</f>
        <v>0</v>
      </c>
      <c r="EN94" s="45" t="n">
        <f aca="false">IF(AND(Tasks[[#This Row],[_IsLeaf]]=1,Tasks[[#This Row],[_ConstraintCode]]=1,Tasks[[#This Row],[Mode]]&lt;&gt;"Manual",N(Tasks[[#This Row],[Actual Start]])=0),MAX(0,N(Tasks[[#This Row],[Free Slack]])),0)</f>
        <v>0</v>
      </c>
      <c r="EO94" s="74" t="str">
        <f aca="false">IF(NOT(Tasks[[#This Row],[_IsLeaf]]=1),"",IF(Tasks[[#This Row],[_AlapShift]]=0,Tasks[[#This Row],[_LeafCalcStart]],WORKDAY.INTL(Tasks[[#This Row],[_LeafCalcStart]],Tasks[[#This Row],[_AlapShift]],WorkWeek,Holidays)))</f>
        <v/>
      </c>
      <c r="EP94" s="74" t="str">
        <f aca="false">IF(NOT(Tasks[[#This Row],[_IsLeaf]]=1),"",IF(Tasks[[#This Row],[_AlapShift]]=0,Tasks[[#This Row],[_LeafCalcFinish]],WORKDAY.INTL(Tasks[[#This Row],[_LeafCalcFinish]],Tasks[[#This Row],[_AlapShift]],WorkWeek,Holidays)))</f>
        <v/>
      </c>
      <c r="EQ94" s="74" t="str">
        <f aca="false">IF(NOT(Tasks[[#This Row],[_IsLeaf]]=1),"",IF(Tasks[[#This Row],[_AlapShift]]=0,Tasks[[#This Row],[_LeafFcstStart]],WORKDAY.INTL(Tasks[[#This Row],[_LeafFcstStart]],Tasks[[#This Row],[_AlapShift]],WorkWeek,Holidays)))</f>
        <v/>
      </c>
      <c r="ER94" s="74" t="str">
        <f aca="false">IF(NOT(Tasks[[#This Row],[_IsLeaf]]=1),"",IF(Tasks[[#This Row],[_AlapShift]]=0,Tasks[[#This Row],[_LeafFcstFinish]],WORKDAY.INTL(Tasks[[#This Row],[_LeafFcstFinish]],Tasks[[#This Row],[_AlapShift]],WorkWeek,Holidays)))</f>
        <v/>
      </c>
      <c r="ES94" s="74" t="str">
        <f aca="false">IF(Tasks[[#This Row],[Task Name]]="","",IF(Tasks[[#This Row],[_IsSummary]],MIN(INDEX(Tasks[_ShownCalcStart],Tasks[[#This Row],[_Row]]+1):INDEX(Tasks[_ShownCalcStart],Tasks[[#This Row],[_Row]]+Tasks[[#This Row],[_Descendants]])),Tasks[[#This Row],[_ShownCalcStart]]))</f>
        <v/>
      </c>
      <c r="ET94" s="74" t="str">
        <f aca="false">IF(Tasks[[#This Row],[Task Name]]="","",IF(Tasks[[#This Row],[_IsSummary]],MAX(INDEX(Tasks[_ShownCalcFinish],Tasks[[#This Row],[_Row]]+1):INDEX(Tasks[_ShownCalcFinish],Tasks[[#This Row],[_Row]]+Tasks[[#This Row],[_Descendants]])),Tasks[[#This Row],[_ShownCalcFinish]]))</f>
        <v/>
      </c>
      <c r="EU9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9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9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9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9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9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9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9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9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9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9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9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94" s="45" t="n">
        <f aca="false">IF(AND(Tasks[[#This Row],[_IsLeaf]]=1,Tasks[[#This Row],[_LeafTotalWork]]&gt;0),NETWORKDAYS.INTL(ProjectStart,Tasks[[#This Row],[_ShownFcstStart]],WorkWeek,Holidays),0)</f>
        <v>0</v>
      </c>
      <c r="FH94" s="45" t="n">
        <f aca="false">IF(AND(Tasks[[#This Row],[_IsLeaf]]=1,Tasks[[#This Row],[_LeafTotalWork]]&gt;0),MAX(Tasks[[#This Row],[_StartWorkday]],NETWORKDAYS.INTL(ProjectStart,Tasks[[#This Row],[_ShownFcstFinish]],WorkWeek,Holidays)),0)</f>
        <v>0</v>
      </c>
      <c r="FI94" s="45" t="n">
        <f aca="false">IF(AND(Tasks[[#This Row],[_IsLeaf]]=1,Tasks[[#This Row],[_LeafTotalWork]]&gt;0),Tasks[[#This Row],[_LeafWork]]/(Tasks[[#This Row],[_FinishWorkday]]-Tasks[[#This Row],[_StartWorkday]]+1),0)</f>
        <v>0</v>
      </c>
      <c r="FJ94" s="45" t="n">
        <f aca="false">Tasks[[#This Row],[_WorkPerWorkday]]*(Tasks[[#This Row],[_StartWorkday]]-1)</f>
        <v>-0</v>
      </c>
      <c r="FK94" s="45" t="n">
        <f aca="false">IF(Tasks[[#This Row],[_IsLeaf]]=1,MAX(N(Tasks[[#This Row],[Duration]]),0.1),0)</f>
        <v>0</v>
      </c>
      <c r="FL94" s="45" t="n">
        <f aca="false">Tasks[[#This Row],[_WeightDur]]*Tasks[[#This Row],[_LeafProgress]]</f>
        <v>0</v>
      </c>
      <c r="FM9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94" s="45" t="str">
        <f aca="false">IF(AND(Tasks[[#This Row],[_IsLeaf]]=1,N(Tasks[[#This Row],[Duration]])=0,Tasks[[#This Row],[_LeafProgress]]&lt;1),Tasks[[#This Row],[_ShownFcstFinish]]+Tasks[[#This Row],[_Row]]/100000,"")</f>
        <v/>
      </c>
      <c r="FO9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94" s="45" t="n">
        <f aca="false">IF(NOT(Tasks[[#This Row],[_IsLeaf]]=1),0,IF(Tasks[[#This Row],[Baseline Cost]]="",Tasks[[#This Row],[_LeafTotalCost]],N(Tasks[[#This Row],[Baseline Cost]])))</f>
        <v>0</v>
      </c>
      <c r="FQ94" s="45" t="n">
        <f aca="false">Tasks[[#This Row],[_LeafBudget]]*Tasks[[#This Row],[_PlannedPct]]</f>
        <v>0</v>
      </c>
      <c r="FR94" s="45" t="n">
        <f aca="false">Tasks[[#This Row],[_LeafBudget]]*Tasks[[#This Row],[_LeafProgress]]</f>
        <v>0</v>
      </c>
      <c r="FS94" s="45" t="n">
        <f aca="false">IF(NOT(Tasks[[#This Row],[_IsLeaf]]=1),0,IF(Tasks[[#This Row],[Actual Cost]]="",Tasks[[#This Row],[_LeafTotalCost]]*Tasks[[#This Row],[_LeafProgress]],N(Tasks[[#This Row],[Actual Cost]])))</f>
        <v>0</v>
      </c>
      <c r="FT94" s="45" t="str">
        <f aca="false">IF(Tasks[[#This Row],[Task Name]]="","",LEFT(Tasks[[#This Row],[WBS]],FIND(".",Tasks[[#This Row],[WBS]]&amp;".")-1))</f>
        <v/>
      </c>
      <c r="FU94" s="45" t="str">
        <f aca="false">IF(AND(Tasks[[#This Row],[Task Name]]&lt;&gt;"",Tasks[[#This Row],[_Level]]=1),Tasks[[#This Row],[_Row]],"")</f>
        <v/>
      </c>
      <c r="FV94" s="45" t="str">
        <f aca="false">IF(AND(Tasks[[#This Row],[_IsLeaf]]=1,N(Tasks[[#This Row],[Duration]])=0),Tasks[[#This Row],[Planned Finish]]+Tasks[[#This Row],[_Row]]/100000,"")</f>
        <v/>
      </c>
      <c r="FW94" s="45" t="str">
        <f aca="false">IF(AND(Tasks[[#This Row],[_IsLeaf]]=1,Tasks[[#This Row],[_LeafProgress]]&lt;1,OR(N(Tasks[[#This Row],[Finish Var]])&gt;0,Tasks[[#This Row],[Status]]="Late Start")),MAX(0,Tasks[[#This Row],[Finish Var]])+1-Tasks[[#This Row],[_Row]]/1000000,"")</f>
        <v/>
      </c>
      <c r="FX94" s="45" t="str">
        <f aca="false">IF(AND(Tasks[[#This Row],[_IsLeaf]]=1,N(Tasks[[#This Row],[Actual Start]])=0,Tasks[[#This Row],[_ShownFcstStart]]&gt;=StatusDate,Tasks[[#This Row],[_ShownFcstStart]]&lt;=LookaheadEnd),Tasks[[#This Row],[_ShownFcstStart]]+Tasks[[#This Row],[_Row]]/100000,"")</f>
        <v/>
      </c>
      <c r="FY94" s="45" t="str">
        <f aca="false">IF(AND(Tasks[[#This Row],[_IsLeaf]]=1,Tasks[[#This Row],[_LeafProgress]]&lt;1,Tasks[[#This Row],[_ShownFcstFinish]]&gt;=StatusDate,Tasks[[#This Row],[_ShownFcstFinish]]&lt;=LookaheadEnd),Tasks[[#This Row],[_ShownFcstFinish]]+Tasks[[#This Row],[_Row]]/100000,"")</f>
        <v/>
      </c>
      <c r="FZ94" s="45" t="str">
        <f aca="false">IF(Tasks[[#This Row],[_LeafCritical]],Tasks[[#This Row],[_ShownFcstStart]]+Tasks[[#This Row],[_Row]]/100000,"")</f>
        <v/>
      </c>
      <c r="GA94" s="45" t="n">
        <f aca="false">Tasks[[#This Row],[_LeafWork]]*Tasks[[#This Row],[_LeafProgress]]</f>
        <v>0</v>
      </c>
      <c r="GB94" s="74" t="str">
        <f aca="false">IF(AND(Tasks[[#This Row],[_IsLeaf]]=1,Tasks[[#This Row],[_LeafProgress]]&gt;=1),IF(N(Tasks[[#This Row],[Actual Finish]])&gt;0,Tasks[[#This Row],[Actual Finish]],Tasks[[#This Row],[_ShownFcstFinish]]),"")</f>
        <v/>
      </c>
    </row>
    <row r="95" customFormat="false" ht="15" hidden="false" customHeight="false" outlineLevel="0" collapsed="false">
      <c r="A95" s="67" t="str">
        <f aca="false">IF(Tasks[[#This Row],[Task Name]]="","",COUNTA(Tasks[[#Headers],[Task Name]]:Tasks[[#This Row],[Task Name]])-1)</f>
        <v/>
      </c>
      <c r="B95" s="21" t="n">
        <v>90</v>
      </c>
      <c r="C9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21"/>
      <c r="E95" s="22"/>
      <c r="F95" s="21"/>
      <c r="G95" s="22"/>
      <c r="H95" s="22"/>
      <c r="I95" s="22"/>
      <c r="J95" s="7"/>
      <c r="K95" s="7"/>
      <c r="L95" s="22"/>
      <c r="M95" s="58" t="str">
        <f aca="false">IF(Tasks[[#This Row],[Task Name]]="","",IF(Tasks[[#This Row],[_IsSummary]],MIN(INDEX(Tasks[_ShownFcstStart],Tasks[[#This Row],[_Row]]+1):INDEX(Tasks[_ShownFcstStart],Tasks[[#This Row],[_Row]]+Tasks[[#This Row],[_Descendants]])),Tasks[[#This Row],[_ShownFcstStart]]))</f>
        <v/>
      </c>
      <c r="N95" s="58" t="str">
        <f aca="false">IF(Tasks[[#This Row],[Task Name]]="","",IF(Tasks[[#This Row],[_IsSummary]],MAX(INDEX(Tasks[_ShownFcstFinish],Tasks[[#This Row],[_Row]]+1):INDEX(Tasks[_ShownFcstFinish],Tasks[[#This Row],[_Row]]+Tasks[[#This Row],[_Descendants]])),Tasks[[#This Row],[_ShownFcstFinish]]))</f>
        <v/>
      </c>
      <c r="O95" s="20" t="str">
        <f aca="false">IF(Tasks[[#This Row],[Task Name]]="","",IF(Tasks[[#This Row],[Progress]]&gt;=1,"Complete",IF(OR(N(Tasks[[#This Row],[Actual Start]])&gt;0,Tasks[[#This Row],[Progress]]&gt;0),IF(Tasks[[#This Row],[Finish Var]]&gt;0,"Behind","In Progress"),IF(Tasks[[#This Row],[Planned Start]]&lt;StatusDate,"Late Start","Not Started"))))</f>
        <v/>
      </c>
      <c r="P95" s="20" t="str">
        <f aca="false">IF(Tasks[[#This Row],[Task Name]]="","",IF(IF(Tasks[[#This Row],[_IsSummary]],COUNTIF(INDEX(Tasks[_LeafCritical],Tasks[[#This Row],[_Row]]+1):INDEX(Tasks[_LeafCritical],Tasks[[#This Row],[_Row]]+Tasks[[#This Row],[_Descendants]]),TRUE())&gt;0,Tasks[[#This Row],[_LeafCritical]]),"Yes",""))</f>
        <v/>
      </c>
      <c r="Q9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95" s="67" t="str">
        <f aca="false">IF(Tasks[[#This Row],[Task Name]]="","",IF(Tasks[[#This Row],[_Level]]&lt;=OutlineShowLevel,"Yes","No"))</f>
        <v/>
      </c>
      <c r="S95" s="7"/>
      <c r="T95" s="21"/>
      <c r="U95" s="22"/>
      <c r="V95" s="7"/>
      <c r="W95" s="67" t="str">
        <f aca="false">IF(Tasks[[#This Row],[Task Name]]="","",IF(Tasks[[#This Row],[Finish]]&gt;=Tasks[[#This Row],[Planned Finish]],NETWORKDAYS.INTL(Tasks[[#This Row],[Planned Finish]],Tasks[[#This Row],[Finish]],WorkWeek,Holidays)-1,1-NETWORKDAYS.INTL(Tasks[[#This Row],[Finish]],Tasks[[#This Row],[Planned Finish]],WorkWeek,Holidays)))</f>
        <v/>
      </c>
      <c r="X95" s="58" t="str">
        <f aca="false">IF(Tasks[[#This Row],[Task Name]]="","",IF(N(Tasks[[#This Row],[Baseline Start]])&gt;0,Tasks[[#This Row],[Baseline Start]],Tasks[[#This Row],[_CalcStart]]))</f>
        <v/>
      </c>
      <c r="Y95" s="58" t="str">
        <f aca="false">IF(Tasks[[#This Row],[Task Name]]="","",IF(N(Tasks[[#This Row],[Baseline Finish]])&gt;0,Tasks[[#This Row],[Baseline Finish]],Tasks[[#This Row],[_CalcFinish]]))</f>
        <v/>
      </c>
      <c r="Z95" s="67" t="str">
        <f aca="false">IF(Tasks[[#This Row],[Task Name]]="","",IF(Tasks[[#This Row],[Start]]&gt;=Tasks[[#This Row],[Planned Start]],NETWORKDAYS.INTL(Tasks[[#This Row],[Planned Start]],Tasks[[#This Row],[Start]],WorkWeek,Holidays)-1,1-NETWORKDAYS.INTL(Tasks[[#This Row],[Start]],Tasks[[#This Row],[Planned Start]],WorkWeek,Holidays)))</f>
        <v/>
      </c>
      <c r="AA95" s="58" t="str">
        <f aca="false">IF(Tasks[[#This Row],[Task Name]]="","",IF(Tasks[[#This Row],[_IsSummary]],MIN(INDEX(Tasks[_LeafLateStart],Tasks[[#This Row],[_Row]]+1):INDEX(Tasks[_LeafLateStart],Tasks[[#This Row],[_Row]]+Tasks[[#This Row],[_Descendants]])),Tasks[[#This Row],[_LeafLateStart]]))</f>
        <v/>
      </c>
      <c r="AB95" s="58" t="str">
        <f aca="false">IF(Tasks[[#This Row],[Task Name]]="","",IF(Tasks[[#This Row],[_IsSummary]],MAX(INDEX(Tasks[_LeafLateFinish],Tasks[[#This Row],[_Row]]+1):INDEX(Tasks[_LeafLateFinish],Tasks[[#This Row],[_Row]]+Tasks[[#This Row],[_Descendants]])),Tasks[[#This Row],[_LeafLateFinish]]))</f>
        <v/>
      </c>
      <c r="AC95" s="67" t="str">
        <f aca="false">IF(Tasks[[#This Row],[Task Name]]="","",IF(Tasks[[#This Row],[_IsSummary]],MIN(INDEX(Tasks[_LeafTotalSlack],Tasks[[#This Row],[_Row]]+1):INDEX(Tasks[_LeafTotalSlack],Tasks[[#This Row],[_Row]]+Tasks[[#This Row],[_Descendants]])),Tasks[[#This Row],[_LeafTotalSlack]]))</f>
        <v/>
      </c>
      <c r="AD9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9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9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95" s="60"/>
      <c r="AH9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9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95" s="69" t="str">
        <f aca="false">IF(Tasks[[#This Row],[Task Name]]="","",IF(Tasks[[#This Row],[_IsSummary]],SUM(INDEX(Tasks[_LeafTotalWork],Tasks[[#This Row],[_Row]]+1):INDEX(Tasks[_LeafTotalWork],Tasks[[#This Row],[_Row]]+Tasks[[#This Row],[_Descendants]])),Tasks[[#This Row],[_LeafTotalWork]]))</f>
        <v/>
      </c>
      <c r="AK9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95" s="70" t="str">
        <f aca="false">IF(Tasks[[#This Row],[Task Name]]="","",IF(Tasks[[#This Row],[_IsSummary]],SUM(INDEX(Tasks[_LeafTotalCost],Tasks[[#This Row],[_Row]]+1):INDEX(Tasks[_LeafTotalCost],Tasks[[#This Row],[_Row]]+Tasks[[#This Row],[_Descendants]])),Tasks[[#This Row],[_LeafTotalCost]]))</f>
        <v/>
      </c>
      <c r="AM95" s="71"/>
      <c r="AN95" s="20" t="str">
        <f aca="false">IF(OR(Tasks[[#This Row],[Task Name]]="",Tasks[[#This Row],[Baseline Duration]]=""),"",Tasks[[#This Row],[BL Source Duration]]-N(Tasks[[#This Row],[Baseline Duration]]))</f>
        <v/>
      </c>
      <c r="AO95" s="69" t="str">
        <f aca="false">IF(OR(Tasks[[#This Row],[Task Name]]="",Tasks[[#This Row],[Baseline Work]]=""),"",Tasks[[#This Row],[Work]]-N(Tasks[[#This Row],[Baseline Work]]))</f>
        <v/>
      </c>
      <c r="AP95" s="70" t="str">
        <f aca="false">IF(OR(Tasks[[#This Row],[Task Name]]="",Tasks[[#This Row],[Baseline Cost]]=""),"",Tasks[[#This Row],[Cost]]-N(Tasks[[#This Row],[Baseline Cost]]))</f>
        <v/>
      </c>
      <c r="AQ95" s="58" t="str">
        <f aca="false">IF(Tasks[[#This Row],[Task Name]]="","",Tasks[[#This Row],[Start]])</f>
        <v/>
      </c>
      <c r="AR95" s="58" t="str">
        <f aca="false">IF(Tasks[[#This Row],[Task Name]]="","",Tasks[[#This Row],[Finish]])</f>
        <v/>
      </c>
      <c r="AS95" s="67" t="str">
        <f aca="false">IF(Tasks[[#This Row],[Task Name]]="","",IF(Tasks[[#This Row],[_IsSummary]],NETWORKDAYS.INTL(Tasks[[#This Row],[Start]],Tasks[[#This Row],[Finish]],WorkWeek,Holidays),N(Tasks[[#This Row],[Duration]])))</f>
        <v/>
      </c>
      <c r="AT95" s="69" t="str">
        <f aca="false">IF(Tasks[[#This Row],[Task Name]]="","",Tasks[[#This Row],[Work]])</f>
        <v/>
      </c>
      <c r="AU95" s="70" t="str">
        <f aca="false">IF(Tasks[[#This Row],[Task Name]]="","",Tasks[[#This Row],[Cost]])</f>
        <v/>
      </c>
      <c r="AV95" s="7"/>
      <c r="AW95" s="7"/>
      <c r="AX95" s="21"/>
      <c r="AY95" s="72"/>
      <c r="AZ95" s="71"/>
      <c r="BA95" s="70" t="str">
        <f aca="false">IF(Tasks[[#This Row],[Task Name]]="","",IF(Tasks[[#This Row],[_IsSummary]],SUM(INDEX(Tasks[_LeafEV],Tasks[[#This Row],[_Row]]+1):INDEX(Tasks[_LeafEV],Tasks[[#This Row],[_Row]]+Tasks[[#This Row],[_Descendants]])),Tasks[[#This Row],[_LeafEV]]))</f>
        <v/>
      </c>
      <c r="BB95" s="70" t="str">
        <f aca="false">IF(Tasks[[#This Row],[Task Name]]="","",IF(Tasks[[#This Row],[_IsSummary]],SUM(INDEX(Tasks[_LeafBudget],Tasks[[#This Row],[_Row]]+1):INDEX(Tasks[_LeafBudget],Tasks[[#This Row],[_Row]]+Tasks[[#This Row],[_Descendants]])),Tasks[[#This Row],[_LeafBudget]]))</f>
        <v/>
      </c>
      <c r="BC95" s="70" t="str">
        <f aca="false">IF(Tasks[[#This Row],[Task Name]]="","",IF(Tasks[[#This Row],[_IsSummary]],SUM(INDEX(Tasks[_LeafPV],Tasks[[#This Row],[_Row]]+1):INDEX(Tasks[_LeafPV],Tasks[[#This Row],[_Row]]+Tasks[[#This Row],[_Descendants]])),Tasks[[#This Row],[_LeafPV]]))</f>
        <v/>
      </c>
      <c r="BD95" s="70" t="str">
        <f aca="false">IF(Tasks[[#This Row],[Task Name]]="","",IF(Tasks[[#This Row],[_IsSummary]],SUM(INDEX(Tasks[_LeafAC],Tasks[[#This Row],[_Row]]+1):INDEX(Tasks[_LeafAC],Tasks[[#This Row],[_Row]]+Tasks[[#This Row],[_Descendants]])),Tasks[[#This Row],[_LeafAC]]))</f>
        <v/>
      </c>
      <c r="BE95" s="45" t="str">
        <f aca="false">IF(Tasks[[#This Row],[Task Name]]="","",MAX(1,N(Tasks[[#This Row],[Level]])))</f>
        <v/>
      </c>
      <c r="BF95" s="45" t="n">
        <f aca="false">ROW()-ROW(Tasks[[#Headers],[ID]])</f>
        <v>90</v>
      </c>
      <c r="BG95" s="45" t="n">
        <f aca="false">IF(OR(Tasks[[#This Row],[Task Name]]="",Tasks[[#This Row],[_Level]]&lt;=1),0,IFERROR(LOOKUP(2,1/(Tasks[[#Headers],[_Level]]:Tasks[[#This Row],[_Level]]=Tasks[[#This Row],[_Level]]-1),ROW(Tasks[[#Headers],[_Level]]:Tasks[[#This Row],[_Level]])),0))</f>
        <v>0</v>
      </c>
      <c r="BH95" s="45" t="n">
        <f aca="false">IFERROR(N(INDEX(Tasks[_Level],Tasks[[#This Row],[_Row]]+1)),0)</f>
        <v>0</v>
      </c>
      <c r="BI95" s="73" t="b">
        <f aca="false">AND(Tasks[[#This Row],[Task Name]]&lt;&gt;"",Tasks[[#This Row],[_NextLevel]]&gt;Tasks[[#This Row],[_Level]])</f>
        <v>0</v>
      </c>
      <c r="BJ95" s="45" t="n">
        <f aca="false">IF(Tasks[[#This Row],[_IsSummary]],COUNTIF(Tasks[WBS],Tasks[[#This Row],[WBS]]&amp;".*"),0)</f>
        <v>0</v>
      </c>
      <c r="BK95" s="45" t="n">
        <f aca="false">IF(AND(Tasks[[#This Row],[Task Name]]&lt;&gt;"",NOT(Tasks[[#This Row],[_IsSummary]])),1,0)</f>
        <v>0</v>
      </c>
      <c r="BL95" s="45" t="n">
        <f aca="false">IF(N(Tasks[[#This Row],[_Pred1UID]])=0,0,IFERROR(MATCH(Tasks[[#This Row],[_Pred1UID]],Tasks[UID],0),-1))</f>
        <v>0</v>
      </c>
      <c r="BM95" s="45" t="n">
        <f aca="false">IF(N(Tasks[[#This Row],[_Pred2UID]])=0,0,IFERROR(MATCH(Tasks[[#This Row],[_Pred2UID]],Tasks[UID],0),-1))</f>
        <v>0</v>
      </c>
      <c r="BN95" s="45" t="n">
        <f aca="false">IF(N(Tasks[[#This Row],[_Pred3UID]])=0,0,IFERROR(MATCH(Tasks[[#This Row],[_Pred3UID]],Tasks[UID],0),-1))</f>
        <v>0</v>
      </c>
      <c r="BO95" s="45" t="n">
        <f aca="false">IF(N(Tasks[[#This Row],[_Pred4UID]])=0,0,IFERROR(MATCH(Tasks[[#This Row],[_Pred4UID]],Tasks[UID],0),-1))</f>
        <v>0</v>
      </c>
      <c r="BP9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9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95" s="74" t="n">
        <f aca="false">IF(OR(Tasks[[#This Row],[_ConstraintCode]]=2,Tasks[[#This Row],[_ConstraintCode]]=3,Tasks[[#This Row],[_ConstraintCode]]=4,Tasks[[#This Row],[_ConstraintCode]]=6),Tasks[[#This Row],[_ConstraintStart]],0)</f>
        <v>0</v>
      </c>
      <c r="BS95" s="74" t="n">
        <f aca="false">IF(OR(Tasks[[#This Row],[_ConstraintCode]]=2,Tasks[[#This Row],[_ConstraintCode]]=3,Tasks[[#This Row],[_ConstraintCode]]=5,Tasks[[#This Row],[_ConstraintCode]]=7),Tasks[[#This Row],[_ConstraintStart]],2958465)</f>
        <v>2958465</v>
      </c>
      <c r="BT9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95" s="74" t="str">
        <f aca="false">IF(NOT(Tasks[[#This Row],[_IsLeaf]]=1),"",IF(N(Tasks[[#This Row],[Duration]])&lt;=0,Tasks[[#This Row],[_LeafCalcStart]],WORKDAY.INTL(Tasks[[#This Row],[_LeafCalcStart]],Tasks[[#This Row],[Duration]]-1,WorkWeek,Holidays)))</f>
        <v/>
      </c>
      <c r="BV9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9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95" s="45" t="str">
        <f aca="false">IF(Tasks[[#This Row],[Predecessors]]="","",TRIM(MID(SUBSTITUTE(SUBSTITUTE(SUBSTITUTE(UPPER(Tasks[[#This Row],[Predecessors]]),";",",")," ",""),",",REPT(" ",99)),1,99)))</f>
        <v/>
      </c>
      <c r="BY95" s="45" t="str">
        <f aca="false">IF(Tasks[[#This Row],[_Pred1Text]]="","",IFERROR(VALUE(LEFT(Tasks[[#This Row],[_Pred1Text]],MIN(FIND("F",Tasks[[#This Row],[_Pred1Text]]&amp;"F"),FIND("S",Tasks[[#This Row],[_Pred1Text]]&amp;"S"),FIND("+",Tasks[[#This Row],[_Pred1Text]]&amp;"+"),FIND("-",Tasks[[#This Row],[_Pred1Text]]&amp;"-"))-1)),""))</f>
        <v/>
      </c>
      <c r="BZ9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9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95" s="45" t="str">
        <f aca="false">IF(Tasks[[#This Row],[_Pred1Text]]="","",TRIM(MID(SUBSTITUTE(SUBSTITUTE(SUBSTITUTE(UPPER(Tasks[[#This Row],[Predecessors]]),";",",")," ",""),",",REPT(" ",99)),100,99)))</f>
        <v/>
      </c>
      <c r="CC95" s="45" t="str">
        <f aca="false">IF(Tasks[[#This Row],[_Pred2Text]]="","",IFERROR(VALUE(LEFT(Tasks[[#This Row],[_Pred2Text]],MIN(FIND("F",Tasks[[#This Row],[_Pred2Text]]&amp;"F"),FIND("S",Tasks[[#This Row],[_Pred2Text]]&amp;"S"),FIND("+",Tasks[[#This Row],[_Pred2Text]]&amp;"+"),FIND("-",Tasks[[#This Row],[_Pred2Text]]&amp;"-"))-1)),""))</f>
        <v/>
      </c>
      <c r="CD9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9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95" s="45" t="str">
        <f aca="false">IF(Tasks[[#This Row],[_Pred2Text]]="","",TRIM(MID(SUBSTITUTE(SUBSTITUTE(SUBSTITUTE(UPPER(Tasks[[#This Row],[Predecessors]]),";",",")," ",""),",",REPT(" ",99)),199,99)))</f>
        <v/>
      </c>
      <c r="CG95" s="45" t="str">
        <f aca="false">IF(Tasks[[#This Row],[_Pred3Text]]="","",IFERROR(VALUE(LEFT(Tasks[[#This Row],[_Pred3Text]],MIN(FIND("F",Tasks[[#This Row],[_Pred3Text]]&amp;"F"),FIND("S",Tasks[[#This Row],[_Pred3Text]]&amp;"S"),FIND("+",Tasks[[#This Row],[_Pred3Text]]&amp;"+"),FIND("-",Tasks[[#This Row],[_Pred3Text]]&amp;"-"))-1)),""))</f>
        <v/>
      </c>
      <c r="CH9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9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95" s="45" t="str">
        <f aca="false">IF(Tasks[[#This Row],[_Pred3Text]]="","",TRIM(MID(SUBSTITUTE(SUBSTITUTE(SUBSTITUTE(UPPER(Tasks[[#This Row],[Predecessors]]),";",",")," ",""),",",REPT(" ",99)),298,99)))</f>
        <v/>
      </c>
      <c r="CK95" s="45" t="str">
        <f aca="false">IF(Tasks[[#This Row],[_Pred4Text]]="","",IFERROR(VALUE(LEFT(Tasks[[#This Row],[_Pred4Text]],MIN(FIND("F",Tasks[[#This Row],[_Pred4Text]]&amp;"F"),FIND("S",Tasks[[#This Row],[_Pred4Text]]&amp;"S"),FIND("+",Tasks[[#This Row],[_Pred4Text]]&amp;"+"),FIND("-",Tasks[[#This Row],[_Pred4Text]]&amp;"-"))-1)),""))</f>
        <v/>
      </c>
      <c r="CL9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9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95" s="45" t="str">
        <f aca="false">IF(OR(Tasks[[#This Row],[Task Name]]="",Tasks[[#This Row],[Resources]]=""),"",TRIM(MID(SUBSTITUTE(Tasks[[#This Row],[Resources]],",",REPT(" ",99)),1,99)))</f>
        <v/>
      </c>
      <c r="CO95" s="45" t="str">
        <f aca="false">IF(Tasks[[#This Row],[_Res1Text]]="","",TRIM(MID(SUBSTITUTE(Tasks[[#This Row],[Resources]],",",REPT(" ",99)),100,99)))</f>
        <v/>
      </c>
      <c r="CP95" s="45" t="str">
        <f aca="false">IF(Tasks[[#This Row],[_Res2Text]]="","",TRIM(MID(SUBSTITUTE(Tasks[[#This Row],[Resources]],",",REPT(" ",99)),199,99)))</f>
        <v/>
      </c>
      <c r="CQ95" s="45" t="str">
        <f aca="false">IF(Tasks[[#This Row],[_Res3Text]]="","",TRIM(MID(SUBSTITUTE(Tasks[[#This Row],[Resources]],",",REPT(" ",99)),298,99)))</f>
        <v/>
      </c>
      <c r="CR9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9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5" s="45" t="n">
        <f aca="false">IF(NOT(Tasks[[#This Row],[_IsLeaf]]=1),0,(Tasks[[#This Row],[_Resource1]]&lt;&gt;"")+(Tasks[[#This Row],[_Res2]]&lt;&gt;"")+(Tasks[[#This Row],[_Res3]]&lt;&gt;"")+(Tasks[[#This Row],[_Res4]]&lt;&gt;""))</f>
        <v>0</v>
      </c>
      <c r="CU9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9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5" s="45" t="n">
        <f aca="false">IF(OR(NOT(Tasks[[#This Row],[_IsLeaf]]=1),Tasks[[#This Row],[_Res2]]=""),0,IF(ISNA(MATCH(Tasks[[#This Row],[_Res2]],res_Name,0)),0,N(Tasks[[#This Row],[Duration]])*HoursPerDay*IF(Tasks[[#This Row],[_Res2Units]]="",DefaultUnits,Tasks[[#This Row],[_Res2Units]])))</f>
        <v>0</v>
      </c>
      <c r="CX95" s="45" t="n">
        <f aca="false">IF(Tasks[[#This Row],[_Res2Work]]=0,0,Tasks[[#This Row],[_Res2Work]]*IFERROR(INDEX(res_Rate,MATCH(Tasks[[#This Row],[_Res2]],res_Name,0)),0))</f>
        <v>0</v>
      </c>
      <c r="CY95" s="45" t="n">
        <f aca="false">IF(AND(AND(Tasks[[#This Row],[_IsLeaf]]=1,Tasks[[#This Row],[_LeafTotalWork]]&gt;0),Tasks[[#This Row],[_Res2Work]]&gt;0),Tasks[[#This Row],[_Res2Work]]/(Tasks[[#This Row],[_FinishWorkday]]-Tasks[[#This Row],[_StartWorkday]]+1),0)</f>
        <v>0</v>
      </c>
      <c r="CZ95" s="45" t="n">
        <f aca="false">Tasks[[#This Row],[_Res2WorkPerWD]]*MAX(0,Tasks[[#This Row],[_StartWorkday]]-1)</f>
        <v>0</v>
      </c>
      <c r="DA95" s="45" t="n">
        <f aca="false">Tasks[[#This Row],[_Res2Work]]*Tasks[[#This Row],[_LeafProgress]]</f>
        <v>0</v>
      </c>
      <c r="DB95" s="45" t="n">
        <f aca="false">IF(Tasks[[#This Row],[_LeafTotalCost]]=0,0,Tasks[[#This Row],[_LeafAC]]*Tasks[[#This Row],[_Res2Cost]]/Tasks[[#This Row],[_LeafTotalCost]])</f>
        <v>0</v>
      </c>
      <c r="DC9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9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95" s="45" t="n">
        <f aca="false">IF(OR(NOT(Tasks[[#This Row],[_IsLeaf]]=1),Tasks[[#This Row],[_Res3]]=""),0,IF(ISNA(MATCH(Tasks[[#This Row],[_Res3]],res_Name,0)),0,N(Tasks[[#This Row],[Duration]])*HoursPerDay*IF(Tasks[[#This Row],[_Res3Units]]="",DefaultUnits,Tasks[[#This Row],[_Res3Units]])))</f>
        <v>0</v>
      </c>
      <c r="DF95" s="45" t="n">
        <f aca="false">IF(Tasks[[#This Row],[_Res3Work]]=0,0,Tasks[[#This Row],[_Res3Work]]*IFERROR(INDEX(res_Rate,MATCH(Tasks[[#This Row],[_Res3]],res_Name,0)),0))</f>
        <v>0</v>
      </c>
      <c r="DG95" s="45" t="n">
        <f aca="false">IF(AND(AND(Tasks[[#This Row],[_IsLeaf]]=1,Tasks[[#This Row],[_LeafTotalWork]]&gt;0),Tasks[[#This Row],[_Res3Work]]&gt;0),Tasks[[#This Row],[_Res3Work]]/(Tasks[[#This Row],[_FinishWorkday]]-Tasks[[#This Row],[_StartWorkday]]+1),0)</f>
        <v>0</v>
      </c>
      <c r="DH95" s="45" t="n">
        <f aca="false">Tasks[[#This Row],[_Res3WorkPerWD]]*MAX(0,Tasks[[#This Row],[_StartWorkday]]-1)</f>
        <v>0</v>
      </c>
      <c r="DI95" s="45" t="n">
        <f aca="false">Tasks[[#This Row],[_Res3Work]]*Tasks[[#This Row],[_LeafProgress]]</f>
        <v>0</v>
      </c>
      <c r="DJ95" s="45" t="n">
        <f aca="false">IF(Tasks[[#This Row],[_LeafTotalCost]]=0,0,Tasks[[#This Row],[_LeafAC]]*Tasks[[#This Row],[_Res3Cost]]/Tasks[[#This Row],[_LeafTotalCost]])</f>
        <v>0</v>
      </c>
      <c r="DK9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9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95" s="45" t="n">
        <f aca="false">IF(OR(NOT(Tasks[[#This Row],[_IsLeaf]]=1),Tasks[[#This Row],[_Res4]]=""),0,IF(ISNA(MATCH(Tasks[[#This Row],[_Res4]],res_Name,0)),0,N(Tasks[[#This Row],[Duration]])*HoursPerDay*IF(Tasks[[#This Row],[_Res4Units]]="",DefaultUnits,Tasks[[#This Row],[_Res4Units]])))</f>
        <v>0</v>
      </c>
      <c r="DN95" s="45" t="n">
        <f aca="false">IF(Tasks[[#This Row],[_Res4Work]]=0,0,Tasks[[#This Row],[_Res4Work]]*IFERROR(INDEX(res_Rate,MATCH(Tasks[[#This Row],[_Res4]],res_Name,0)),0))</f>
        <v>0</v>
      </c>
      <c r="DO95" s="45" t="n">
        <f aca="false">IF(AND(AND(Tasks[[#This Row],[_IsLeaf]]=1,Tasks[[#This Row],[_LeafTotalWork]]&gt;0),Tasks[[#This Row],[_Res4Work]]&gt;0),Tasks[[#This Row],[_Res4Work]]/(Tasks[[#This Row],[_FinishWorkday]]-Tasks[[#This Row],[_StartWorkday]]+1),0)</f>
        <v>0</v>
      </c>
      <c r="DP95" s="45" t="n">
        <f aca="false">Tasks[[#This Row],[_Res4WorkPerWD]]*MAX(0,Tasks[[#This Row],[_StartWorkday]]-1)</f>
        <v>0</v>
      </c>
      <c r="DQ95" s="45" t="n">
        <f aca="false">Tasks[[#This Row],[_Res4Work]]*Tasks[[#This Row],[_LeafProgress]]</f>
        <v>0</v>
      </c>
      <c r="DR95" s="45" t="n">
        <f aca="false">IF(Tasks[[#This Row],[_LeafTotalCost]]=0,0,Tasks[[#This Row],[_LeafAC]]*Tasks[[#This Row],[_Res4Cost]]/Tasks[[#This Row],[_LeafTotalCost]])</f>
        <v>0</v>
      </c>
      <c r="DS95" s="45" t="n">
        <f aca="false">IF(ISNUMBER(Tasks[[#This Row],[% Complete]]),Tasks[[#This Row],[% Complete]],IF(Tasks[[#This Row],[Stage]]="",0,IFERROR(INDEX(stg_Pct,MATCH(Tasks[[#This Row],[Stage]],stg_Name,0)),0)))</f>
        <v>0</v>
      </c>
      <c r="DT95" s="45" t="n">
        <f aca="false">IF(NOT(Tasks[[#This Row],[_IsLeaf]]=1),0,IF(N(Tasks[[#This Row],[Actual Finish]])&gt;0,1,MIN(1,Tasks[[#This Row],[_Pct]])))</f>
        <v>0</v>
      </c>
      <c r="DU95" s="45" t="n">
        <f aca="false">IF(OR(NOT(Tasks[[#This Row],[_IsLeaf]]=1),Tasks[[#This Row],[_Resource1]]=""),0,IF(ISNA(MATCH(Tasks[[#This Row],[_Resource1]],res_Name,0)),0,N(Tasks[[#This Row],[Duration]])*HoursPerDay*IF(Tasks[[#This Row],[_Units1]]="",DefaultUnits,Tasks[[#This Row],[_Units1]])))</f>
        <v>0</v>
      </c>
      <c r="DV95" s="45" t="n">
        <f aca="false">IF(Tasks[[#This Row],[_LeafWork]]=0,0,Tasks[[#This Row],[_LeafWork]]*IFERROR(INDEX(res_Rate,MATCH(Tasks[[#This Row],[_Resource1]],res_Name,0)),0))</f>
        <v>0</v>
      </c>
      <c r="DW95" s="45" t="n">
        <f aca="false">Tasks[[#This Row],[_LeafWork]]+Tasks[[#This Row],[_Res2Work]]+Tasks[[#This Row],[_Res3Work]]+Tasks[[#This Row],[_Res4Work]]</f>
        <v>0</v>
      </c>
      <c r="DX95" s="45" t="n">
        <f aca="false">Tasks[[#This Row],[_LeafCost]]+Tasks[[#This Row],[_Res2Cost]]+Tasks[[#This Row],[_Res3Cost]]+Tasks[[#This Row],[_Res4Cost]]</f>
        <v>0</v>
      </c>
      <c r="DY95" s="45" t="n">
        <f aca="false">IF(Tasks[[#This Row],[_LeafTotalCost]]=0,Tasks[[#This Row],[_LeafAC]],Tasks[[#This Row],[_LeafAC]]*Tasks[[#This Row],[_LeafCost]]/Tasks[[#This Row],[_LeafTotalCost]])</f>
        <v>0</v>
      </c>
      <c r="DZ9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9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9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9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9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9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9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9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95" s="45" t="n">
        <f aca="false">IF(NOT(Tasks[[#This Row],[_IsLeaf]]=1),0,MAX(_xlfn.MAXIFS(Tasks[_Row],Tasks[_Pred1UID],Tasks[[#This Row],[UID]]),_xlfn.MAXIFS(Tasks[_Row],Tasks[_Pred2UID],Tasks[[#This Row],[UID]]),_xlfn.MAXIFS(Tasks[_Row],Tasks[_Pred3UID],Tasks[[#This Row],[UID]]),_xlfn.MAXIFS(Tasks[_Row],Tasks[_Pred4UID],Tasks[[#This Row],[UID]])))</f>
        <v>0</v>
      </c>
      <c r="EI9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9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95" s="74" t="str">
        <f aca="false">IF(NOT(Tasks[[#This Row],[_IsLeaf]]=1),"",IF(N(Tasks[[#This Row],[Duration]])&lt;=0,Tasks[[#This Row],[_LeafLateFinish]],WORKDAY.INTL(Tasks[[#This Row],[_LeafLateFinish]],-(Tasks[[#This Row],[Duration]]-1),WorkWeek,Holidays)))</f>
        <v/>
      </c>
      <c r="EL9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95" s="73" t="b">
        <f aca="false">AND(Tasks[[#This Row],[_IsLeaf]]=1,Tasks[[#This Row],[_LeafProgress]]&lt;1,N(Tasks[[#This Row],[_LeafTotalSlack]])&lt;=CriticalSlackDays)</f>
        <v>0</v>
      </c>
      <c r="EN95" s="45" t="n">
        <f aca="false">IF(AND(Tasks[[#This Row],[_IsLeaf]]=1,Tasks[[#This Row],[_ConstraintCode]]=1,Tasks[[#This Row],[Mode]]&lt;&gt;"Manual",N(Tasks[[#This Row],[Actual Start]])=0),MAX(0,N(Tasks[[#This Row],[Free Slack]])),0)</f>
        <v>0</v>
      </c>
      <c r="EO95" s="74" t="str">
        <f aca="false">IF(NOT(Tasks[[#This Row],[_IsLeaf]]=1),"",IF(Tasks[[#This Row],[_AlapShift]]=0,Tasks[[#This Row],[_LeafCalcStart]],WORKDAY.INTL(Tasks[[#This Row],[_LeafCalcStart]],Tasks[[#This Row],[_AlapShift]],WorkWeek,Holidays)))</f>
        <v/>
      </c>
      <c r="EP95" s="74" t="str">
        <f aca="false">IF(NOT(Tasks[[#This Row],[_IsLeaf]]=1),"",IF(Tasks[[#This Row],[_AlapShift]]=0,Tasks[[#This Row],[_LeafCalcFinish]],WORKDAY.INTL(Tasks[[#This Row],[_LeafCalcFinish]],Tasks[[#This Row],[_AlapShift]],WorkWeek,Holidays)))</f>
        <v/>
      </c>
      <c r="EQ95" s="74" t="str">
        <f aca="false">IF(NOT(Tasks[[#This Row],[_IsLeaf]]=1),"",IF(Tasks[[#This Row],[_AlapShift]]=0,Tasks[[#This Row],[_LeafFcstStart]],WORKDAY.INTL(Tasks[[#This Row],[_LeafFcstStart]],Tasks[[#This Row],[_AlapShift]],WorkWeek,Holidays)))</f>
        <v/>
      </c>
      <c r="ER95" s="74" t="str">
        <f aca="false">IF(NOT(Tasks[[#This Row],[_IsLeaf]]=1),"",IF(Tasks[[#This Row],[_AlapShift]]=0,Tasks[[#This Row],[_LeafFcstFinish]],WORKDAY.INTL(Tasks[[#This Row],[_LeafFcstFinish]],Tasks[[#This Row],[_AlapShift]],WorkWeek,Holidays)))</f>
        <v/>
      </c>
      <c r="ES95" s="74" t="str">
        <f aca="false">IF(Tasks[[#This Row],[Task Name]]="","",IF(Tasks[[#This Row],[_IsSummary]],MIN(INDEX(Tasks[_ShownCalcStart],Tasks[[#This Row],[_Row]]+1):INDEX(Tasks[_ShownCalcStart],Tasks[[#This Row],[_Row]]+Tasks[[#This Row],[_Descendants]])),Tasks[[#This Row],[_ShownCalcStart]]))</f>
        <v/>
      </c>
      <c r="ET95" s="74" t="str">
        <f aca="false">IF(Tasks[[#This Row],[Task Name]]="","",IF(Tasks[[#This Row],[_IsSummary]],MAX(INDEX(Tasks[_ShownCalcFinish],Tasks[[#This Row],[_Row]]+1):INDEX(Tasks[_ShownCalcFinish],Tasks[[#This Row],[_Row]]+Tasks[[#This Row],[_Descendants]])),Tasks[[#This Row],[_ShownCalcFinish]]))</f>
        <v/>
      </c>
      <c r="EU9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9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9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9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9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9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9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9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9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9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9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9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95" s="45" t="n">
        <f aca="false">IF(AND(Tasks[[#This Row],[_IsLeaf]]=1,Tasks[[#This Row],[_LeafTotalWork]]&gt;0),NETWORKDAYS.INTL(ProjectStart,Tasks[[#This Row],[_ShownFcstStart]],WorkWeek,Holidays),0)</f>
        <v>0</v>
      </c>
      <c r="FH95" s="45" t="n">
        <f aca="false">IF(AND(Tasks[[#This Row],[_IsLeaf]]=1,Tasks[[#This Row],[_LeafTotalWork]]&gt;0),MAX(Tasks[[#This Row],[_StartWorkday]],NETWORKDAYS.INTL(ProjectStart,Tasks[[#This Row],[_ShownFcstFinish]],WorkWeek,Holidays)),0)</f>
        <v>0</v>
      </c>
      <c r="FI95" s="45" t="n">
        <f aca="false">IF(AND(Tasks[[#This Row],[_IsLeaf]]=1,Tasks[[#This Row],[_LeafTotalWork]]&gt;0),Tasks[[#This Row],[_LeafWork]]/(Tasks[[#This Row],[_FinishWorkday]]-Tasks[[#This Row],[_StartWorkday]]+1),0)</f>
        <v>0</v>
      </c>
      <c r="FJ95" s="45" t="n">
        <f aca="false">Tasks[[#This Row],[_WorkPerWorkday]]*(Tasks[[#This Row],[_StartWorkday]]-1)</f>
        <v>-0</v>
      </c>
      <c r="FK95" s="45" t="n">
        <f aca="false">IF(Tasks[[#This Row],[_IsLeaf]]=1,MAX(N(Tasks[[#This Row],[Duration]]),0.1),0)</f>
        <v>0</v>
      </c>
      <c r="FL95" s="45" t="n">
        <f aca="false">Tasks[[#This Row],[_WeightDur]]*Tasks[[#This Row],[_LeafProgress]]</f>
        <v>0</v>
      </c>
      <c r="FM9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95" s="45" t="str">
        <f aca="false">IF(AND(Tasks[[#This Row],[_IsLeaf]]=1,N(Tasks[[#This Row],[Duration]])=0,Tasks[[#This Row],[_LeafProgress]]&lt;1),Tasks[[#This Row],[_ShownFcstFinish]]+Tasks[[#This Row],[_Row]]/100000,"")</f>
        <v/>
      </c>
      <c r="FO9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95" s="45" t="n">
        <f aca="false">IF(NOT(Tasks[[#This Row],[_IsLeaf]]=1),0,IF(Tasks[[#This Row],[Baseline Cost]]="",Tasks[[#This Row],[_LeafTotalCost]],N(Tasks[[#This Row],[Baseline Cost]])))</f>
        <v>0</v>
      </c>
      <c r="FQ95" s="45" t="n">
        <f aca="false">Tasks[[#This Row],[_LeafBudget]]*Tasks[[#This Row],[_PlannedPct]]</f>
        <v>0</v>
      </c>
      <c r="FR95" s="45" t="n">
        <f aca="false">Tasks[[#This Row],[_LeafBudget]]*Tasks[[#This Row],[_LeafProgress]]</f>
        <v>0</v>
      </c>
      <c r="FS95" s="45" t="n">
        <f aca="false">IF(NOT(Tasks[[#This Row],[_IsLeaf]]=1),0,IF(Tasks[[#This Row],[Actual Cost]]="",Tasks[[#This Row],[_LeafTotalCost]]*Tasks[[#This Row],[_LeafProgress]],N(Tasks[[#This Row],[Actual Cost]])))</f>
        <v>0</v>
      </c>
      <c r="FT95" s="45" t="str">
        <f aca="false">IF(Tasks[[#This Row],[Task Name]]="","",LEFT(Tasks[[#This Row],[WBS]],FIND(".",Tasks[[#This Row],[WBS]]&amp;".")-1))</f>
        <v/>
      </c>
      <c r="FU95" s="45" t="str">
        <f aca="false">IF(AND(Tasks[[#This Row],[Task Name]]&lt;&gt;"",Tasks[[#This Row],[_Level]]=1),Tasks[[#This Row],[_Row]],"")</f>
        <v/>
      </c>
      <c r="FV95" s="45" t="str">
        <f aca="false">IF(AND(Tasks[[#This Row],[_IsLeaf]]=1,N(Tasks[[#This Row],[Duration]])=0),Tasks[[#This Row],[Planned Finish]]+Tasks[[#This Row],[_Row]]/100000,"")</f>
        <v/>
      </c>
      <c r="FW95" s="45" t="str">
        <f aca="false">IF(AND(Tasks[[#This Row],[_IsLeaf]]=1,Tasks[[#This Row],[_LeafProgress]]&lt;1,OR(N(Tasks[[#This Row],[Finish Var]])&gt;0,Tasks[[#This Row],[Status]]="Late Start")),MAX(0,Tasks[[#This Row],[Finish Var]])+1-Tasks[[#This Row],[_Row]]/1000000,"")</f>
        <v/>
      </c>
      <c r="FX95" s="45" t="str">
        <f aca="false">IF(AND(Tasks[[#This Row],[_IsLeaf]]=1,N(Tasks[[#This Row],[Actual Start]])=0,Tasks[[#This Row],[_ShownFcstStart]]&gt;=StatusDate,Tasks[[#This Row],[_ShownFcstStart]]&lt;=LookaheadEnd),Tasks[[#This Row],[_ShownFcstStart]]+Tasks[[#This Row],[_Row]]/100000,"")</f>
        <v/>
      </c>
      <c r="FY95" s="45" t="str">
        <f aca="false">IF(AND(Tasks[[#This Row],[_IsLeaf]]=1,Tasks[[#This Row],[_LeafProgress]]&lt;1,Tasks[[#This Row],[_ShownFcstFinish]]&gt;=StatusDate,Tasks[[#This Row],[_ShownFcstFinish]]&lt;=LookaheadEnd),Tasks[[#This Row],[_ShownFcstFinish]]+Tasks[[#This Row],[_Row]]/100000,"")</f>
        <v/>
      </c>
      <c r="FZ95" s="45" t="str">
        <f aca="false">IF(Tasks[[#This Row],[_LeafCritical]],Tasks[[#This Row],[_ShownFcstStart]]+Tasks[[#This Row],[_Row]]/100000,"")</f>
        <v/>
      </c>
      <c r="GA95" s="45" t="n">
        <f aca="false">Tasks[[#This Row],[_LeafWork]]*Tasks[[#This Row],[_LeafProgress]]</f>
        <v>0</v>
      </c>
      <c r="GB95" s="74" t="str">
        <f aca="false">IF(AND(Tasks[[#This Row],[_IsLeaf]]=1,Tasks[[#This Row],[_LeafProgress]]&gt;=1),IF(N(Tasks[[#This Row],[Actual Finish]])&gt;0,Tasks[[#This Row],[Actual Finish]],Tasks[[#This Row],[_ShownFcstFinish]]),"")</f>
        <v/>
      </c>
    </row>
    <row r="96" customFormat="false" ht="15" hidden="false" customHeight="false" outlineLevel="0" collapsed="false">
      <c r="A96" s="67" t="str">
        <f aca="false">IF(Tasks[[#This Row],[Task Name]]="","",COUNTA(Tasks[[#Headers],[Task Name]]:Tasks[[#This Row],[Task Name]])-1)</f>
        <v/>
      </c>
      <c r="B96" s="21" t="n">
        <v>91</v>
      </c>
      <c r="C9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21"/>
      <c r="E96" s="22"/>
      <c r="F96" s="21"/>
      <c r="G96" s="22"/>
      <c r="H96" s="22"/>
      <c r="I96" s="22"/>
      <c r="J96" s="7"/>
      <c r="K96" s="7"/>
      <c r="L96" s="22"/>
      <c r="M96" s="58" t="str">
        <f aca="false">IF(Tasks[[#This Row],[Task Name]]="","",IF(Tasks[[#This Row],[_IsSummary]],MIN(INDEX(Tasks[_ShownFcstStart],Tasks[[#This Row],[_Row]]+1):INDEX(Tasks[_ShownFcstStart],Tasks[[#This Row],[_Row]]+Tasks[[#This Row],[_Descendants]])),Tasks[[#This Row],[_ShownFcstStart]]))</f>
        <v/>
      </c>
      <c r="N96" s="58" t="str">
        <f aca="false">IF(Tasks[[#This Row],[Task Name]]="","",IF(Tasks[[#This Row],[_IsSummary]],MAX(INDEX(Tasks[_ShownFcstFinish],Tasks[[#This Row],[_Row]]+1):INDEX(Tasks[_ShownFcstFinish],Tasks[[#This Row],[_Row]]+Tasks[[#This Row],[_Descendants]])),Tasks[[#This Row],[_ShownFcstFinish]]))</f>
        <v/>
      </c>
      <c r="O96" s="20" t="str">
        <f aca="false">IF(Tasks[[#This Row],[Task Name]]="","",IF(Tasks[[#This Row],[Progress]]&gt;=1,"Complete",IF(OR(N(Tasks[[#This Row],[Actual Start]])&gt;0,Tasks[[#This Row],[Progress]]&gt;0),IF(Tasks[[#This Row],[Finish Var]]&gt;0,"Behind","In Progress"),IF(Tasks[[#This Row],[Planned Start]]&lt;StatusDate,"Late Start","Not Started"))))</f>
        <v/>
      </c>
      <c r="P96" s="20" t="str">
        <f aca="false">IF(Tasks[[#This Row],[Task Name]]="","",IF(IF(Tasks[[#This Row],[_IsSummary]],COUNTIF(INDEX(Tasks[_LeafCritical],Tasks[[#This Row],[_Row]]+1):INDEX(Tasks[_LeafCritical],Tasks[[#This Row],[_Row]]+Tasks[[#This Row],[_Descendants]]),TRUE())&gt;0,Tasks[[#This Row],[_LeafCritical]]),"Yes",""))</f>
        <v/>
      </c>
      <c r="Q9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96" s="67" t="str">
        <f aca="false">IF(Tasks[[#This Row],[Task Name]]="","",IF(Tasks[[#This Row],[_Level]]&lt;=OutlineShowLevel,"Yes","No"))</f>
        <v/>
      </c>
      <c r="S96" s="7"/>
      <c r="T96" s="21"/>
      <c r="U96" s="22"/>
      <c r="V96" s="7"/>
      <c r="W96" s="67" t="str">
        <f aca="false">IF(Tasks[[#This Row],[Task Name]]="","",IF(Tasks[[#This Row],[Finish]]&gt;=Tasks[[#This Row],[Planned Finish]],NETWORKDAYS.INTL(Tasks[[#This Row],[Planned Finish]],Tasks[[#This Row],[Finish]],WorkWeek,Holidays)-1,1-NETWORKDAYS.INTL(Tasks[[#This Row],[Finish]],Tasks[[#This Row],[Planned Finish]],WorkWeek,Holidays)))</f>
        <v/>
      </c>
      <c r="X96" s="58" t="str">
        <f aca="false">IF(Tasks[[#This Row],[Task Name]]="","",IF(N(Tasks[[#This Row],[Baseline Start]])&gt;0,Tasks[[#This Row],[Baseline Start]],Tasks[[#This Row],[_CalcStart]]))</f>
        <v/>
      </c>
      <c r="Y96" s="58" t="str">
        <f aca="false">IF(Tasks[[#This Row],[Task Name]]="","",IF(N(Tasks[[#This Row],[Baseline Finish]])&gt;0,Tasks[[#This Row],[Baseline Finish]],Tasks[[#This Row],[_CalcFinish]]))</f>
        <v/>
      </c>
      <c r="Z96" s="67" t="str">
        <f aca="false">IF(Tasks[[#This Row],[Task Name]]="","",IF(Tasks[[#This Row],[Start]]&gt;=Tasks[[#This Row],[Planned Start]],NETWORKDAYS.INTL(Tasks[[#This Row],[Planned Start]],Tasks[[#This Row],[Start]],WorkWeek,Holidays)-1,1-NETWORKDAYS.INTL(Tasks[[#This Row],[Start]],Tasks[[#This Row],[Planned Start]],WorkWeek,Holidays)))</f>
        <v/>
      </c>
      <c r="AA96" s="58" t="str">
        <f aca="false">IF(Tasks[[#This Row],[Task Name]]="","",IF(Tasks[[#This Row],[_IsSummary]],MIN(INDEX(Tasks[_LeafLateStart],Tasks[[#This Row],[_Row]]+1):INDEX(Tasks[_LeafLateStart],Tasks[[#This Row],[_Row]]+Tasks[[#This Row],[_Descendants]])),Tasks[[#This Row],[_LeafLateStart]]))</f>
        <v/>
      </c>
      <c r="AB96" s="58" t="str">
        <f aca="false">IF(Tasks[[#This Row],[Task Name]]="","",IF(Tasks[[#This Row],[_IsSummary]],MAX(INDEX(Tasks[_LeafLateFinish],Tasks[[#This Row],[_Row]]+1):INDEX(Tasks[_LeafLateFinish],Tasks[[#This Row],[_Row]]+Tasks[[#This Row],[_Descendants]])),Tasks[[#This Row],[_LeafLateFinish]]))</f>
        <v/>
      </c>
      <c r="AC96" s="67" t="str">
        <f aca="false">IF(Tasks[[#This Row],[Task Name]]="","",IF(Tasks[[#This Row],[_IsSummary]],MIN(INDEX(Tasks[_LeafTotalSlack],Tasks[[#This Row],[_Row]]+1):INDEX(Tasks[_LeafTotalSlack],Tasks[[#This Row],[_Row]]+Tasks[[#This Row],[_Descendants]])),Tasks[[#This Row],[_LeafTotalSlack]]))</f>
        <v/>
      </c>
      <c r="AD9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9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9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96" s="60"/>
      <c r="AH9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9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96" s="69" t="str">
        <f aca="false">IF(Tasks[[#This Row],[Task Name]]="","",IF(Tasks[[#This Row],[_IsSummary]],SUM(INDEX(Tasks[_LeafTotalWork],Tasks[[#This Row],[_Row]]+1):INDEX(Tasks[_LeafTotalWork],Tasks[[#This Row],[_Row]]+Tasks[[#This Row],[_Descendants]])),Tasks[[#This Row],[_LeafTotalWork]]))</f>
        <v/>
      </c>
      <c r="AK9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96" s="70" t="str">
        <f aca="false">IF(Tasks[[#This Row],[Task Name]]="","",IF(Tasks[[#This Row],[_IsSummary]],SUM(INDEX(Tasks[_LeafTotalCost],Tasks[[#This Row],[_Row]]+1):INDEX(Tasks[_LeafTotalCost],Tasks[[#This Row],[_Row]]+Tasks[[#This Row],[_Descendants]])),Tasks[[#This Row],[_LeafTotalCost]]))</f>
        <v/>
      </c>
      <c r="AM96" s="71"/>
      <c r="AN96" s="20" t="str">
        <f aca="false">IF(OR(Tasks[[#This Row],[Task Name]]="",Tasks[[#This Row],[Baseline Duration]]=""),"",Tasks[[#This Row],[BL Source Duration]]-N(Tasks[[#This Row],[Baseline Duration]]))</f>
        <v/>
      </c>
      <c r="AO96" s="69" t="str">
        <f aca="false">IF(OR(Tasks[[#This Row],[Task Name]]="",Tasks[[#This Row],[Baseline Work]]=""),"",Tasks[[#This Row],[Work]]-N(Tasks[[#This Row],[Baseline Work]]))</f>
        <v/>
      </c>
      <c r="AP96" s="70" t="str">
        <f aca="false">IF(OR(Tasks[[#This Row],[Task Name]]="",Tasks[[#This Row],[Baseline Cost]]=""),"",Tasks[[#This Row],[Cost]]-N(Tasks[[#This Row],[Baseline Cost]]))</f>
        <v/>
      </c>
      <c r="AQ96" s="58" t="str">
        <f aca="false">IF(Tasks[[#This Row],[Task Name]]="","",Tasks[[#This Row],[Start]])</f>
        <v/>
      </c>
      <c r="AR96" s="58" t="str">
        <f aca="false">IF(Tasks[[#This Row],[Task Name]]="","",Tasks[[#This Row],[Finish]])</f>
        <v/>
      </c>
      <c r="AS96" s="67" t="str">
        <f aca="false">IF(Tasks[[#This Row],[Task Name]]="","",IF(Tasks[[#This Row],[_IsSummary]],NETWORKDAYS.INTL(Tasks[[#This Row],[Start]],Tasks[[#This Row],[Finish]],WorkWeek,Holidays),N(Tasks[[#This Row],[Duration]])))</f>
        <v/>
      </c>
      <c r="AT96" s="69" t="str">
        <f aca="false">IF(Tasks[[#This Row],[Task Name]]="","",Tasks[[#This Row],[Work]])</f>
        <v/>
      </c>
      <c r="AU96" s="70" t="str">
        <f aca="false">IF(Tasks[[#This Row],[Task Name]]="","",Tasks[[#This Row],[Cost]])</f>
        <v/>
      </c>
      <c r="AV96" s="7"/>
      <c r="AW96" s="7"/>
      <c r="AX96" s="21"/>
      <c r="AY96" s="72"/>
      <c r="AZ96" s="71"/>
      <c r="BA96" s="70" t="str">
        <f aca="false">IF(Tasks[[#This Row],[Task Name]]="","",IF(Tasks[[#This Row],[_IsSummary]],SUM(INDEX(Tasks[_LeafEV],Tasks[[#This Row],[_Row]]+1):INDEX(Tasks[_LeafEV],Tasks[[#This Row],[_Row]]+Tasks[[#This Row],[_Descendants]])),Tasks[[#This Row],[_LeafEV]]))</f>
        <v/>
      </c>
      <c r="BB96" s="70" t="str">
        <f aca="false">IF(Tasks[[#This Row],[Task Name]]="","",IF(Tasks[[#This Row],[_IsSummary]],SUM(INDEX(Tasks[_LeafBudget],Tasks[[#This Row],[_Row]]+1):INDEX(Tasks[_LeafBudget],Tasks[[#This Row],[_Row]]+Tasks[[#This Row],[_Descendants]])),Tasks[[#This Row],[_LeafBudget]]))</f>
        <v/>
      </c>
      <c r="BC96" s="70" t="str">
        <f aca="false">IF(Tasks[[#This Row],[Task Name]]="","",IF(Tasks[[#This Row],[_IsSummary]],SUM(INDEX(Tasks[_LeafPV],Tasks[[#This Row],[_Row]]+1):INDEX(Tasks[_LeafPV],Tasks[[#This Row],[_Row]]+Tasks[[#This Row],[_Descendants]])),Tasks[[#This Row],[_LeafPV]]))</f>
        <v/>
      </c>
      <c r="BD96" s="70" t="str">
        <f aca="false">IF(Tasks[[#This Row],[Task Name]]="","",IF(Tasks[[#This Row],[_IsSummary]],SUM(INDEX(Tasks[_LeafAC],Tasks[[#This Row],[_Row]]+1):INDEX(Tasks[_LeafAC],Tasks[[#This Row],[_Row]]+Tasks[[#This Row],[_Descendants]])),Tasks[[#This Row],[_LeafAC]]))</f>
        <v/>
      </c>
      <c r="BE96" s="45" t="str">
        <f aca="false">IF(Tasks[[#This Row],[Task Name]]="","",MAX(1,N(Tasks[[#This Row],[Level]])))</f>
        <v/>
      </c>
      <c r="BF96" s="45" t="n">
        <f aca="false">ROW()-ROW(Tasks[[#Headers],[ID]])</f>
        <v>91</v>
      </c>
      <c r="BG96" s="45" t="n">
        <f aca="false">IF(OR(Tasks[[#This Row],[Task Name]]="",Tasks[[#This Row],[_Level]]&lt;=1),0,IFERROR(LOOKUP(2,1/(Tasks[[#Headers],[_Level]]:Tasks[[#This Row],[_Level]]=Tasks[[#This Row],[_Level]]-1),ROW(Tasks[[#Headers],[_Level]]:Tasks[[#This Row],[_Level]])),0))</f>
        <v>0</v>
      </c>
      <c r="BH96" s="45" t="n">
        <f aca="false">IFERROR(N(INDEX(Tasks[_Level],Tasks[[#This Row],[_Row]]+1)),0)</f>
        <v>0</v>
      </c>
      <c r="BI96" s="73" t="b">
        <f aca="false">AND(Tasks[[#This Row],[Task Name]]&lt;&gt;"",Tasks[[#This Row],[_NextLevel]]&gt;Tasks[[#This Row],[_Level]])</f>
        <v>0</v>
      </c>
      <c r="BJ96" s="45" t="n">
        <f aca="false">IF(Tasks[[#This Row],[_IsSummary]],COUNTIF(Tasks[WBS],Tasks[[#This Row],[WBS]]&amp;".*"),0)</f>
        <v>0</v>
      </c>
      <c r="BK96" s="45" t="n">
        <f aca="false">IF(AND(Tasks[[#This Row],[Task Name]]&lt;&gt;"",NOT(Tasks[[#This Row],[_IsSummary]])),1,0)</f>
        <v>0</v>
      </c>
      <c r="BL96" s="45" t="n">
        <f aca="false">IF(N(Tasks[[#This Row],[_Pred1UID]])=0,0,IFERROR(MATCH(Tasks[[#This Row],[_Pred1UID]],Tasks[UID],0),-1))</f>
        <v>0</v>
      </c>
      <c r="BM96" s="45" t="n">
        <f aca="false">IF(N(Tasks[[#This Row],[_Pred2UID]])=0,0,IFERROR(MATCH(Tasks[[#This Row],[_Pred2UID]],Tasks[UID],0),-1))</f>
        <v>0</v>
      </c>
      <c r="BN96" s="45" t="n">
        <f aca="false">IF(N(Tasks[[#This Row],[_Pred3UID]])=0,0,IFERROR(MATCH(Tasks[[#This Row],[_Pred3UID]],Tasks[UID],0),-1))</f>
        <v>0</v>
      </c>
      <c r="BO96" s="45" t="n">
        <f aca="false">IF(N(Tasks[[#This Row],[_Pred4UID]])=0,0,IFERROR(MATCH(Tasks[[#This Row],[_Pred4UID]],Tasks[UID],0),-1))</f>
        <v>0</v>
      </c>
      <c r="BP9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9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96" s="74" t="n">
        <f aca="false">IF(OR(Tasks[[#This Row],[_ConstraintCode]]=2,Tasks[[#This Row],[_ConstraintCode]]=3,Tasks[[#This Row],[_ConstraintCode]]=4,Tasks[[#This Row],[_ConstraintCode]]=6),Tasks[[#This Row],[_ConstraintStart]],0)</f>
        <v>0</v>
      </c>
      <c r="BS96" s="74" t="n">
        <f aca="false">IF(OR(Tasks[[#This Row],[_ConstraintCode]]=2,Tasks[[#This Row],[_ConstraintCode]]=3,Tasks[[#This Row],[_ConstraintCode]]=5,Tasks[[#This Row],[_ConstraintCode]]=7),Tasks[[#This Row],[_ConstraintStart]],2958465)</f>
        <v>2958465</v>
      </c>
      <c r="BT9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96" s="74" t="str">
        <f aca="false">IF(NOT(Tasks[[#This Row],[_IsLeaf]]=1),"",IF(N(Tasks[[#This Row],[Duration]])&lt;=0,Tasks[[#This Row],[_LeafCalcStart]],WORKDAY.INTL(Tasks[[#This Row],[_LeafCalcStart]],Tasks[[#This Row],[Duration]]-1,WorkWeek,Holidays)))</f>
        <v/>
      </c>
      <c r="BV9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9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96" s="45" t="str">
        <f aca="false">IF(Tasks[[#This Row],[Predecessors]]="","",TRIM(MID(SUBSTITUTE(SUBSTITUTE(SUBSTITUTE(UPPER(Tasks[[#This Row],[Predecessors]]),";",",")," ",""),",",REPT(" ",99)),1,99)))</f>
        <v/>
      </c>
      <c r="BY96" s="45" t="str">
        <f aca="false">IF(Tasks[[#This Row],[_Pred1Text]]="","",IFERROR(VALUE(LEFT(Tasks[[#This Row],[_Pred1Text]],MIN(FIND("F",Tasks[[#This Row],[_Pred1Text]]&amp;"F"),FIND("S",Tasks[[#This Row],[_Pred1Text]]&amp;"S"),FIND("+",Tasks[[#This Row],[_Pred1Text]]&amp;"+"),FIND("-",Tasks[[#This Row],[_Pred1Text]]&amp;"-"))-1)),""))</f>
        <v/>
      </c>
      <c r="BZ9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9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96" s="45" t="str">
        <f aca="false">IF(Tasks[[#This Row],[_Pred1Text]]="","",TRIM(MID(SUBSTITUTE(SUBSTITUTE(SUBSTITUTE(UPPER(Tasks[[#This Row],[Predecessors]]),";",",")," ",""),",",REPT(" ",99)),100,99)))</f>
        <v/>
      </c>
      <c r="CC96" s="45" t="str">
        <f aca="false">IF(Tasks[[#This Row],[_Pred2Text]]="","",IFERROR(VALUE(LEFT(Tasks[[#This Row],[_Pred2Text]],MIN(FIND("F",Tasks[[#This Row],[_Pred2Text]]&amp;"F"),FIND("S",Tasks[[#This Row],[_Pred2Text]]&amp;"S"),FIND("+",Tasks[[#This Row],[_Pred2Text]]&amp;"+"),FIND("-",Tasks[[#This Row],[_Pred2Text]]&amp;"-"))-1)),""))</f>
        <v/>
      </c>
      <c r="CD9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9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96" s="45" t="str">
        <f aca="false">IF(Tasks[[#This Row],[_Pred2Text]]="","",TRIM(MID(SUBSTITUTE(SUBSTITUTE(SUBSTITUTE(UPPER(Tasks[[#This Row],[Predecessors]]),";",",")," ",""),",",REPT(" ",99)),199,99)))</f>
        <v/>
      </c>
      <c r="CG96" s="45" t="str">
        <f aca="false">IF(Tasks[[#This Row],[_Pred3Text]]="","",IFERROR(VALUE(LEFT(Tasks[[#This Row],[_Pred3Text]],MIN(FIND("F",Tasks[[#This Row],[_Pred3Text]]&amp;"F"),FIND("S",Tasks[[#This Row],[_Pred3Text]]&amp;"S"),FIND("+",Tasks[[#This Row],[_Pred3Text]]&amp;"+"),FIND("-",Tasks[[#This Row],[_Pred3Text]]&amp;"-"))-1)),""))</f>
        <v/>
      </c>
      <c r="CH9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9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96" s="45" t="str">
        <f aca="false">IF(Tasks[[#This Row],[_Pred3Text]]="","",TRIM(MID(SUBSTITUTE(SUBSTITUTE(SUBSTITUTE(UPPER(Tasks[[#This Row],[Predecessors]]),";",",")," ",""),",",REPT(" ",99)),298,99)))</f>
        <v/>
      </c>
      <c r="CK96" s="45" t="str">
        <f aca="false">IF(Tasks[[#This Row],[_Pred4Text]]="","",IFERROR(VALUE(LEFT(Tasks[[#This Row],[_Pred4Text]],MIN(FIND("F",Tasks[[#This Row],[_Pred4Text]]&amp;"F"),FIND("S",Tasks[[#This Row],[_Pred4Text]]&amp;"S"),FIND("+",Tasks[[#This Row],[_Pred4Text]]&amp;"+"),FIND("-",Tasks[[#This Row],[_Pred4Text]]&amp;"-"))-1)),""))</f>
        <v/>
      </c>
      <c r="CL9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9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96" s="45" t="str">
        <f aca="false">IF(OR(Tasks[[#This Row],[Task Name]]="",Tasks[[#This Row],[Resources]]=""),"",TRIM(MID(SUBSTITUTE(Tasks[[#This Row],[Resources]],",",REPT(" ",99)),1,99)))</f>
        <v/>
      </c>
      <c r="CO96" s="45" t="str">
        <f aca="false">IF(Tasks[[#This Row],[_Res1Text]]="","",TRIM(MID(SUBSTITUTE(Tasks[[#This Row],[Resources]],",",REPT(" ",99)),100,99)))</f>
        <v/>
      </c>
      <c r="CP96" s="45" t="str">
        <f aca="false">IF(Tasks[[#This Row],[_Res2Text]]="","",TRIM(MID(SUBSTITUTE(Tasks[[#This Row],[Resources]],",",REPT(" ",99)),199,99)))</f>
        <v/>
      </c>
      <c r="CQ96" s="45" t="str">
        <f aca="false">IF(Tasks[[#This Row],[_Res3Text]]="","",TRIM(MID(SUBSTITUTE(Tasks[[#This Row],[Resources]],",",REPT(" ",99)),298,99)))</f>
        <v/>
      </c>
      <c r="CR9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9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6" s="45" t="n">
        <f aca="false">IF(NOT(Tasks[[#This Row],[_IsLeaf]]=1),0,(Tasks[[#This Row],[_Resource1]]&lt;&gt;"")+(Tasks[[#This Row],[_Res2]]&lt;&gt;"")+(Tasks[[#This Row],[_Res3]]&lt;&gt;"")+(Tasks[[#This Row],[_Res4]]&lt;&gt;""))</f>
        <v>0</v>
      </c>
      <c r="CU9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9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6" s="45" t="n">
        <f aca="false">IF(OR(NOT(Tasks[[#This Row],[_IsLeaf]]=1),Tasks[[#This Row],[_Res2]]=""),0,IF(ISNA(MATCH(Tasks[[#This Row],[_Res2]],res_Name,0)),0,N(Tasks[[#This Row],[Duration]])*HoursPerDay*IF(Tasks[[#This Row],[_Res2Units]]="",DefaultUnits,Tasks[[#This Row],[_Res2Units]])))</f>
        <v>0</v>
      </c>
      <c r="CX96" s="45" t="n">
        <f aca="false">IF(Tasks[[#This Row],[_Res2Work]]=0,0,Tasks[[#This Row],[_Res2Work]]*IFERROR(INDEX(res_Rate,MATCH(Tasks[[#This Row],[_Res2]],res_Name,0)),0))</f>
        <v>0</v>
      </c>
      <c r="CY96" s="45" t="n">
        <f aca="false">IF(AND(AND(Tasks[[#This Row],[_IsLeaf]]=1,Tasks[[#This Row],[_LeafTotalWork]]&gt;0),Tasks[[#This Row],[_Res2Work]]&gt;0),Tasks[[#This Row],[_Res2Work]]/(Tasks[[#This Row],[_FinishWorkday]]-Tasks[[#This Row],[_StartWorkday]]+1),0)</f>
        <v>0</v>
      </c>
      <c r="CZ96" s="45" t="n">
        <f aca="false">Tasks[[#This Row],[_Res2WorkPerWD]]*MAX(0,Tasks[[#This Row],[_StartWorkday]]-1)</f>
        <v>0</v>
      </c>
      <c r="DA96" s="45" t="n">
        <f aca="false">Tasks[[#This Row],[_Res2Work]]*Tasks[[#This Row],[_LeafProgress]]</f>
        <v>0</v>
      </c>
      <c r="DB96" s="45" t="n">
        <f aca="false">IF(Tasks[[#This Row],[_LeafTotalCost]]=0,0,Tasks[[#This Row],[_LeafAC]]*Tasks[[#This Row],[_Res2Cost]]/Tasks[[#This Row],[_LeafTotalCost]])</f>
        <v>0</v>
      </c>
      <c r="DC9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9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96" s="45" t="n">
        <f aca="false">IF(OR(NOT(Tasks[[#This Row],[_IsLeaf]]=1),Tasks[[#This Row],[_Res3]]=""),0,IF(ISNA(MATCH(Tasks[[#This Row],[_Res3]],res_Name,0)),0,N(Tasks[[#This Row],[Duration]])*HoursPerDay*IF(Tasks[[#This Row],[_Res3Units]]="",DefaultUnits,Tasks[[#This Row],[_Res3Units]])))</f>
        <v>0</v>
      </c>
      <c r="DF96" s="45" t="n">
        <f aca="false">IF(Tasks[[#This Row],[_Res3Work]]=0,0,Tasks[[#This Row],[_Res3Work]]*IFERROR(INDEX(res_Rate,MATCH(Tasks[[#This Row],[_Res3]],res_Name,0)),0))</f>
        <v>0</v>
      </c>
      <c r="DG96" s="45" t="n">
        <f aca="false">IF(AND(AND(Tasks[[#This Row],[_IsLeaf]]=1,Tasks[[#This Row],[_LeafTotalWork]]&gt;0),Tasks[[#This Row],[_Res3Work]]&gt;0),Tasks[[#This Row],[_Res3Work]]/(Tasks[[#This Row],[_FinishWorkday]]-Tasks[[#This Row],[_StartWorkday]]+1),0)</f>
        <v>0</v>
      </c>
      <c r="DH96" s="45" t="n">
        <f aca="false">Tasks[[#This Row],[_Res3WorkPerWD]]*MAX(0,Tasks[[#This Row],[_StartWorkday]]-1)</f>
        <v>0</v>
      </c>
      <c r="DI96" s="45" t="n">
        <f aca="false">Tasks[[#This Row],[_Res3Work]]*Tasks[[#This Row],[_LeafProgress]]</f>
        <v>0</v>
      </c>
      <c r="DJ96" s="45" t="n">
        <f aca="false">IF(Tasks[[#This Row],[_LeafTotalCost]]=0,0,Tasks[[#This Row],[_LeafAC]]*Tasks[[#This Row],[_Res3Cost]]/Tasks[[#This Row],[_LeafTotalCost]])</f>
        <v>0</v>
      </c>
      <c r="DK9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9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96" s="45" t="n">
        <f aca="false">IF(OR(NOT(Tasks[[#This Row],[_IsLeaf]]=1),Tasks[[#This Row],[_Res4]]=""),0,IF(ISNA(MATCH(Tasks[[#This Row],[_Res4]],res_Name,0)),0,N(Tasks[[#This Row],[Duration]])*HoursPerDay*IF(Tasks[[#This Row],[_Res4Units]]="",DefaultUnits,Tasks[[#This Row],[_Res4Units]])))</f>
        <v>0</v>
      </c>
      <c r="DN96" s="45" t="n">
        <f aca="false">IF(Tasks[[#This Row],[_Res4Work]]=0,0,Tasks[[#This Row],[_Res4Work]]*IFERROR(INDEX(res_Rate,MATCH(Tasks[[#This Row],[_Res4]],res_Name,0)),0))</f>
        <v>0</v>
      </c>
      <c r="DO96" s="45" t="n">
        <f aca="false">IF(AND(AND(Tasks[[#This Row],[_IsLeaf]]=1,Tasks[[#This Row],[_LeafTotalWork]]&gt;0),Tasks[[#This Row],[_Res4Work]]&gt;0),Tasks[[#This Row],[_Res4Work]]/(Tasks[[#This Row],[_FinishWorkday]]-Tasks[[#This Row],[_StartWorkday]]+1),0)</f>
        <v>0</v>
      </c>
      <c r="DP96" s="45" t="n">
        <f aca="false">Tasks[[#This Row],[_Res4WorkPerWD]]*MAX(0,Tasks[[#This Row],[_StartWorkday]]-1)</f>
        <v>0</v>
      </c>
      <c r="DQ96" s="45" t="n">
        <f aca="false">Tasks[[#This Row],[_Res4Work]]*Tasks[[#This Row],[_LeafProgress]]</f>
        <v>0</v>
      </c>
      <c r="DR96" s="45" t="n">
        <f aca="false">IF(Tasks[[#This Row],[_LeafTotalCost]]=0,0,Tasks[[#This Row],[_LeafAC]]*Tasks[[#This Row],[_Res4Cost]]/Tasks[[#This Row],[_LeafTotalCost]])</f>
        <v>0</v>
      </c>
      <c r="DS96" s="45" t="n">
        <f aca="false">IF(ISNUMBER(Tasks[[#This Row],[% Complete]]),Tasks[[#This Row],[% Complete]],IF(Tasks[[#This Row],[Stage]]="",0,IFERROR(INDEX(stg_Pct,MATCH(Tasks[[#This Row],[Stage]],stg_Name,0)),0)))</f>
        <v>0</v>
      </c>
      <c r="DT96" s="45" t="n">
        <f aca="false">IF(NOT(Tasks[[#This Row],[_IsLeaf]]=1),0,IF(N(Tasks[[#This Row],[Actual Finish]])&gt;0,1,MIN(1,Tasks[[#This Row],[_Pct]])))</f>
        <v>0</v>
      </c>
      <c r="DU96" s="45" t="n">
        <f aca="false">IF(OR(NOT(Tasks[[#This Row],[_IsLeaf]]=1),Tasks[[#This Row],[_Resource1]]=""),0,IF(ISNA(MATCH(Tasks[[#This Row],[_Resource1]],res_Name,0)),0,N(Tasks[[#This Row],[Duration]])*HoursPerDay*IF(Tasks[[#This Row],[_Units1]]="",DefaultUnits,Tasks[[#This Row],[_Units1]])))</f>
        <v>0</v>
      </c>
      <c r="DV96" s="45" t="n">
        <f aca="false">IF(Tasks[[#This Row],[_LeafWork]]=0,0,Tasks[[#This Row],[_LeafWork]]*IFERROR(INDEX(res_Rate,MATCH(Tasks[[#This Row],[_Resource1]],res_Name,0)),0))</f>
        <v>0</v>
      </c>
      <c r="DW96" s="45" t="n">
        <f aca="false">Tasks[[#This Row],[_LeafWork]]+Tasks[[#This Row],[_Res2Work]]+Tasks[[#This Row],[_Res3Work]]+Tasks[[#This Row],[_Res4Work]]</f>
        <v>0</v>
      </c>
      <c r="DX96" s="45" t="n">
        <f aca="false">Tasks[[#This Row],[_LeafCost]]+Tasks[[#This Row],[_Res2Cost]]+Tasks[[#This Row],[_Res3Cost]]+Tasks[[#This Row],[_Res4Cost]]</f>
        <v>0</v>
      </c>
      <c r="DY96" s="45" t="n">
        <f aca="false">IF(Tasks[[#This Row],[_LeafTotalCost]]=0,Tasks[[#This Row],[_LeafAC]],Tasks[[#This Row],[_LeafAC]]*Tasks[[#This Row],[_LeafCost]]/Tasks[[#This Row],[_LeafTotalCost]])</f>
        <v>0</v>
      </c>
      <c r="DZ9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9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9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9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9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9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9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9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96" s="45" t="n">
        <f aca="false">IF(NOT(Tasks[[#This Row],[_IsLeaf]]=1),0,MAX(_xlfn.MAXIFS(Tasks[_Row],Tasks[_Pred1UID],Tasks[[#This Row],[UID]]),_xlfn.MAXIFS(Tasks[_Row],Tasks[_Pred2UID],Tasks[[#This Row],[UID]]),_xlfn.MAXIFS(Tasks[_Row],Tasks[_Pred3UID],Tasks[[#This Row],[UID]]),_xlfn.MAXIFS(Tasks[_Row],Tasks[_Pred4UID],Tasks[[#This Row],[UID]])))</f>
        <v>0</v>
      </c>
      <c r="EI9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9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96" s="74" t="str">
        <f aca="false">IF(NOT(Tasks[[#This Row],[_IsLeaf]]=1),"",IF(N(Tasks[[#This Row],[Duration]])&lt;=0,Tasks[[#This Row],[_LeafLateFinish]],WORKDAY.INTL(Tasks[[#This Row],[_LeafLateFinish]],-(Tasks[[#This Row],[Duration]]-1),WorkWeek,Holidays)))</f>
        <v/>
      </c>
      <c r="EL9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96" s="73" t="b">
        <f aca="false">AND(Tasks[[#This Row],[_IsLeaf]]=1,Tasks[[#This Row],[_LeafProgress]]&lt;1,N(Tasks[[#This Row],[_LeafTotalSlack]])&lt;=CriticalSlackDays)</f>
        <v>0</v>
      </c>
      <c r="EN96" s="45" t="n">
        <f aca="false">IF(AND(Tasks[[#This Row],[_IsLeaf]]=1,Tasks[[#This Row],[_ConstraintCode]]=1,Tasks[[#This Row],[Mode]]&lt;&gt;"Manual",N(Tasks[[#This Row],[Actual Start]])=0),MAX(0,N(Tasks[[#This Row],[Free Slack]])),0)</f>
        <v>0</v>
      </c>
      <c r="EO96" s="74" t="str">
        <f aca="false">IF(NOT(Tasks[[#This Row],[_IsLeaf]]=1),"",IF(Tasks[[#This Row],[_AlapShift]]=0,Tasks[[#This Row],[_LeafCalcStart]],WORKDAY.INTL(Tasks[[#This Row],[_LeafCalcStart]],Tasks[[#This Row],[_AlapShift]],WorkWeek,Holidays)))</f>
        <v/>
      </c>
      <c r="EP96" s="74" t="str">
        <f aca="false">IF(NOT(Tasks[[#This Row],[_IsLeaf]]=1),"",IF(Tasks[[#This Row],[_AlapShift]]=0,Tasks[[#This Row],[_LeafCalcFinish]],WORKDAY.INTL(Tasks[[#This Row],[_LeafCalcFinish]],Tasks[[#This Row],[_AlapShift]],WorkWeek,Holidays)))</f>
        <v/>
      </c>
      <c r="EQ96" s="74" t="str">
        <f aca="false">IF(NOT(Tasks[[#This Row],[_IsLeaf]]=1),"",IF(Tasks[[#This Row],[_AlapShift]]=0,Tasks[[#This Row],[_LeafFcstStart]],WORKDAY.INTL(Tasks[[#This Row],[_LeafFcstStart]],Tasks[[#This Row],[_AlapShift]],WorkWeek,Holidays)))</f>
        <v/>
      </c>
      <c r="ER96" s="74" t="str">
        <f aca="false">IF(NOT(Tasks[[#This Row],[_IsLeaf]]=1),"",IF(Tasks[[#This Row],[_AlapShift]]=0,Tasks[[#This Row],[_LeafFcstFinish]],WORKDAY.INTL(Tasks[[#This Row],[_LeafFcstFinish]],Tasks[[#This Row],[_AlapShift]],WorkWeek,Holidays)))</f>
        <v/>
      </c>
      <c r="ES96" s="74" t="str">
        <f aca="false">IF(Tasks[[#This Row],[Task Name]]="","",IF(Tasks[[#This Row],[_IsSummary]],MIN(INDEX(Tasks[_ShownCalcStart],Tasks[[#This Row],[_Row]]+1):INDEX(Tasks[_ShownCalcStart],Tasks[[#This Row],[_Row]]+Tasks[[#This Row],[_Descendants]])),Tasks[[#This Row],[_ShownCalcStart]]))</f>
        <v/>
      </c>
      <c r="ET96" s="74" t="str">
        <f aca="false">IF(Tasks[[#This Row],[Task Name]]="","",IF(Tasks[[#This Row],[_IsSummary]],MAX(INDEX(Tasks[_ShownCalcFinish],Tasks[[#This Row],[_Row]]+1):INDEX(Tasks[_ShownCalcFinish],Tasks[[#This Row],[_Row]]+Tasks[[#This Row],[_Descendants]])),Tasks[[#This Row],[_ShownCalcFinish]]))</f>
        <v/>
      </c>
      <c r="EU9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9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9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9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9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9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9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9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9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9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9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9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96" s="45" t="n">
        <f aca="false">IF(AND(Tasks[[#This Row],[_IsLeaf]]=1,Tasks[[#This Row],[_LeafTotalWork]]&gt;0),NETWORKDAYS.INTL(ProjectStart,Tasks[[#This Row],[_ShownFcstStart]],WorkWeek,Holidays),0)</f>
        <v>0</v>
      </c>
      <c r="FH96" s="45" t="n">
        <f aca="false">IF(AND(Tasks[[#This Row],[_IsLeaf]]=1,Tasks[[#This Row],[_LeafTotalWork]]&gt;0),MAX(Tasks[[#This Row],[_StartWorkday]],NETWORKDAYS.INTL(ProjectStart,Tasks[[#This Row],[_ShownFcstFinish]],WorkWeek,Holidays)),0)</f>
        <v>0</v>
      </c>
      <c r="FI96" s="45" t="n">
        <f aca="false">IF(AND(Tasks[[#This Row],[_IsLeaf]]=1,Tasks[[#This Row],[_LeafTotalWork]]&gt;0),Tasks[[#This Row],[_LeafWork]]/(Tasks[[#This Row],[_FinishWorkday]]-Tasks[[#This Row],[_StartWorkday]]+1),0)</f>
        <v>0</v>
      </c>
      <c r="FJ96" s="45" t="n">
        <f aca="false">Tasks[[#This Row],[_WorkPerWorkday]]*(Tasks[[#This Row],[_StartWorkday]]-1)</f>
        <v>-0</v>
      </c>
      <c r="FK96" s="45" t="n">
        <f aca="false">IF(Tasks[[#This Row],[_IsLeaf]]=1,MAX(N(Tasks[[#This Row],[Duration]]),0.1),0)</f>
        <v>0</v>
      </c>
      <c r="FL96" s="45" t="n">
        <f aca="false">Tasks[[#This Row],[_WeightDur]]*Tasks[[#This Row],[_LeafProgress]]</f>
        <v>0</v>
      </c>
      <c r="FM9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96" s="45" t="str">
        <f aca="false">IF(AND(Tasks[[#This Row],[_IsLeaf]]=1,N(Tasks[[#This Row],[Duration]])=0,Tasks[[#This Row],[_LeafProgress]]&lt;1),Tasks[[#This Row],[_ShownFcstFinish]]+Tasks[[#This Row],[_Row]]/100000,"")</f>
        <v/>
      </c>
      <c r="FO9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96" s="45" t="n">
        <f aca="false">IF(NOT(Tasks[[#This Row],[_IsLeaf]]=1),0,IF(Tasks[[#This Row],[Baseline Cost]]="",Tasks[[#This Row],[_LeafTotalCost]],N(Tasks[[#This Row],[Baseline Cost]])))</f>
        <v>0</v>
      </c>
      <c r="FQ96" s="45" t="n">
        <f aca="false">Tasks[[#This Row],[_LeafBudget]]*Tasks[[#This Row],[_PlannedPct]]</f>
        <v>0</v>
      </c>
      <c r="FR96" s="45" t="n">
        <f aca="false">Tasks[[#This Row],[_LeafBudget]]*Tasks[[#This Row],[_LeafProgress]]</f>
        <v>0</v>
      </c>
      <c r="FS96" s="45" t="n">
        <f aca="false">IF(NOT(Tasks[[#This Row],[_IsLeaf]]=1),0,IF(Tasks[[#This Row],[Actual Cost]]="",Tasks[[#This Row],[_LeafTotalCost]]*Tasks[[#This Row],[_LeafProgress]],N(Tasks[[#This Row],[Actual Cost]])))</f>
        <v>0</v>
      </c>
      <c r="FT96" s="45" t="str">
        <f aca="false">IF(Tasks[[#This Row],[Task Name]]="","",LEFT(Tasks[[#This Row],[WBS]],FIND(".",Tasks[[#This Row],[WBS]]&amp;".")-1))</f>
        <v/>
      </c>
      <c r="FU96" s="45" t="str">
        <f aca="false">IF(AND(Tasks[[#This Row],[Task Name]]&lt;&gt;"",Tasks[[#This Row],[_Level]]=1),Tasks[[#This Row],[_Row]],"")</f>
        <v/>
      </c>
      <c r="FV96" s="45" t="str">
        <f aca="false">IF(AND(Tasks[[#This Row],[_IsLeaf]]=1,N(Tasks[[#This Row],[Duration]])=0),Tasks[[#This Row],[Planned Finish]]+Tasks[[#This Row],[_Row]]/100000,"")</f>
        <v/>
      </c>
      <c r="FW96" s="45" t="str">
        <f aca="false">IF(AND(Tasks[[#This Row],[_IsLeaf]]=1,Tasks[[#This Row],[_LeafProgress]]&lt;1,OR(N(Tasks[[#This Row],[Finish Var]])&gt;0,Tasks[[#This Row],[Status]]="Late Start")),MAX(0,Tasks[[#This Row],[Finish Var]])+1-Tasks[[#This Row],[_Row]]/1000000,"")</f>
        <v/>
      </c>
      <c r="FX96" s="45" t="str">
        <f aca="false">IF(AND(Tasks[[#This Row],[_IsLeaf]]=1,N(Tasks[[#This Row],[Actual Start]])=0,Tasks[[#This Row],[_ShownFcstStart]]&gt;=StatusDate,Tasks[[#This Row],[_ShownFcstStart]]&lt;=LookaheadEnd),Tasks[[#This Row],[_ShownFcstStart]]+Tasks[[#This Row],[_Row]]/100000,"")</f>
        <v/>
      </c>
      <c r="FY96" s="45" t="str">
        <f aca="false">IF(AND(Tasks[[#This Row],[_IsLeaf]]=1,Tasks[[#This Row],[_LeafProgress]]&lt;1,Tasks[[#This Row],[_ShownFcstFinish]]&gt;=StatusDate,Tasks[[#This Row],[_ShownFcstFinish]]&lt;=LookaheadEnd),Tasks[[#This Row],[_ShownFcstFinish]]+Tasks[[#This Row],[_Row]]/100000,"")</f>
        <v/>
      </c>
      <c r="FZ96" s="45" t="str">
        <f aca="false">IF(Tasks[[#This Row],[_LeafCritical]],Tasks[[#This Row],[_ShownFcstStart]]+Tasks[[#This Row],[_Row]]/100000,"")</f>
        <v/>
      </c>
      <c r="GA96" s="45" t="n">
        <f aca="false">Tasks[[#This Row],[_LeafWork]]*Tasks[[#This Row],[_LeafProgress]]</f>
        <v>0</v>
      </c>
      <c r="GB96" s="74" t="str">
        <f aca="false">IF(AND(Tasks[[#This Row],[_IsLeaf]]=1,Tasks[[#This Row],[_LeafProgress]]&gt;=1),IF(N(Tasks[[#This Row],[Actual Finish]])&gt;0,Tasks[[#This Row],[Actual Finish]],Tasks[[#This Row],[_ShownFcstFinish]]),"")</f>
        <v/>
      </c>
    </row>
    <row r="97" customFormat="false" ht="15" hidden="false" customHeight="false" outlineLevel="0" collapsed="false">
      <c r="A97" s="67" t="str">
        <f aca="false">IF(Tasks[[#This Row],[Task Name]]="","",COUNTA(Tasks[[#Headers],[Task Name]]:Tasks[[#This Row],[Task Name]])-1)</f>
        <v/>
      </c>
      <c r="B97" s="21" t="n">
        <v>92</v>
      </c>
      <c r="C9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21"/>
      <c r="E97" s="22"/>
      <c r="F97" s="21"/>
      <c r="G97" s="22"/>
      <c r="H97" s="22"/>
      <c r="I97" s="22"/>
      <c r="J97" s="7"/>
      <c r="K97" s="7"/>
      <c r="L97" s="22"/>
      <c r="M97" s="58" t="str">
        <f aca="false">IF(Tasks[[#This Row],[Task Name]]="","",IF(Tasks[[#This Row],[_IsSummary]],MIN(INDEX(Tasks[_ShownFcstStart],Tasks[[#This Row],[_Row]]+1):INDEX(Tasks[_ShownFcstStart],Tasks[[#This Row],[_Row]]+Tasks[[#This Row],[_Descendants]])),Tasks[[#This Row],[_ShownFcstStart]]))</f>
        <v/>
      </c>
      <c r="N97" s="58" t="str">
        <f aca="false">IF(Tasks[[#This Row],[Task Name]]="","",IF(Tasks[[#This Row],[_IsSummary]],MAX(INDEX(Tasks[_ShownFcstFinish],Tasks[[#This Row],[_Row]]+1):INDEX(Tasks[_ShownFcstFinish],Tasks[[#This Row],[_Row]]+Tasks[[#This Row],[_Descendants]])),Tasks[[#This Row],[_ShownFcstFinish]]))</f>
        <v/>
      </c>
      <c r="O97" s="20" t="str">
        <f aca="false">IF(Tasks[[#This Row],[Task Name]]="","",IF(Tasks[[#This Row],[Progress]]&gt;=1,"Complete",IF(OR(N(Tasks[[#This Row],[Actual Start]])&gt;0,Tasks[[#This Row],[Progress]]&gt;0),IF(Tasks[[#This Row],[Finish Var]]&gt;0,"Behind","In Progress"),IF(Tasks[[#This Row],[Planned Start]]&lt;StatusDate,"Late Start","Not Started"))))</f>
        <v/>
      </c>
      <c r="P97" s="20" t="str">
        <f aca="false">IF(Tasks[[#This Row],[Task Name]]="","",IF(IF(Tasks[[#This Row],[_IsSummary]],COUNTIF(INDEX(Tasks[_LeafCritical],Tasks[[#This Row],[_Row]]+1):INDEX(Tasks[_LeafCritical],Tasks[[#This Row],[_Row]]+Tasks[[#This Row],[_Descendants]]),TRUE())&gt;0,Tasks[[#This Row],[_LeafCritical]]),"Yes",""))</f>
        <v/>
      </c>
      <c r="Q9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97" s="67" t="str">
        <f aca="false">IF(Tasks[[#This Row],[Task Name]]="","",IF(Tasks[[#This Row],[_Level]]&lt;=OutlineShowLevel,"Yes","No"))</f>
        <v/>
      </c>
      <c r="S97" s="7"/>
      <c r="T97" s="21"/>
      <c r="U97" s="22"/>
      <c r="V97" s="7"/>
      <c r="W97" s="67" t="str">
        <f aca="false">IF(Tasks[[#This Row],[Task Name]]="","",IF(Tasks[[#This Row],[Finish]]&gt;=Tasks[[#This Row],[Planned Finish]],NETWORKDAYS.INTL(Tasks[[#This Row],[Planned Finish]],Tasks[[#This Row],[Finish]],WorkWeek,Holidays)-1,1-NETWORKDAYS.INTL(Tasks[[#This Row],[Finish]],Tasks[[#This Row],[Planned Finish]],WorkWeek,Holidays)))</f>
        <v/>
      </c>
      <c r="X97" s="58" t="str">
        <f aca="false">IF(Tasks[[#This Row],[Task Name]]="","",IF(N(Tasks[[#This Row],[Baseline Start]])&gt;0,Tasks[[#This Row],[Baseline Start]],Tasks[[#This Row],[_CalcStart]]))</f>
        <v/>
      </c>
      <c r="Y97" s="58" t="str">
        <f aca="false">IF(Tasks[[#This Row],[Task Name]]="","",IF(N(Tasks[[#This Row],[Baseline Finish]])&gt;0,Tasks[[#This Row],[Baseline Finish]],Tasks[[#This Row],[_CalcFinish]]))</f>
        <v/>
      </c>
      <c r="Z97" s="67" t="str">
        <f aca="false">IF(Tasks[[#This Row],[Task Name]]="","",IF(Tasks[[#This Row],[Start]]&gt;=Tasks[[#This Row],[Planned Start]],NETWORKDAYS.INTL(Tasks[[#This Row],[Planned Start]],Tasks[[#This Row],[Start]],WorkWeek,Holidays)-1,1-NETWORKDAYS.INTL(Tasks[[#This Row],[Start]],Tasks[[#This Row],[Planned Start]],WorkWeek,Holidays)))</f>
        <v/>
      </c>
      <c r="AA97" s="58" t="str">
        <f aca="false">IF(Tasks[[#This Row],[Task Name]]="","",IF(Tasks[[#This Row],[_IsSummary]],MIN(INDEX(Tasks[_LeafLateStart],Tasks[[#This Row],[_Row]]+1):INDEX(Tasks[_LeafLateStart],Tasks[[#This Row],[_Row]]+Tasks[[#This Row],[_Descendants]])),Tasks[[#This Row],[_LeafLateStart]]))</f>
        <v/>
      </c>
      <c r="AB97" s="58" t="str">
        <f aca="false">IF(Tasks[[#This Row],[Task Name]]="","",IF(Tasks[[#This Row],[_IsSummary]],MAX(INDEX(Tasks[_LeafLateFinish],Tasks[[#This Row],[_Row]]+1):INDEX(Tasks[_LeafLateFinish],Tasks[[#This Row],[_Row]]+Tasks[[#This Row],[_Descendants]])),Tasks[[#This Row],[_LeafLateFinish]]))</f>
        <v/>
      </c>
      <c r="AC97" s="67" t="str">
        <f aca="false">IF(Tasks[[#This Row],[Task Name]]="","",IF(Tasks[[#This Row],[_IsSummary]],MIN(INDEX(Tasks[_LeafTotalSlack],Tasks[[#This Row],[_Row]]+1):INDEX(Tasks[_LeafTotalSlack],Tasks[[#This Row],[_Row]]+Tasks[[#This Row],[_Descendants]])),Tasks[[#This Row],[_LeafTotalSlack]]))</f>
        <v/>
      </c>
      <c r="AD9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9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9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97" s="60"/>
      <c r="AH9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9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97" s="69" t="str">
        <f aca="false">IF(Tasks[[#This Row],[Task Name]]="","",IF(Tasks[[#This Row],[_IsSummary]],SUM(INDEX(Tasks[_LeafTotalWork],Tasks[[#This Row],[_Row]]+1):INDEX(Tasks[_LeafTotalWork],Tasks[[#This Row],[_Row]]+Tasks[[#This Row],[_Descendants]])),Tasks[[#This Row],[_LeafTotalWork]]))</f>
        <v/>
      </c>
      <c r="AK9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97" s="70" t="str">
        <f aca="false">IF(Tasks[[#This Row],[Task Name]]="","",IF(Tasks[[#This Row],[_IsSummary]],SUM(INDEX(Tasks[_LeafTotalCost],Tasks[[#This Row],[_Row]]+1):INDEX(Tasks[_LeafTotalCost],Tasks[[#This Row],[_Row]]+Tasks[[#This Row],[_Descendants]])),Tasks[[#This Row],[_LeafTotalCost]]))</f>
        <v/>
      </c>
      <c r="AM97" s="71"/>
      <c r="AN97" s="20" t="str">
        <f aca="false">IF(OR(Tasks[[#This Row],[Task Name]]="",Tasks[[#This Row],[Baseline Duration]]=""),"",Tasks[[#This Row],[BL Source Duration]]-N(Tasks[[#This Row],[Baseline Duration]]))</f>
        <v/>
      </c>
      <c r="AO97" s="69" t="str">
        <f aca="false">IF(OR(Tasks[[#This Row],[Task Name]]="",Tasks[[#This Row],[Baseline Work]]=""),"",Tasks[[#This Row],[Work]]-N(Tasks[[#This Row],[Baseline Work]]))</f>
        <v/>
      </c>
      <c r="AP97" s="70" t="str">
        <f aca="false">IF(OR(Tasks[[#This Row],[Task Name]]="",Tasks[[#This Row],[Baseline Cost]]=""),"",Tasks[[#This Row],[Cost]]-N(Tasks[[#This Row],[Baseline Cost]]))</f>
        <v/>
      </c>
      <c r="AQ97" s="58" t="str">
        <f aca="false">IF(Tasks[[#This Row],[Task Name]]="","",Tasks[[#This Row],[Start]])</f>
        <v/>
      </c>
      <c r="AR97" s="58" t="str">
        <f aca="false">IF(Tasks[[#This Row],[Task Name]]="","",Tasks[[#This Row],[Finish]])</f>
        <v/>
      </c>
      <c r="AS97" s="67" t="str">
        <f aca="false">IF(Tasks[[#This Row],[Task Name]]="","",IF(Tasks[[#This Row],[_IsSummary]],NETWORKDAYS.INTL(Tasks[[#This Row],[Start]],Tasks[[#This Row],[Finish]],WorkWeek,Holidays),N(Tasks[[#This Row],[Duration]])))</f>
        <v/>
      </c>
      <c r="AT97" s="69" t="str">
        <f aca="false">IF(Tasks[[#This Row],[Task Name]]="","",Tasks[[#This Row],[Work]])</f>
        <v/>
      </c>
      <c r="AU97" s="70" t="str">
        <f aca="false">IF(Tasks[[#This Row],[Task Name]]="","",Tasks[[#This Row],[Cost]])</f>
        <v/>
      </c>
      <c r="AV97" s="7"/>
      <c r="AW97" s="7"/>
      <c r="AX97" s="21"/>
      <c r="AY97" s="72"/>
      <c r="AZ97" s="71"/>
      <c r="BA97" s="70" t="str">
        <f aca="false">IF(Tasks[[#This Row],[Task Name]]="","",IF(Tasks[[#This Row],[_IsSummary]],SUM(INDEX(Tasks[_LeafEV],Tasks[[#This Row],[_Row]]+1):INDEX(Tasks[_LeafEV],Tasks[[#This Row],[_Row]]+Tasks[[#This Row],[_Descendants]])),Tasks[[#This Row],[_LeafEV]]))</f>
        <v/>
      </c>
      <c r="BB97" s="70" t="str">
        <f aca="false">IF(Tasks[[#This Row],[Task Name]]="","",IF(Tasks[[#This Row],[_IsSummary]],SUM(INDEX(Tasks[_LeafBudget],Tasks[[#This Row],[_Row]]+1):INDEX(Tasks[_LeafBudget],Tasks[[#This Row],[_Row]]+Tasks[[#This Row],[_Descendants]])),Tasks[[#This Row],[_LeafBudget]]))</f>
        <v/>
      </c>
      <c r="BC97" s="70" t="str">
        <f aca="false">IF(Tasks[[#This Row],[Task Name]]="","",IF(Tasks[[#This Row],[_IsSummary]],SUM(INDEX(Tasks[_LeafPV],Tasks[[#This Row],[_Row]]+1):INDEX(Tasks[_LeafPV],Tasks[[#This Row],[_Row]]+Tasks[[#This Row],[_Descendants]])),Tasks[[#This Row],[_LeafPV]]))</f>
        <v/>
      </c>
      <c r="BD97" s="70" t="str">
        <f aca="false">IF(Tasks[[#This Row],[Task Name]]="","",IF(Tasks[[#This Row],[_IsSummary]],SUM(INDEX(Tasks[_LeafAC],Tasks[[#This Row],[_Row]]+1):INDEX(Tasks[_LeafAC],Tasks[[#This Row],[_Row]]+Tasks[[#This Row],[_Descendants]])),Tasks[[#This Row],[_LeafAC]]))</f>
        <v/>
      </c>
      <c r="BE97" s="45" t="str">
        <f aca="false">IF(Tasks[[#This Row],[Task Name]]="","",MAX(1,N(Tasks[[#This Row],[Level]])))</f>
        <v/>
      </c>
      <c r="BF97" s="45" t="n">
        <f aca="false">ROW()-ROW(Tasks[[#Headers],[ID]])</f>
        <v>92</v>
      </c>
      <c r="BG97" s="45" t="n">
        <f aca="false">IF(OR(Tasks[[#This Row],[Task Name]]="",Tasks[[#This Row],[_Level]]&lt;=1),0,IFERROR(LOOKUP(2,1/(Tasks[[#Headers],[_Level]]:Tasks[[#This Row],[_Level]]=Tasks[[#This Row],[_Level]]-1),ROW(Tasks[[#Headers],[_Level]]:Tasks[[#This Row],[_Level]])),0))</f>
        <v>0</v>
      </c>
      <c r="BH97" s="45" t="n">
        <f aca="false">IFERROR(N(INDEX(Tasks[_Level],Tasks[[#This Row],[_Row]]+1)),0)</f>
        <v>0</v>
      </c>
      <c r="BI97" s="73" t="b">
        <f aca="false">AND(Tasks[[#This Row],[Task Name]]&lt;&gt;"",Tasks[[#This Row],[_NextLevel]]&gt;Tasks[[#This Row],[_Level]])</f>
        <v>0</v>
      </c>
      <c r="BJ97" s="45" t="n">
        <f aca="false">IF(Tasks[[#This Row],[_IsSummary]],COUNTIF(Tasks[WBS],Tasks[[#This Row],[WBS]]&amp;".*"),0)</f>
        <v>0</v>
      </c>
      <c r="BK97" s="45" t="n">
        <f aca="false">IF(AND(Tasks[[#This Row],[Task Name]]&lt;&gt;"",NOT(Tasks[[#This Row],[_IsSummary]])),1,0)</f>
        <v>0</v>
      </c>
      <c r="BL97" s="45" t="n">
        <f aca="false">IF(N(Tasks[[#This Row],[_Pred1UID]])=0,0,IFERROR(MATCH(Tasks[[#This Row],[_Pred1UID]],Tasks[UID],0),-1))</f>
        <v>0</v>
      </c>
      <c r="BM97" s="45" t="n">
        <f aca="false">IF(N(Tasks[[#This Row],[_Pred2UID]])=0,0,IFERROR(MATCH(Tasks[[#This Row],[_Pred2UID]],Tasks[UID],0),-1))</f>
        <v>0</v>
      </c>
      <c r="BN97" s="45" t="n">
        <f aca="false">IF(N(Tasks[[#This Row],[_Pred3UID]])=0,0,IFERROR(MATCH(Tasks[[#This Row],[_Pred3UID]],Tasks[UID],0),-1))</f>
        <v>0</v>
      </c>
      <c r="BO97" s="45" t="n">
        <f aca="false">IF(N(Tasks[[#This Row],[_Pred4UID]])=0,0,IFERROR(MATCH(Tasks[[#This Row],[_Pred4UID]],Tasks[UID],0),-1))</f>
        <v>0</v>
      </c>
      <c r="BP9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9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97" s="74" t="n">
        <f aca="false">IF(OR(Tasks[[#This Row],[_ConstraintCode]]=2,Tasks[[#This Row],[_ConstraintCode]]=3,Tasks[[#This Row],[_ConstraintCode]]=4,Tasks[[#This Row],[_ConstraintCode]]=6),Tasks[[#This Row],[_ConstraintStart]],0)</f>
        <v>0</v>
      </c>
      <c r="BS97" s="74" t="n">
        <f aca="false">IF(OR(Tasks[[#This Row],[_ConstraintCode]]=2,Tasks[[#This Row],[_ConstraintCode]]=3,Tasks[[#This Row],[_ConstraintCode]]=5,Tasks[[#This Row],[_ConstraintCode]]=7),Tasks[[#This Row],[_ConstraintStart]],2958465)</f>
        <v>2958465</v>
      </c>
      <c r="BT9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97" s="74" t="str">
        <f aca="false">IF(NOT(Tasks[[#This Row],[_IsLeaf]]=1),"",IF(N(Tasks[[#This Row],[Duration]])&lt;=0,Tasks[[#This Row],[_LeafCalcStart]],WORKDAY.INTL(Tasks[[#This Row],[_LeafCalcStart]],Tasks[[#This Row],[Duration]]-1,WorkWeek,Holidays)))</f>
        <v/>
      </c>
      <c r="BV9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9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97" s="45" t="str">
        <f aca="false">IF(Tasks[[#This Row],[Predecessors]]="","",TRIM(MID(SUBSTITUTE(SUBSTITUTE(SUBSTITUTE(UPPER(Tasks[[#This Row],[Predecessors]]),";",",")," ",""),",",REPT(" ",99)),1,99)))</f>
        <v/>
      </c>
      <c r="BY97" s="45" t="str">
        <f aca="false">IF(Tasks[[#This Row],[_Pred1Text]]="","",IFERROR(VALUE(LEFT(Tasks[[#This Row],[_Pred1Text]],MIN(FIND("F",Tasks[[#This Row],[_Pred1Text]]&amp;"F"),FIND("S",Tasks[[#This Row],[_Pred1Text]]&amp;"S"),FIND("+",Tasks[[#This Row],[_Pred1Text]]&amp;"+"),FIND("-",Tasks[[#This Row],[_Pred1Text]]&amp;"-"))-1)),""))</f>
        <v/>
      </c>
      <c r="BZ9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9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97" s="45" t="str">
        <f aca="false">IF(Tasks[[#This Row],[_Pred1Text]]="","",TRIM(MID(SUBSTITUTE(SUBSTITUTE(SUBSTITUTE(UPPER(Tasks[[#This Row],[Predecessors]]),";",",")," ",""),",",REPT(" ",99)),100,99)))</f>
        <v/>
      </c>
      <c r="CC97" s="45" t="str">
        <f aca="false">IF(Tasks[[#This Row],[_Pred2Text]]="","",IFERROR(VALUE(LEFT(Tasks[[#This Row],[_Pred2Text]],MIN(FIND("F",Tasks[[#This Row],[_Pred2Text]]&amp;"F"),FIND("S",Tasks[[#This Row],[_Pred2Text]]&amp;"S"),FIND("+",Tasks[[#This Row],[_Pred2Text]]&amp;"+"),FIND("-",Tasks[[#This Row],[_Pred2Text]]&amp;"-"))-1)),""))</f>
        <v/>
      </c>
      <c r="CD9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9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97" s="45" t="str">
        <f aca="false">IF(Tasks[[#This Row],[_Pred2Text]]="","",TRIM(MID(SUBSTITUTE(SUBSTITUTE(SUBSTITUTE(UPPER(Tasks[[#This Row],[Predecessors]]),";",",")," ",""),",",REPT(" ",99)),199,99)))</f>
        <v/>
      </c>
      <c r="CG97" s="45" t="str">
        <f aca="false">IF(Tasks[[#This Row],[_Pred3Text]]="","",IFERROR(VALUE(LEFT(Tasks[[#This Row],[_Pred3Text]],MIN(FIND("F",Tasks[[#This Row],[_Pred3Text]]&amp;"F"),FIND("S",Tasks[[#This Row],[_Pred3Text]]&amp;"S"),FIND("+",Tasks[[#This Row],[_Pred3Text]]&amp;"+"),FIND("-",Tasks[[#This Row],[_Pred3Text]]&amp;"-"))-1)),""))</f>
        <v/>
      </c>
      <c r="CH9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9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97" s="45" t="str">
        <f aca="false">IF(Tasks[[#This Row],[_Pred3Text]]="","",TRIM(MID(SUBSTITUTE(SUBSTITUTE(SUBSTITUTE(UPPER(Tasks[[#This Row],[Predecessors]]),";",",")," ",""),",",REPT(" ",99)),298,99)))</f>
        <v/>
      </c>
      <c r="CK97" s="45" t="str">
        <f aca="false">IF(Tasks[[#This Row],[_Pred4Text]]="","",IFERROR(VALUE(LEFT(Tasks[[#This Row],[_Pred4Text]],MIN(FIND("F",Tasks[[#This Row],[_Pred4Text]]&amp;"F"),FIND("S",Tasks[[#This Row],[_Pred4Text]]&amp;"S"),FIND("+",Tasks[[#This Row],[_Pred4Text]]&amp;"+"),FIND("-",Tasks[[#This Row],[_Pred4Text]]&amp;"-"))-1)),""))</f>
        <v/>
      </c>
      <c r="CL9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9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97" s="45" t="str">
        <f aca="false">IF(OR(Tasks[[#This Row],[Task Name]]="",Tasks[[#This Row],[Resources]]=""),"",TRIM(MID(SUBSTITUTE(Tasks[[#This Row],[Resources]],",",REPT(" ",99)),1,99)))</f>
        <v/>
      </c>
      <c r="CO97" s="45" t="str">
        <f aca="false">IF(Tasks[[#This Row],[_Res1Text]]="","",TRIM(MID(SUBSTITUTE(Tasks[[#This Row],[Resources]],",",REPT(" ",99)),100,99)))</f>
        <v/>
      </c>
      <c r="CP97" s="45" t="str">
        <f aca="false">IF(Tasks[[#This Row],[_Res2Text]]="","",TRIM(MID(SUBSTITUTE(Tasks[[#This Row],[Resources]],",",REPT(" ",99)),199,99)))</f>
        <v/>
      </c>
      <c r="CQ97" s="45" t="str">
        <f aca="false">IF(Tasks[[#This Row],[_Res3Text]]="","",TRIM(MID(SUBSTITUTE(Tasks[[#This Row],[Resources]],",",REPT(" ",99)),298,99)))</f>
        <v/>
      </c>
      <c r="CR9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9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7" s="45" t="n">
        <f aca="false">IF(NOT(Tasks[[#This Row],[_IsLeaf]]=1),0,(Tasks[[#This Row],[_Resource1]]&lt;&gt;"")+(Tasks[[#This Row],[_Res2]]&lt;&gt;"")+(Tasks[[#This Row],[_Res3]]&lt;&gt;"")+(Tasks[[#This Row],[_Res4]]&lt;&gt;""))</f>
        <v>0</v>
      </c>
      <c r="CU9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9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7" s="45" t="n">
        <f aca="false">IF(OR(NOT(Tasks[[#This Row],[_IsLeaf]]=1),Tasks[[#This Row],[_Res2]]=""),0,IF(ISNA(MATCH(Tasks[[#This Row],[_Res2]],res_Name,0)),0,N(Tasks[[#This Row],[Duration]])*HoursPerDay*IF(Tasks[[#This Row],[_Res2Units]]="",DefaultUnits,Tasks[[#This Row],[_Res2Units]])))</f>
        <v>0</v>
      </c>
      <c r="CX97" s="45" t="n">
        <f aca="false">IF(Tasks[[#This Row],[_Res2Work]]=0,0,Tasks[[#This Row],[_Res2Work]]*IFERROR(INDEX(res_Rate,MATCH(Tasks[[#This Row],[_Res2]],res_Name,0)),0))</f>
        <v>0</v>
      </c>
      <c r="CY97" s="45" t="n">
        <f aca="false">IF(AND(AND(Tasks[[#This Row],[_IsLeaf]]=1,Tasks[[#This Row],[_LeafTotalWork]]&gt;0),Tasks[[#This Row],[_Res2Work]]&gt;0),Tasks[[#This Row],[_Res2Work]]/(Tasks[[#This Row],[_FinishWorkday]]-Tasks[[#This Row],[_StartWorkday]]+1),0)</f>
        <v>0</v>
      </c>
      <c r="CZ97" s="45" t="n">
        <f aca="false">Tasks[[#This Row],[_Res2WorkPerWD]]*MAX(0,Tasks[[#This Row],[_StartWorkday]]-1)</f>
        <v>0</v>
      </c>
      <c r="DA97" s="45" t="n">
        <f aca="false">Tasks[[#This Row],[_Res2Work]]*Tasks[[#This Row],[_LeafProgress]]</f>
        <v>0</v>
      </c>
      <c r="DB97" s="45" t="n">
        <f aca="false">IF(Tasks[[#This Row],[_LeafTotalCost]]=0,0,Tasks[[#This Row],[_LeafAC]]*Tasks[[#This Row],[_Res2Cost]]/Tasks[[#This Row],[_LeafTotalCost]])</f>
        <v>0</v>
      </c>
      <c r="DC9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9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97" s="45" t="n">
        <f aca="false">IF(OR(NOT(Tasks[[#This Row],[_IsLeaf]]=1),Tasks[[#This Row],[_Res3]]=""),0,IF(ISNA(MATCH(Tasks[[#This Row],[_Res3]],res_Name,0)),0,N(Tasks[[#This Row],[Duration]])*HoursPerDay*IF(Tasks[[#This Row],[_Res3Units]]="",DefaultUnits,Tasks[[#This Row],[_Res3Units]])))</f>
        <v>0</v>
      </c>
      <c r="DF97" s="45" t="n">
        <f aca="false">IF(Tasks[[#This Row],[_Res3Work]]=0,0,Tasks[[#This Row],[_Res3Work]]*IFERROR(INDEX(res_Rate,MATCH(Tasks[[#This Row],[_Res3]],res_Name,0)),0))</f>
        <v>0</v>
      </c>
      <c r="DG97" s="45" t="n">
        <f aca="false">IF(AND(AND(Tasks[[#This Row],[_IsLeaf]]=1,Tasks[[#This Row],[_LeafTotalWork]]&gt;0),Tasks[[#This Row],[_Res3Work]]&gt;0),Tasks[[#This Row],[_Res3Work]]/(Tasks[[#This Row],[_FinishWorkday]]-Tasks[[#This Row],[_StartWorkday]]+1),0)</f>
        <v>0</v>
      </c>
      <c r="DH97" s="45" t="n">
        <f aca="false">Tasks[[#This Row],[_Res3WorkPerWD]]*MAX(0,Tasks[[#This Row],[_StartWorkday]]-1)</f>
        <v>0</v>
      </c>
      <c r="DI97" s="45" t="n">
        <f aca="false">Tasks[[#This Row],[_Res3Work]]*Tasks[[#This Row],[_LeafProgress]]</f>
        <v>0</v>
      </c>
      <c r="DJ97" s="45" t="n">
        <f aca="false">IF(Tasks[[#This Row],[_LeafTotalCost]]=0,0,Tasks[[#This Row],[_LeafAC]]*Tasks[[#This Row],[_Res3Cost]]/Tasks[[#This Row],[_LeafTotalCost]])</f>
        <v>0</v>
      </c>
      <c r="DK9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9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97" s="45" t="n">
        <f aca="false">IF(OR(NOT(Tasks[[#This Row],[_IsLeaf]]=1),Tasks[[#This Row],[_Res4]]=""),0,IF(ISNA(MATCH(Tasks[[#This Row],[_Res4]],res_Name,0)),0,N(Tasks[[#This Row],[Duration]])*HoursPerDay*IF(Tasks[[#This Row],[_Res4Units]]="",DefaultUnits,Tasks[[#This Row],[_Res4Units]])))</f>
        <v>0</v>
      </c>
      <c r="DN97" s="45" t="n">
        <f aca="false">IF(Tasks[[#This Row],[_Res4Work]]=0,0,Tasks[[#This Row],[_Res4Work]]*IFERROR(INDEX(res_Rate,MATCH(Tasks[[#This Row],[_Res4]],res_Name,0)),0))</f>
        <v>0</v>
      </c>
      <c r="DO97" s="45" t="n">
        <f aca="false">IF(AND(AND(Tasks[[#This Row],[_IsLeaf]]=1,Tasks[[#This Row],[_LeafTotalWork]]&gt;0),Tasks[[#This Row],[_Res4Work]]&gt;0),Tasks[[#This Row],[_Res4Work]]/(Tasks[[#This Row],[_FinishWorkday]]-Tasks[[#This Row],[_StartWorkday]]+1),0)</f>
        <v>0</v>
      </c>
      <c r="DP97" s="45" t="n">
        <f aca="false">Tasks[[#This Row],[_Res4WorkPerWD]]*MAX(0,Tasks[[#This Row],[_StartWorkday]]-1)</f>
        <v>0</v>
      </c>
      <c r="DQ97" s="45" t="n">
        <f aca="false">Tasks[[#This Row],[_Res4Work]]*Tasks[[#This Row],[_LeafProgress]]</f>
        <v>0</v>
      </c>
      <c r="DR97" s="45" t="n">
        <f aca="false">IF(Tasks[[#This Row],[_LeafTotalCost]]=0,0,Tasks[[#This Row],[_LeafAC]]*Tasks[[#This Row],[_Res4Cost]]/Tasks[[#This Row],[_LeafTotalCost]])</f>
        <v>0</v>
      </c>
      <c r="DS97" s="45" t="n">
        <f aca="false">IF(ISNUMBER(Tasks[[#This Row],[% Complete]]),Tasks[[#This Row],[% Complete]],IF(Tasks[[#This Row],[Stage]]="",0,IFERROR(INDEX(stg_Pct,MATCH(Tasks[[#This Row],[Stage]],stg_Name,0)),0)))</f>
        <v>0</v>
      </c>
      <c r="DT97" s="45" t="n">
        <f aca="false">IF(NOT(Tasks[[#This Row],[_IsLeaf]]=1),0,IF(N(Tasks[[#This Row],[Actual Finish]])&gt;0,1,MIN(1,Tasks[[#This Row],[_Pct]])))</f>
        <v>0</v>
      </c>
      <c r="DU97" s="45" t="n">
        <f aca="false">IF(OR(NOT(Tasks[[#This Row],[_IsLeaf]]=1),Tasks[[#This Row],[_Resource1]]=""),0,IF(ISNA(MATCH(Tasks[[#This Row],[_Resource1]],res_Name,0)),0,N(Tasks[[#This Row],[Duration]])*HoursPerDay*IF(Tasks[[#This Row],[_Units1]]="",DefaultUnits,Tasks[[#This Row],[_Units1]])))</f>
        <v>0</v>
      </c>
      <c r="DV97" s="45" t="n">
        <f aca="false">IF(Tasks[[#This Row],[_LeafWork]]=0,0,Tasks[[#This Row],[_LeafWork]]*IFERROR(INDEX(res_Rate,MATCH(Tasks[[#This Row],[_Resource1]],res_Name,0)),0))</f>
        <v>0</v>
      </c>
      <c r="DW97" s="45" t="n">
        <f aca="false">Tasks[[#This Row],[_LeafWork]]+Tasks[[#This Row],[_Res2Work]]+Tasks[[#This Row],[_Res3Work]]+Tasks[[#This Row],[_Res4Work]]</f>
        <v>0</v>
      </c>
      <c r="DX97" s="45" t="n">
        <f aca="false">Tasks[[#This Row],[_LeafCost]]+Tasks[[#This Row],[_Res2Cost]]+Tasks[[#This Row],[_Res3Cost]]+Tasks[[#This Row],[_Res4Cost]]</f>
        <v>0</v>
      </c>
      <c r="DY97" s="45" t="n">
        <f aca="false">IF(Tasks[[#This Row],[_LeafTotalCost]]=0,Tasks[[#This Row],[_LeafAC]],Tasks[[#This Row],[_LeafAC]]*Tasks[[#This Row],[_LeafCost]]/Tasks[[#This Row],[_LeafTotalCost]])</f>
        <v>0</v>
      </c>
      <c r="DZ9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9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9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9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9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9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9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9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97" s="45" t="n">
        <f aca="false">IF(NOT(Tasks[[#This Row],[_IsLeaf]]=1),0,MAX(_xlfn.MAXIFS(Tasks[_Row],Tasks[_Pred1UID],Tasks[[#This Row],[UID]]),_xlfn.MAXIFS(Tasks[_Row],Tasks[_Pred2UID],Tasks[[#This Row],[UID]]),_xlfn.MAXIFS(Tasks[_Row],Tasks[_Pred3UID],Tasks[[#This Row],[UID]]),_xlfn.MAXIFS(Tasks[_Row],Tasks[_Pred4UID],Tasks[[#This Row],[UID]])))</f>
        <v>0</v>
      </c>
      <c r="EI9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9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97" s="74" t="str">
        <f aca="false">IF(NOT(Tasks[[#This Row],[_IsLeaf]]=1),"",IF(N(Tasks[[#This Row],[Duration]])&lt;=0,Tasks[[#This Row],[_LeafLateFinish]],WORKDAY.INTL(Tasks[[#This Row],[_LeafLateFinish]],-(Tasks[[#This Row],[Duration]]-1),WorkWeek,Holidays)))</f>
        <v/>
      </c>
      <c r="EL9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97" s="73" t="b">
        <f aca="false">AND(Tasks[[#This Row],[_IsLeaf]]=1,Tasks[[#This Row],[_LeafProgress]]&lt;1,N(Tasks[[#This Row],[_LeafTotalSlack]])&lt;=CriticalSlackDays)</f>
        <v>0</v>
      </c>
      <c r="EN97" s="45" t="n">
        <f aca="false">IF(AND(Tasks[[#This Row],[_IsLeaf]]=1,Tasks[[#This Row],[_ConstraintCode]]=1,Tasks[[#This Row],[Mode]]&lt;&gt;"Manual",N(Tasks[[#This Row],[Actual Start]])=0),MAX(0,N(Tasks[[#This Row],[Free Slack]])),0)</f>
        <v>0</v>
      </c>
      <c r="EO97" s="74" t="str">
        <f aca="false">IF(NOT(Tasks[[#This Row],[_IsLeaf]]=1),"",IF(Tasks[[#This Row],[_AlapShift]]=0,Tasks[[#This Row],[_LeafCalcStart]],WORKDAY.INTL(Tasks[[#This Row],[_LeafCalcStart]],Tasks[[#This Row],[_AlapShift]],WorkWeek,Holidays)))</f>
        <v/>
      </c>
      <c r="EP97" s="74" t="str">
        <f aca="false">IF(NOT(Tasks[[#This Row],[_IsLeaf]]=1),"",IF(Tasks[[#This Row],[_AlapShift]]=0,Tasks[[#This Row],[_LeafCalcFinish]],WORKDAY.INTL(Tasks[[#This Row],[_LeafCalcFinish]],Tasks[[#This Row],[_AlapShift]],WorkWeek,Holidays)))</f>
        <v/>
      </c>
      <c r="EQ97" s="74" t="str">
        <f aca="false">IF(NOT(Tasks[[#This Row],[_IsLeaf]]=1),"",IF(Tasks[[#This Row],[_AlapShift]]=0,Tasks[[#This Row],[_LeafFcstStart]],WORKDAY.INTL(Tasks[[#This Row],[_LeafFcstStart]],Tasks[[#This Row],[_AlapShift]],WorkWeek,Holidays)))</f>
        <v/>
      </c>
      <c r="ER97" s="74" t="str">
        <f aca="false">IF(NOT(Tasks[[#This Row],[_IsLeaf]]=1),"",IF(Tasks[[#This Row],[_AlapShift]]=0,Tasks[[#This Row],[_LeafFcstFinish]],WORKDAY.INTL(Tasks[[#This Row],[_LeafFcstFinish]],Tasks[[#This Row],[_AlapShift]],WorkWeek,Holidays)))</f>
        <v/>
      </c>
      <c r="ES97" s="74" t="str">
        <f aca="false">IF(Tasks[[#This Row],[Task Name]]="","",IF(Tasks[[#This Row],[_IsSummary]],MIN(INDEX(Tasks[_ShownCalcStart],Tasks[[#This Row],[_Row]]+1):INDEX(Tasks[_ShownCalcStart],Tasks[[#This Row],[_Row]]+Tasks[[#This Row],[_Descendants]])),Tasks[[#This Row],[_ShownCalcStart]]))</f>
        <v/>
      </c>
      <c r="ET97" s="74" t="str">
        <f aca="false">IF(Tasks[[#This Row],[Task Name]]="","",IF(Tasks[[#This Row],[_IsSummary]],MAX(INDEX(Tasks[_ShownCalcFinish],Tasks[[#This Row],[_Row]]+1):INDEX(Tasks[_ShownCalcFinish],Tasks[[#This Row],[_Row]]+Tasks[[#This Row],[_Descendants]])),Tasks[[#This Row],[_ShownCalcFinish]]))</f>
        <v/>
      </c>
      <c r="EU9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9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9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9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9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9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9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9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9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9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9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9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97" s="45" t="n">
        <f aca="false">IF(AND(Tasks[[#This Row],[_IsLeaf]]=1,Tasks[[#This Row],[_LeafTotalWork]]&gt;0),NETWORKDAYS.INTL(ProjectStart,Tasks[[#This Row],[_ShownFcstStart]],WorkWeek,Holidays),0)</f>
        <v>0</v>
      </c>
      <c r="FH97" s="45" t="n">
        <f aca="false">IF(AND(Tasks[[#This Row],[_IsLeaf]]=1,Tasks[[#This Row],[_LeafTotalWork]]&gt;0),MAX(Tasks[[#This Row],[_StartWorkday]],NETWORKDAYS.INTL(ProjectStart,Tasks[[#This Row],[_ShownFcstFinish]],WorkWeek,Holidays)),0)</f>
        <v>0</v>
      </c>
      <c r="FI97" s="45" t="n">
        <f aca="false">IF(AND(Tasks[[#This Row],[_IsLeaf]]=1,Tasks[[#This Row],[_LeafTotalWork]]&gt;0),Tasks[[#This Row],[_LeafWork]]/(Tasks[[#This Row],[_FinishWorkday]]-Tasks[[#This Row],[_StartWorkday]]+1),0)</f>
        <v>0</v>
      </c>
      <c r="FJ97" s="45" t="n">
        <f aca="false">Tasks[[#This Row],[_WorkPerWorkday]]*(Tasks[[#This Row],[_StartWorkday]]-1)</f>
        <v>-0</v>
      </c>
      <c r="FK97" s="45" t="n">
        <f aca="false">IF(Tasks[[#This Row],[_IsLeaf]]=1,MAX(N(Tasks[[#This Row],[Duration]]),0.1),0)</f>
        <v>0</v>
      </c>
      <c r="FL97" s="45" t="n">
        <f aca="false">Tasks[[#This Row],[_WeightDur]]*Tasks[[#This Row],[_LeafProgress]]</f>
        <v>0</v>
      </c>
      <c r="FM9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97" s="45" t="str">
        <f aca="false">IF(AND(Tasks[[#This Row],[_IsLeaf]]=1,N(Tasks[[#This Row],[Duration]])=0,Tasks[[#This Row],[_LeafProgress]]&lt;1),Tasks[[#This Row],[_ShownFcstFinish]]+Tasks[[#This Row],[_Row]]/100000,"")</f>
        <v/>
      </c>
      <c r="FO9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97" s="45" t="n">
        <f aca="false">IF(NOT(Tasks[[#This Row],[_IsLeaf]]=1),0,IF(Tasks[[#This Row],[Baseline Cost]]="",Tasks[[#This Row],[_LeafTotalCost]],N(Tasks[[#This Row],[Baseline Cost]])))</f>
        <v>0</v>
      </c>
      <c r="FQ97" s="45" t="n">
        <f aca="false">Tasks[[#This Row],[_LeafBudget]]*Tasks[[#This Row],[_PlannedPct]]</f>
        <v>0</v>
      </c>
      <c r="FR97" s="45" t="n">
        <f aca="false">Tasks[[#This Row],[_LeafBudget]]*Tasks[[#This Row],[_LeafProgress]]</f>
        <v>0</v>
      </c>
      <c r="FS97" s="45" t="n">
        <f aca="false">IF(NOT(Tasks[[#This Row],[_IsLeaf]]=1),0,IF(Tasks[[#This Row],[Actual Cost]]="",Tasks[[#This Row],[_LeafTotalCost]]*Tasks[[#This Row],[_LeafProgress]],N(Tasks[[#This Row],[Actual Cost]])))</f>
        <v>0</v>
      </c>
      <c r="FT97" s="45" t="str">
        <f aca="false">IF(Tasks[[#This Row],[Task Name]]="","",LEFT(Tasks[[#This Row],[WBS]],FIND(".",Tasks[[#This Row],[WBS]]&amp;".")-1))</f>
        <v/>
      </c>
      <c r="FU97" s="45" t="str">
        <f aca="false">IF(AND(Tasks[[#This Row],[Task Name]]&lt;&gt;"",Tasks[[#This Row],[_Level]]=1),Tasks[[#This Row],[_Row]],"")</f>
        <v/>
      </c>
      <c r="FV97" s="45" t="str">
        <f aca="false">IF(AND(Tasks[[#This Row],[_IsLeaf]]=1,N(Tasks[[#This Row],[Duration]])=0),Tasks[[#This Row],[Planned Finish]]+Tasks[[#This Row],[_Row]]/100000,"")</f>
        <v/>
      </c>
      <c r="FW97" s="45" t="str">
        <f aca="false">IF(AND(Tasks[[#This Row],[_IsLeaf]]=1,Tasks[[#This Row],[_LeafProgress]]&lt;1,OR(N(Tasks[[#This Row],[Finish Var]])&gt;0,Tasks[[#This Row],[Status]]="Late Start")),MAX(0,Tasks[[#This Row],[Finish Var]])+1-Tasks[[#This Row],[_Row]]/1000000,"")</f>
        <v/>
      </c>
      <c r="FX97" s="45" t="str">
        <f aca="false">IF(AND(Tasks[[#This Row],[_IsLeaf]]=1,N(Tasks[[#This Row],[Actual Start]])=0,Tasks[[#This Row],[_ShownFcstStart]]&gt;=StatusDate,Tasks[[#This Row],[_ShownFcstStart]]&lt;=LookaheadEnd),Tasks[[#This Row],[_ShownFcstStart]]+Tasks[[#This Row],[_Row]]/100000,"")</f>
        <v/>
      </c>
      <c r="FY97" s="45" t="str">
        <f aca="false">IF(AND(Tasks[[#This Row],[_IsLeaf]]=1,Tasks[[#This Row],[_LeafProgress]]&lt;1,Tasks[[#This Row],[_ShownFcstFinish]]&gt;=StatusDate,Tasks[[#This Row],[_ShownFcstFinish]]&lt;=LookaheadEnd),Tasks[[#This Row],[_ShownFcstFinish]]+Tasks[[#This Row],[_Row]]/100000,"")</f>
        <v/>
      </c>
      <c r="FZ97" s="45" t="str">
        <f aca="false">IF(Tasks[[#This Row],[_LeafCritical]],Tasks[[#This Row],[_ShownFcstStart]]+Tasks[[#This Row],[_Row]]/100000,"")</f>
        <v/>
      </c>
      <c r="GA97" s="45" t="n">
        <f aca="false">Tasks[[#This Row],[_LeafWork]]*Tasks[[#This Row],[_LeafProgress]]</f>
        <v>0</v>
      </c>
      <c r="GB97" s="74" t="str">
        <f aca="false">IF(AND(Tasks[[#This Row],[_IsLeaf]]=1,Tasks[[#This Row],[_LeafProgress]]&gt;=1),IF(N(Tasks[[#This Row],[Actual Finish]])&gt;0,Tasks[[#This Row],[Actual Finish]],Tasks[[#This Row],[_ShownFcstFinish]]),"")</f>
        <v/>
      </c>
    </row>
    <row r="98" customFormat="false" ht="15" hidden="false" customHeight="false" outlineLevel="0" collapsed="false">
      <c r="A98" s="67" t="str">
        <f aca="false">IF(Tasks[[#This Row],[Task Name]]="","",COUNTA(Tasks[[#Headers],[Task Name]]:Tasks[[#This Row],[Task Name]])-1)</f>
        <v/>
      </c>
      <c r="B98" s="21" t="n">
        <v>93</v>
      </c>
      <c r="C9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21"/>
      <c r="E98" s="22"/>
      <c r="F98" s="21"/>
      <c r="G98" s="22"/>
      <c r="H98" s="22"/>
      <c r="I98" s="22"/>
      <c r="J98" s="7"/>
      <c r="K98" s="7"/>
      <c r="L98" s="22"/>
      <c r="M98" s="58" t="str">
        <f aca="false">IF(Tasks[[#This Row],[Task Name]]="","",IF(Tasks[[#This Row],[_IsSummary]],MIN(INDEX(Tasks[_ShownFcstStart],Tasks[[#This Row],[_Row]]+1):INDEX(Tasks[_ShownFcstStart],Tasks[[#This Row],[_Row]]+Tasks[[#This Row],[_Descendants]])),Tasks[[#This Row],[_ShownFcstStart]]))</f>
        <v/>
      </c>
      <c r="N98" s="58" t="str">
        <f aca="false">IF(Tasks[[#This Row],[Task Name]]="","",IF(Tasks[[#This Row],[_IsSummary]],MAX(INDEX(Tasks[_ShownFcstFinish],Tasks[[#This Row],[_Row]]+1):INDEX(Tasks[_ShownFcstFinish],Tasks[[#This Row],[_Row]]+Tasks[[#This Row],[_Descendants]])),Tasks[[#This Row],[_ShownFcstFinish]]))</f>
        <v/>
      </c>
      <c r="O98" s="20" t="str">
        <f aca="false">IF(Tasks[[#This Row],[Task Name]]="","",IF(Tasks[[#This Row],[Progress]]&gt;=1,"Complete",IF(OR(N(Tasks[[#This Row],[Actual Start]])&gt;0,Tasks[[#This Row],[Progress]]&gt;0),IF(Tasks[[#This Row],[Finish Var]]&gt;0,"Behind","In Progress"),IF(Tasks[[#This Row],[Planned Start]]&lt;StatusDate,"Late Start","Not Started"))))</f>
        <v/>
      </c>
      <c r="P98" s="20" t="str">
        <f aca="false">IF(Tasks[[#This Row],[Task Name]]="","",IF(IF(Tasks[[#This Row],[_IsSummary]],COUNTIF(INDEX(Tasks[_LeafCritical],Tasks[[#This Row],[_Row]]+1):INDEX(Tasks[_LeafCritical],Tasks[[#This Row],[_Row]]+Tasks[[#This Row],[_Descendants]]),TRUE())&gt;0,Tasks[[#This Row],[_LeafCritical]]),"Yes",""))</f>
        <v/>
      </c>
      <c r="Q9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98" s="67" t="str">
        <f aca="false">IF(Tasks[[#This Row],[Task Name]]="","",IF(Tasks[[#This Row],[_Level]]&lt;=OutlineShowLevel,"Yes","No"))</f>
        <v/>
      </c>
      <c r="S98" s="7"/>
      <c r="T98" s="21"/>
      <c r="U98" s="22"/>
      <c r="V98" s="7"/>
      <c r="W98" s="67" t="str">
        <f aca="false">IF(Tasks[[#This Row],[Task Name]]="","",IF(Tasks[[#This Row],[Finish]]&gt;=Tasks[[#This Row],[Planned Finish]],NETWORKDAYS.INTL(Tasks[[#This Row],[Planned Finish]],Tasks[[#This Row],[Finish]],WorkWeek,Holidays)-1,1-NETWORKDAYS.INTL(Tasks[[#This Row],[Finish]],Tasks[[#This Row],[Planned Finish]],WorkWeek,Holidays)))</f>
        <v/>
      </c>
      <c r="X98" s="58" t="str">
        <f aca="false">IF(Tasks[[#This Row],[Task Name]]="","",IF(N(Tasks[[#This Row],[Baseline Start]])&gt;0,Tasks[[#This Row],[Baseline Start]],Tasks[[#This Row],[_CalcStart]]))</f>
        <v/>
      </c>
      <c r="Y98" s="58" t="str">
        <f aca="false">IF(Tasks[[#This Row],[Task Name]]="","",IF(N(Tasks[[#This Row],[Baseline Finish]])&gt;0,Tasks[[#This Row],[Baseline Finish]],Tasks[[#This Row],[_CalcFinish]]))</f>
        <v/>
      </c>
      <c r="Z98" s="67" t="str">
        <f aca="false">IF(Tasks[[#This Row],[Task Name]]="","",IF(Tasks[[#This Row],[Start]]&gt;=Tasks[[#This Row],[Planned Start]],NETWORKDAYS.INTL(Tasks[[#This Row],[Planned Start]],Tasks[[#This Row],[Start]],WorkWeek,Holidays)-1,1-NETWORKDAYS.INTL(Tasks[[#This Row],[Start]],Tasks[[#This Row],[Planned Start]],WorkWeek,Holidays)))</f>
        <v/>
      </c>
      <c r="AA98" s="58" t="str">
        <f aca="false">IF(Tasks[[#This Row],[Task Name]]="","",IF(Tasks[[#This Row],[_IsSummary]],MIN(INDEX(Tasks[_LeafLateStart],Tasks[[#This Row],[_Row]]+1):INDEX(Tasks[_LeafLateStart],Tasks[[#This Row],[_Row]]+Tasks[[#This Row],[_Descendants]])),Tasks[[#This Row],[_LeafLateStart]]))</f>
        <v/>
      </c>
      <c r="AB98" s="58" t="str">
        <f aca="false">IF(Tasks[[#This Row],[Task Name]]="","",IF(Tasks[[#This Row],[_IsSummary]],MAX(INDEX(Tasks[_LeafLateFinish],Tasks[[#This Row],[_Row]]+1):INDEX(Tasks[_LeafLateFinish],Tasks[[#This Row],[_Row]]+Tasks[[#This Row],[_Descendants]])),Tasks[[#This Row],[_LeafLateFinish]]))</f>
        <v/>
      </c>
      <c r="AC98" s="67" t="str">
        <f aca="false">IF(Tasks[[#This Row],[Task Name]]="","",IF(Tasks[[#This Row],[_IsSummary]],MIN(INDEX(Tasks[_LeafTotalSlack],Tasks[[#This Row],[_Row]]+1):INDEX(Tasks[_LeafTotalSlack],Tasks[[#This Row],[_Row]]+Tasks[[#This Row],[_Descendants]])),Tasks[[#This Row],[_LeafTotalSlack]]))</f>
        <v/>
      </c>
      <c r="AD9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9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9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98" s="60"/>
      <c r="AH9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9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98" s="69" t="str">
        <f aca="false">IF(Tasks[[#This Row],[Task Name]]="","",IF(Tasks[[#This Row],[_IsSummary]],SUM(INDEX(Tasks[_LeafTotalWork],Tasks[[#This Row],[_Row]]+1):INDEX(Tasks[_LeafTotalWork],Tasks[[#This Row],[_Row]]+Tasks[[#This Row],[_Descendants]])),Tasks[[#This Row],[_LeafTotalWork]]))</f>
        <v/>
      </c>
      <c r="AK9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98" s="70" t="str">
        <f aca="false">IF(Tasks[[#This Row],[Task Name]]="","",IF(Tasks[[#This Row],[_IsSummary]],SUM(INDEX(Tasks[_LeafTotalCost],Tasks[[#This Row],[_Row]]+1):INDEX(Tasks[_LeafTotalCost],Tasks[[#This Row],[_Row]]+Tasks[[#This Row],[_Descendants]])),Tasks[[#This Row],[_LeafTotalCost]]))</f>
        <v/>
      </c>
      <c r="AM98" s="71"/>
      <c r="AN98" s="20" t="str">
        <f aca="false">IF(OR(Tasks[[#This Row],[Task Name]]="",Tasks[[#This Row],[Baseline Duration]]=""),"",Tasks[[#This Row],[BL Source Duration]]-N(Tasks[[#This Row],[Baseline Duration]]))</f>
        <v/>
      </c>
      <c r="AO98" s="69" t="str">
        <f aca="false">IF(OR(Tasks[[#This Row],[Task Name]]="",Tasks[[#This Row],[Baseline Work]]=""),"",Tasks[[#This Row],[Work]]-N(Tasks[[#This Row],[Baseline Work]]))</f>
        <v/>
      </c>
      <c r="AP98" s="70" t="str">
        <f aca="false">IF(OR(Tasks[[#This Row],[Task Name]]="",Tasks[[#This Row],[Baseline Cost]]=""),"",Tasks[[#This Row],[Cost]]-N(Tasks[[#This Row],[Baseline Cost]]))</f>
        <v/>
      </c>
      <c r="AQ98" s="58" t="str">
        <f aca="false">IF(Tasks[[#This Row],[Task Name]]="","",Tasks[[#This Row],[Start]])</f>
        <v/>
      </c>
      <c r="AR98" s="58" t="str">
        <f aca="false">IF(Tasks[[#This Row],[Task Name]]="","",Tasks[[#This Row],[Finish]])</f>
        <v/>
      </c>
      <c r="AS98" s="67" t="str">
        <f aca="false">IF(Tasks[[#This Row],[Task Name]]="","",IF(Tasks[[#This Row],[_IsSummary]],NETWORKDAYS.INTL(Tasks[[#This Row],[Start]],Tasks[[#This Row],[Finish]],WorkWeek,Holidays),N(Tasks[[#This Row],[Duration]])))</f>
        <v/>
      </c>
      <c r="AT98" s="69" t="str">
        <f aca="false">IF(Tasks[[#This Row],[Task Name]]="","",Tasks[[#This Row],[Work]])</f>
        <v/>
      </c>
      <c r="AU98" s="70" t="str">
        <f aca="false">IF(Tasks[[#This Row],[Task Name]]="","",Tasks[[#This Row],[Cost]])</f>
        <v/>
      </c>
      <c r="AV98" s="7"/>
      <c r="AW98" s="7"/>
      <c r="AX98" s="21"/>
      <c r="AY98" s="72"/>
      <c r="AZ98" s="71"/>
      <c r="BA98" s="70" t="str">
        <f aca="false">IF(Tasks[[#This Row],[Task Name]]="","",IF(Tasks[[#This Row],[_IsSummary]],SUM(INDEX(Tasks[_LeafEV],Tasks[[#This Row],[_Row]]+1):INDEX(Tasks[_LeafEV],Tasks[[#This Row],[_Row]]+Tasks[[#This Row],[_Descendants]])),Tasks[[#This Row],[_LeafEV]]))</f>
        <v/>
      </c>
      <c r="BB98" s="70" t="str">
        <f aca="false">IF(Tasks[[#This Row],[Task Name]]="","",IF(Tasks[[#This Row],[_IsSummary]],SUM(INDEX(Tasks[_LeafBudget],Tasks[[#This Row],[_Row]]+1):INDEX(Tasks[_LeafBudget],Tasks[[#This Row],[_Row]]+Tasks[[#This Row],[_Descendants]])),Tasks[[#This Row],[_LeafBudget]]))</f>
        <v/>
      </c>
      <c r="BC98" s="70" t="str">
        <f aca="false">IF(Tasks[[#This Row],[Task Name]]="","",IF(Tasks[[#This Row],[_IsSummary]],SUM(INDEX(Tasks[_LeafPV],Tasks[[#This Row],[_Row]]+1):INDEX(Tasks[_LeafPV],Tasks[[#This Row],[_Row]]+Tasks[[#This Row],[_Descendants]])),Tasks[[#This Row],[_LeafPV]]))</f>
        <v/>
      </c>
      <c r="BD98" s="70" t="str">
        <f aca="false">IF(Tasks[[#This Row],[Task Name]]="","",IF(Tasks[[#This Row],[_IsSummary]],SUM(INDEX(Tasks[_LeafAC],Tasks[[#This Row],[_Row]]+1):INDEX(Tasks[_LeafAC],Tasks[[#This Row],[_Row]]+Tasks[[#This Row],[_Descendants]])),Tasks[[#This Row],[_LeafAC]]))</f>
        <v/>
      </c>
      <c r="BE98" s="45" t="str">
        <f aca="false">IF(Tasks[[#This Row],[Task Name]]="","",MAX(1,N(Tasks[[#This Row],[Level]])))</f>
        <v/>
      </c>
      <c r="BF98" s="45" t="n">
        <f aca="false">ROW()-ROW(Tasks[[#Headers],[ID]])</f>
        <v>93</v>
      </c>
      <c r="BG98" s="45" t="n">
        <f aca="false">IF(OR(Tasks[[#This Row],[Task Name]]="",Tasks[[#This Row],[_Level]]&lt;=1),0,IFERROR(LOOKUP(2,1/(Tasks[[#Headers],[_Level]]:Tasks[[#This Row],[_Level]]=Tasks[[#This Row],[_Level]]-1),ROW(Tasks[[#Headers],[_Level]]:Tasks[[#This Row],[_Level]])),0))</f>
        <v>0</v>
      </c>
      <c r="BH98" s="45" t="n">
        <f aca="false">IFERROR(N(INDEX(Tasks[_Level],Tasks[[#This Row],[_Row]]+1)),0)</f>
        <v>0</v>
      </c>
      <c r="BI98" s="73" t="b">
        <f aca="false">AND(Tasks[[#This Row],[Task Name]]&lt;&gt;"",Tasks[[#This Row],[_NextLevel]]&gt;Tasks[[#This Row],[_Level]])</f>
        <v>0</v>
      </c>
      <c r="BJ98" s="45" t="n">
        <f aca="false">IF(Tasks[[#This Row],[_IsSummary]],COUNTIF(Tasks[WBS],Tasks[[#This Row],[WBS]]&amp;".*"),0)</f>
        <v>0</v>
      </c>
      <c r="BK98" s="45" t="n">
        <f aca="false">IF(AND(Tasks[[#This Row],[Task Name]]&lt;&gt;"",NOT(Tasks[[#This Row],[_IsSummary]])),1,0)</f>
        <v>0</v>
      </c>
      <c r="BL98" s="45" t="n">
        <f aca="false">IF(N(Tasks[[#This Row],[_Pred1UID]])=0,0,IFERROR(MATCH(Tasks[[#This Row],[_Pred1UID]],Tasks[UID],0),-1))</f>
        <v>0</v>
      </c>
      <c r="BM98" s="45" t="n">
        <f aca="false">IF(N(Tasks[[#This Row],[_Pred2UID]])=0,0,IFERROR(MATCH(Tasks[[#This Row],[_Pred2UID]],Tasks[UID],0),-1))</f>
        <v>0</v>
      </c>
      <c r="BN98" s="45" t="n">
        <f aca="false">IF(N(Tasks[[#This Row],[_Pred3UID]])=0,0,IFERROR(MATCH(Tasks[[#This Row],[_Pred3UID]],Tasks[UID],0),-1))</f>
        <v>0</v>
      </c>
      <c r="BO98" s="45" t="n">
        <f aca="false">IF(N(Tasks[[#This Row],[_Pred4UID]])=0,0,IFERROR(MATCH(Tasks[[#This Row],[_Pred4UID]],Tasks[UID],0),-1))</f>
        <v>0</v>
      </c>
      <c r="BP9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9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98" s="74" t="n">
        <f aca="false">IF(OR(Tasks[[#This Row],[_ConstraintCode]]=2,Tasks[[#This Row],[_ConstraintCode]]=3,Tasks[[#This Row],[_ConstraintCode]]=4,Tasks[[#This Row],[_ConstraintCode]]=6),Tasks[[#This Row],[_ConstraintStart]],0)</f>
        <v>0</v>
      </c>
      <c r="BS98" s="74" t="n">
        <f aca="false">IF(OR(Tasks[[#This Row],[_ConstraintCode]]=2,Tasks[[#This Row],[_ConstraintCode]]=3,Tasks[[#This Row],[_ConstraintCode]]=5,Tasks[[#This Row],[_ConstraintCode]]=7),Tasks[[#This Row],[_ConstraintStart]],2958465)</f>
        <v>2958465</v>
      </c>
      <c r="BT9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98" s="74" t="str">
        <f aca="false">IF(NOT(Tasks[[#This Row],[_IsLeaf]]=1),"",IF(N(Tasks[[#This Row],[Duration]])&lt;=0,Tasks[[#This Row],[_LeafCalcStart]],WORKDAY.INTL(Tasks[[#This Row],[_LeafCalcStart]],Tasks[[#This Row],[Duration]]-1,WorkWeek,Holidays)))</f>
        <v/>
      </c>
      <c r="BV9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9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98" s="45" t="str">
        <f aca="false">IF(Tasks[[#This Row],[Predecessors]]="","",TRIM(MID(SUBSTITUTE(SUBSTITUTE(SUBSTITUTE(UPPER(Tasks[[#This Row],[Predecessors]]),";",",")," ",""),",",REPT(" ",99)),1,99)))</f>
        <v/>
      </c>
      <c r="BY98" s="45" t="str">
        <f aca="false">IF(Tasks[[#This Row],[_Pred1Text]]="","",IFERROR(VALUE(LEFT(Tasks[[#This Row],[_Pred1Text]],MIN(FIND("F",Tasks[[#This Row],[_Pred1Text]]&amp;"F"),FIND("S",Tasks[[#This Row],[_Pred1Text]]&amp;"S"),FIND("+",Tasks[[#This Row],[_Pred1Text]]&amp;"+"),FIND("-",Tasks[[#This Row],[_Pred1Text]]&amp;"-"))-1)),""))</f>
        <v/>
      </c>
      <c r="BZ9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9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98" s="45" t="str">
        <f aca="false">IF(Tasks[[#This Row],[_Pred1Text]]="","",TRIM(MID(SUBSTITUTE(SUBSTITUTE(SUBSTITUTE(UPPER(Tasks[[#This Row],[Predecessors]]),";",",")," ",""),",",REPT(" ",99)),100,99)))</f>
        <v/>
      </c>
      <c r="CC98" s="45" t="str">
        <f aca="false">IF(Tasks[[#This Row],[_Pred2Text]]="","",IFERROR(VALUE(LEFT(Tasks[[#This Row],[_Pred2Text]],MIN(FIND("F",Tasks[[#This Row],[_Pred2Text]]&amp;"F"),FIND("S",Tasks[[#This Row],[_Pred2Text]]&amp;"S"),FIND("+",Tasks[[#This Row],[_Pred2Text]]&amp;"+"),FIND("-",Tasks[[#This Row],[_Pred2Text]]&amp;"-"))-1)),""))</f>
        <v/>
      </c>
      <c r="CD9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9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98" s="45" t="str">
        <f aca="false">IF(Tasks[[#This Row],[_Pred2Text]]="","",TRIM(MID(SUBSTITUTE(SUBSTITUTE(SUBSTITUTE(UPPER(Tasks[[#This Row],[Predecessors]]),";",",")," ",""),",",REPT(" ",99)),199,99)))</f>
        <v/>
      </c>
      <c r="CG98" s="45" t="str">
        <f aca="false">IF(Tasks[[#This Row],[_Pred3Text]]="","",IFERROR(VALUE(LEFT(Tasks[[#This Row],[_Pred3Text]],MIN(FIND("F",Tasks[[#This Row],[_Pred3Text]]&amp;"F"),FIND("S",Tasks[[#This Row],[_Pred3Text]]&amp;"S"),FIND("+",Tasks[[#This Row],[_Pred3Text]]&amp;"+"),FIND("-",Tasks[[#This Row],[_Pred3Text]]&amp;"-"))-1)),""))</f>
        <v/>
      </c>
      <c r="CH9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9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98" s="45" t="str">
        <f aca="false">IF(Tasks[[#This Row],[_Pred3Text]]="","",TRIM(MID(SUBSTITUTE(SUBSTITUTE(SUBSTITUTE(UPPER(Tasks[[#This Row],[Predecessors]]),";",",")," ",""),",",REPT(" ",99)),298,99)))</f>
        <v/>
      </c>
      <c r="CK98" s="45" t="str">
        <f aca="false">IF(Tasks[[#This Row],[_Pred4Text]]="","",IFERROR(VALUE(LEFT(Tasks[[#This Row],[_Pred4Text]],MIN(FIND("F",Tasks[[#This Row],[_Pred4Text]]&amp;"F"),FIND("S",Tasks[[#This Row],[_Pred4Text]]&amp;"S"),FIND("+",Tasks[[#This Row],[_Pred4Text]]&amp;"+"),FIND("-",Tasks[[#This Row],[_Pred4Text]]&amp;"-"))-1)),""))</f>
        <v/>
      </c>
      <c r="CL9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9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98" s="45" t="str">
        <f aca="false">IF(OR(Tasks[[#This Row],[Task Name]]="",Tasks[[#This Row],[Resources]]=""),"",TRIM(MID(SUBSTITUTE(Tasks[[#This Row],[Resources]],",",REPT(" ",99)),1,99)))</f>
        <v/>
      </c>
      <c r="CO98" s="45" t="str">
        <f aca="false">IF(Tasks[[#This Row],[_Res1Text]]="","",TRIM(MID(SUBSTITUTE(Tasks[[#This Row],[Resources]],",",REPT(" ",99)),100,99)))</f>
        <v/>
      </c>
      <c r="CP98" s="45" t="str">
        <f aca="false">IF(Tasks[[#This Row],[_Res2Text]]="","",TRIM(MID(SUBSTITUTE(Tasks[[#This Row],[Resources]],",",REPT(" ",99)),199,99)))</f>
        <v/>
      </c>
      <c r="CQ98" s="45" t="str">
        <f aca="false">IF(Tasks[[#This Row],[_Res3Text]]="","",TRIM(MID(SUBSTITUTE(Tasks[[#This Row],[Resources]],",",REPT(" ",99)),298,99)))</f>
        <v/>
      </c>
      <c r="CR9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9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8" s="45" t="n">
        <f aca="false">IF(NOT(Tasks[[#This Row],[_IsLeaf]]=1),0,(Tasks[[#This Row],[_Resource1]]&lt;&gt;"")+(Tasks[[#This Row],[_Res2]]&lt;&gt;"")+(Tasks[[#This Row],[_Res3]]&lt;&gt;"")+(Tasks[[#This Row],[_Res4]]&lt;&gt;""))</f>
        <v>0</v>
      </c>
      <c r="CU9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9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8" s="45" t="n">
        <f aca="false">IF(OR(NOT(Tasks[[#This Row],[_IsLeaf]]=1),Tasks[[#This Row],[_Res2]]=""),0,IF(ISNA(MATCH(Tasks[[#This Row],[_Res2]],res_Name,0)),0,N(Tasks[[#This Row],[Duration]])*HoursPerDay*IF(Tasks[[#This Row],[_Res2Units]]="",DefaultUnits,Tasks[[#This Row],[_Res2Units]])))</f>
        <v>0</v>
      </c>
      <c r="CX98" s="45" t="n">
        <f aca="false">IF(Tasks[[#This Row],[_Res2Work]]=0,0,Tasks[[#This Row],[_Res2Work]]*IFERROR(INDEX(res_Rate,MATCH(Tasks[[#This Row],[_Res2]],res_Name,0)),0))</f>
        <v>0</v>
      </c>
      <c r="CY98" s="45" t="n">
        <f aca="false">IF(AND(AND(Tasks[[#This Row],[_IsLeaf]]=1,Tasks[[#This Row],[_LeafTotalWork]]&gt;0),Tasks[[#This Row],[_Res2Work]]&gt;0),Tasks[[#This Row],[_Res2Work]]/(Tasks[[#This Row],[_FinishWorkday]]-Tasks[[#This Row],[_StartWorkday]]+1),0)</f>
        <v>0</v>
      </c>
      <c r="CZ98" s="45" t="n">
        <f aca="false">Tasks[[#This Row],[_Res2WorkPerWD]]*MAX(0,Tasks[[#This Row],[_StartWorkday]]-1)</f>
        <v>0</v>
      </c>
      <c r="DA98" s="45" t="n">
        <f aca="false">Tasks[[#This Row],[_Res2Work]]*Tasks[[#This Row],[_LeafProgress]]</f>
        <v>0</v>
      </c>
      <c r="DB98" s="45" t="n">
        <f aca="false">IF(Tasks[[#This Row],[_LeafTotalCost]]=0,0,Tasks[[#This Row],[_LeafAC]]*Tasks[[#This Row],[_Res2Cost]]/Tasks[[#This Row],[_LeafTotalCost]])</f>
        <v>0</v>
      </c>
      <c r="DC9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9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98" s="45" t="n">
        <f aca="false">IF(OR(NOT(Tasks[[#This Row],[_IsLeaf]]=1),Tasks[[#This Row],[_Res3]]=""),0,IF(ISNA(MATCH(Tasks[[#This Row],[_Res3]],res_Name,0)),0,N(Tasks[[#This Row],[Duration]])*HoursPerDay*IF(Tasks[[#This Row],[_Res3Units]]="",DefaultUnits,Tasks[[#This Row],[_Res3Units]])))</f>
        <v>0</v>
      </c>
      <c r="DF98" s="45" t="n">
        <f aca="false">IF(Tasks[[#This Row],[_Res3Work]]=0,0,Tasks[[#This Row],[_Res3Work]]*IFERROR(INDEX(res_Rate,MATCH(Tasks[[#This Row],[_Res3]],res_Name,0)),0))</f>
        <v>0</v>
      </c>
      <c r="DG98" s="45" t="n">
        <f aca="false">IF(AND(AND(Tasks[[#This Row],[_IsLeaf]]=1,Tasks[[#This Row],[_LeafTotalWork]]&gt;0),Tasks[[#This Row],[_Res3Work]]&gt;0),Tasks[[#This Row],[_Res3Work]]/(Tasks[[#This Row],[_FinishWorkday]]-Tasks[[#This Row],[_StartWorkday]]+1),0)</f>
        <v>0</v>
      </c>
      <c r="DH98" s="45" t="n">
        <f aca="false">Tasks[[#This Row],[_Res3WorkPerWD]]*MAX(0,Tasks[[#This Row],[_StartWorkday]]-1)</f>
        <v>0</v>
      </c>
      <c r="DI98" s="45" t="n">
        <f aca="false">Tasks[[#This Row],[_Res3Work]]*Tasks[[#This Row],[_LeafProgress]]</f>
        <v>0</v>
      </c>
      <c r="DJ98" s="45" t="n">
        <f aca="false">IF(Tasks[[#This Row],[_LeafTotalCost]]=0,0,Tasks[[#This Row],[_LeafAC]]*Tasks[[#This Row],[_Res3Cost]]/Tasks[[#This Row],[_LeafTotalCost]])</f>
        <v>0</v>
      </c>
      <c r="DK9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9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98" s="45" t="n">
        <f aca="false">IF(OR(NOT(Tasks[[#This Row],[_IsLeaf]]=1),Tasks[[#This Row],[_Res4]]=""),0,IF(ISNA(MATCH(Tasks[[#This Row],[_Res4]],res_Name,0)),0,N(Tasks[[#This Row],[Duration]])*HoursPerDay*IF(Tasks[[#This Row],[_Res4Units]]="",DefaultUnits,Tasks[[#This Row],[_Res4Units]])))</f>
        <v>0</v>
      </c>
      <c r="DN98" s="45" t="n">
        <f aca="false">IF(Tasks[[#This Row],[_Res4Work]]=0,0,Tasks[[#This Row],[_Res4Work]]*IFERROR(INDEX(res_Rate,MATCH(Tasks[[#This Row],[_Res4]],res_Name,0)),0))</f>
        <v>0</v>
      </c>
      <c r="DO98" s="45" t="n">
        <f aca="false">IF(AND(AND(Tasks[[#This Row],[_IsLeaf]]=1,Tasks[[#This Row],[_LeafTotalWork]]&gt;0),Tasks[[#This Row],[_Res4Work]]&gt;0),Tasks[[#This Row],[_Res4Work]]/(Tasks[[#This Row],[_FinishWorkday]]-Tasks[[#This Row],[_StartWorkday]]+1),0)</f>
        <v>0</v>
      </c>
      <c r="DP98" s="45" t="n">
        <f aca="false">Tasks[[#This Row],[_Res4WorkPerWD]]*MAX(0,Tasks[[#This Row],[_StartWorkday]]-1)</f>
        <v>0</v>
      </c>
      <c r="DQ98" s="45" t="n">
        <f aca="false">Tasks[[#This Row],[_Res4Work]]*Tasks[[#This Row],[_LeafProgress]]</f>
        <v>0</v>
      </c>
      <c r="DR98" s="45" t="n">
        <f aca="false">IF(Tasks[[#This Row],[_LeafTotalCost]]=0,0,Tasks[[#This Row],[_LeafAC]]*Tasks[[#This Row],[_Res4Cost]]/Tasks[[#This Row],[_LeafTotalCost]])</f>
        <v>0</v>
      </c>
      <c r="DS98" s="45" t="n">
        <f aca="false">IF(ISNUMBER(Tasks[[#This Row],[% Complete]]),Tasks[[#This Row],[% Complete]],IF(Tasks[[#This Row],[Stage]]="",0,IFERROR(INDEX(stg_Pct,MATCH(Tasks[[#This Row],[Stage]],stg_Name,0)),0)))</f>
        <v>0</v>
      </c>
      <c r="DT98" s="45" t="n">
        <f aca="false">IF(NOT(Tasks[[#This Row],[_IsLeaf]]=1),0,IF(N(Tasks[[#This Row],[Actual Finish]])&gt;0,1,MIN(1,Tasks[[#This Row],[_Pct]])))</f>
        <v>0</v>
      </c>
      <c r="DU98" s="45" t="n">
        <f aca="false">IF(OR(NOT(Tasks[[#This Row],[_IsLeaf]]=1),Tasks[[#This Row],[_Resource1]]=""),0,IF(ISNA(MATCH(Tasks[[#This Row],[_Resource1]],res_Name,0)),0,N(Tasks[[#This Row],[Duration]])*HoursPerDay*IF(Tasks[[#This Row],[_Units1]]="",DefaultUnits,Tasks[[#This Row],[_Units1]])))</f>
        <v>0</v>
      </c>
      <c r="DV98" s="45" t="n">
        <f aca="false">IF(Tasks[[#This Row],[_LeafWork]]=0,0,Tasks[[#This Row],[_LeafWork]]*IFERROR(INDEX(res_Rate,MATCH(Tasks[[#This Row],[_Resource1]],res_Name,0)),0))</f>
        <v>0</v>
      </c>
      <c r="DW98" s="45" t="n">
        <f aca="false">Tasks[[#This Row],[_LeafWork]]+Tasks[[#This Row],[_Res2Work]]+Tasks[[#This Row],[_Res3Work]]+Tasks[[#This Row],[_Res4Work]]</f>
        <v>0</v>
      </c>
      <c r="DX98" s="45" t="n">
        <f aca="false">Tasks[[#This Row],[_LeafCost]]+Tasks[[#This Row],[_Res2Cost]]+Tasks[[#This Row],[_Res3Cost]]+Tasks[[#This Row],[_Res4Cost]]</f>
        <v>0</v>
      </c>
      <c r="DY98" s="45" t="n">
        <f aca="false">IF(Tasks[[#This Row],[_LeafTotalCost]]=0,Tasks[[#This Row],[_LeafAC]],Tasks[[#This Row],[_LeafAC]]*Tasks[[#This Row],[_LeafCost]]/Tasks[[#This Row],[_LeafTotalCost]])</f>
        <v>0</v>
      </c>
      <c r="DZ9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9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9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9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9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9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9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9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98" s="45" t="n">
        <f aca="false">IF(NOT(Tasks[[#This Row],[_IsLeaf]]=1),0,MAX(_xlfn.MAXIFS(Tasks[_Row],Tasks[_Pred1UID],Tasks[[#This Row],[UID]]),_xlfn.MAXIFS(Tasks[_Row],Tasks[_Pred2UID],Tasks[[#This Row],[UID]]),_xlfn.MAXIFS(Tasks[_Row],Tasks[_Pred3UID],Tasks[[#This Row],[UID]]),_xlfn.MAXIFS(Tasks[_Row],Tasks[_Pred4UID],Tasks[[#This Row],[UID]])))</f>
        <v>0</v>
      </c>
      <c r="EI9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9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98" s="74" t="str">
        <f aca="false">IF(NOT(Tasks[[#This Row],[_IsLeaf]]=1),"",IF(N(Tasks[[#This Row],[Duration]])&lt;=0,Tasks[[#This Row],[_LeafLateFinish]],WORKDAY.INTL(Tasks[[#This Row],[_LeafLateFinish]],-(Tasks[[#This Row],[Duration]]-1),WorkWeek,Holidays)))</f>
        <v/>
      </c>
      <c r="EL9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98" s="73" t="b">
        <f aca="false">AND(Tasks[[#This Row],[_IsLeaf]]=1,Tasks[[#This Row],[_LeafProgress]]&lt;1,N(Tasks[[#This Row],[_LeafTotalSlack]])&lt;=CriticalSlackDays)</f>
        <v>0</v>
      </c>
      <c r="EN98" s="45" t="n">
        <f aca="false">IF(AND(Tasks[[#This Row],[_IsLeaf]]=1,Tasks[[#This Row],[_ConstraintCode]]=1,Tasks[[#This Row],[Mode]]&lt;&gt;"Manual",N(Tasks[[#This Row],[Actual Start]])=0),MAX(0,N(Tasks[[#This Row],[Free Slack]])),0)</f>
        <v>0</v>
      </c>
      <c r="EO98" s="74" t="str">
        <f aca="false">IF(NOT(Tasks[[#This Row],[_IsLeaf]]=1),"",IF(Tasks[[#This Row],[_AlapShift]]=0,Tasks[[#This Row],[_LeafCalcStart]],WORKDAY.INTL(Tasks[[#This Row],[_LeafCalcStart]],Tasks[[#This Row],[_AlapShift]],WorkWeek,Holidays)))</f>
        <v/>
      </c>
      <c r="EP98" s="74" t="str">
        <f aca="false">IF(NOT(Tasks[[#This Row],[_IsLeaf]]=1),"",IF(Tasks[[#This Row],[_AlapShift]]=0,Tasks[[#This Row],[_LeafCalcFinish]],WORKDAY.INTL(Tasks[[#This Row],[_LeafCalcFinish]],Tasks[[#This Row],[_AlapShift]],WorkWeek,Holidays)))</f>
        <v/>
      </c>
      <c r="EQ98" s="74" t="str">
        <f aca="false">IF(NOT(Tasks[[#This Row],[_IsLeaf]]=1),"",IF(Tasks[[#This Row],[_AlapShift]]=0,Tasks[[#This Row],[_LeafFcstStart]],WORKDAY.INTL(Tasks[[#This Row],[_LeafFcstStart]],Tasks[[#This Row],[_AlapShift]],WorkWeek,Holidays)))</f>
        <v/>
      </c>
      <c r="ER98" s="74" t="str">
        <f aca="false">IF(NOT(Tasks[[#This Row],[_IsLeaf]]=1),"",IF(Tasks[[#This Row],[_AlapShift]]=0,Tasks[[#This Row],[_LeafFcstFinish]],WORKDAY.INTL(Tasks[[#This Row],[_LeafFcstFinish]],Tasks[[#This Row],[_AlapShift]],WorkWeek,Holidays)))</f>
        <v/>
      </c>
      <c r="ES98" s="74" t="str">
        <f aca="false">IF(Tasks[[#This Row],[Task Name]]="","",IF(Tasks[[#This Row],[_IsSummary]],MIN(INDEX(Tasks[_ShownCalcStart],Tasks[[#This Row],[_Row]]+1):INDEX(Tasks[_ShownCalcStart],Tasks[[#This Row],[_Row]]+Tasks[[#This Row],[_Descendants]])),Tasks[[#This Row],[_ShownCalcStart]]))</f>
        <v/>
      </c>
      <c r="ET98" s="74" t="str">
        <f aca="false">IF(Tasks[[#This Row],[Task Name]]="","",IF(Tasks[[#This Row],[_IsSummary]],MAX(INDEX(Tasks[_ShownCalcFinish],Tasks[[#This Row],[_Row]]+1):INDEX(Tasks[_ShownCalcFinish],Tasks[[#This Row],[_Row]]+Tasks[[#This Row],[_Descendants]])),Tasks[[#This Row],[_ShownCalcFinish]]))</f>
        <v/>
      </c>
      <c r="EU9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9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9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9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9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9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9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9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9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9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9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9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98" s="45" t="n">
        <f aca="false">IF(AND(Tasks[[#This Row],[_IsLeaf]]=1,Tasks[[#This Row],[_LeafTotalWork]]&gt;0),NETWORKDAYS.INTL(ProjectStart,Tasks[[#This Row],[_ShownFcstStart]],WorkWeek,Holidays),0)</f>
        <v>0</v>
      </c>
      <c r="FH98" s="45" t="n">
        <f aca="false">IF(AND(Tasks[[#This Row],[_IsLeaf]]=1,Tasks[[#This Row],[_LeafTotalWork]]&gt;0),MAX(Tasks[[#This Row],[_StartWorkday]],NETWORKDAYS.INTL(ProjectStart,Tasks[[#This Row],[_ShownFcstFinish]],WorkWeek,Holidays)),0)</f>
        <v>0</v>
      </c>
      <c r="FI98" s="45" t="n">
        <f aca="false">IF(AND(Tasks[[#This Row],[_IsLeaf]]=1,Tasks[[#This Row],[_LeafTotalWork]]&gt;0),Tasks[[#This Row],[_LeafWork]]/(Tasks[[#This Row],[_FinishWorkday]]-Tasks[[#This Row],[_StartWorkday]]+1),0)</f>
        <v>0</v>
      </c>
      <c r="FJ98" s="45" t="n">
        <f aca="false">Tasks[[#This Row],[_WorkPerWorkday]]*(Tasks[[#This Row],[_StartWorkday]]-1)</f>
        <v>-0</v>
      </c>
      <c r="FK98" s="45" t="n">
        <f aca="false">IF(Tasks[[#This Row],[_IsLeaf]]=1,MAX(N(Tasks[[#This Row],[Duration]]),0.1),0)</f>
        <v>0</v>
      </c>
      <c r="FL98" s="45" t="n">
        <f aca="false">Tasks[[#This Row],[_WeightDur]]*Tasks[[#This Row],[_LeafProgress]]</f>
        <v>0</v>
      </c>
      <c r="FM9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98" s="45" t="str">
        <f aca="false">IF(AND(Tasks[[#This Row],[_IsLeaf]]=1,N(Tasks[[#This Row],[Duration]])=0,Tasks[[#This Row],[_LeafProgress]]&lt;1),Tasks[[#This Row],[_ShownFcstFinish]]+Tasks[[#This Row],[_Row]]/100000,"")</f>
        <v/>
      </c>
      <c r="FO9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98" s="45" t="n">
        <f aca="false">IF(NOT(Tasks[[#This Row],[_IsLeaf]]=1),0,IF(Tasks[[#This Row],[Baseline Cost]]="",Tasks[[#This Row],[_LeafTotalCost]],N(Tasks[[#This Row],[Baseline Cost]])))</f>
        <v>0</v>
      </c>
      <c r="FQ98" s="45" t="n">
        <f aca="false">Tasks[[#This Row],[_LeafBudget]]*Tasks[[#This Row],[_PlannedPct]]</f>
        <v>0</v>
      </c>
      <c r="FR98" s="45" t="n">
        <f aca="false">Tasks[[#This Row],[_LeafBudget]]*Tasks[[#This Row],[_LeafProgress]]</f>
        <v>0</v>
      </c>
      <c r="FS98" s="45" t="n">
        <f aca="false">IF(NOT(Tasks[[#This Row],[_IsLeaf]]=1),0,IF(Tasks[[#This Row],[Actual Cost]]="",Tasks[[#This Row],[_LeafTotalCost]]*Tasks[[#This Row],[_LeafProgress]],N(Tasks[[#This Row],[Actual Cost]])))</f>
        <v>0</v>
      </c>
      <c r="FT98" s="45" t="str">
        <f aca="false">IF(Tasks[[#This Row],[Task Name]]="","",LEFT(Tasks[[#This Row],[WBS]],FIND(".",Tasks[[#This Row],[WBS]]&amp;".")-1))</f>
        <v/>
      </c>
      <c r="FU98" s="45" t="str">
        <f aca="false">IF(AND(Tasks[[#This Row],[Task Name]]&lt;&gt;"",Tasks[[#This Row],[_Level]]=1),Tasks[[#This Row],[_Row]],"")</f>
        <v/>
      </c>
      <c r="FV98" s="45" t="str">
        <f aca="false">IF(AND(Tasks[[#This Row],[_IsLeaf]]=1,N(Tasks[[#This Row],[Duration]])=0),Tasks[[#This Row],[Planned Finish]]+Tasks[[#This Row],[_Row]]/100000,"")</f>
        <v/>
      </c>
      <c r="FW98" s="45" t="str">
        <f aca="false">IF(AND(Tasks[[#This Row],[_IsLeaf]]=1,Tasks[[#This Row],[_LeafProgress]]&lt;1,OR(N(Tasks[[#This Row],[Finish Var]])&gt;0,Tasks[[#This Row],[Status]]="Late Start")),MAX(0,Tasks[[#This Row],[Finish Var]])+1-Tasks[[#This Row],[_Row]]/1000000,"")</f>
        <v/>
      </c>
      <c r="FX98" s="45" t="str">
        <f aca="false">IF(AND(Tasks[[#This Row],[_IsLeaf]]=1,N(Tasks[[#This Row],[Actual Start]])=0,Tasks[[#This Row],[_ShownFcstStart]]&gt;=StatusDate,Tasks[[#This Row],[_ShownFcstStart]]&lt;=LookaheadEnd),Tasks[[#This Row],[_ShownFcstStart]]+Tasks[[#This Row],[_Row]]/100000,"")</f>
        <v/>
      </c>
      <c r="FY98" s="45" t="str">
        <f aca="false">IF(AND(Tasks[[#This Row],[_IsLeaf]]=1,Tasks[[#This Row],[_LeafProgress]]&lt;1,Tasks[[#This Row],[_ShownFcstFinish]]&gt;=StatusDate,Tasks[[#This Row],[_ShownFcstFinish]]&lt;=LookaheadEnd),Tasks[[#This Row],[_ShownFcstFinish]]+Tasks[[#This Row],[_Row]]/100000,"")</f>
        <v/>
      </c>
      <c r="FZ98" s="45" t="str">
        <f aca="false">IF(Tasks[[#This Row],[_LeafCritical]],Tasks[[#This Row],[_ShownFcstStart]]+Tasks[[#This Row],[_Row]]/100000,"")</f>
        <v/>
      </c>
      <c r="GA98" s="45" t="n">
        <f aca="false">Tasks[[#This Row],[_LeafWork]]*Tasks[[#This Row],[_LeafProgress]]</f>
        <v>0</v>
      </c>
      <c r="GB98" s="74" t="str">
        <f aca="false">IF(AND(Tasks[[#This Row],[_IsLeaf]]=1,Tasks[[#This Row],[_LeafProgress]]&gt;=1),IF(N(Tasks[[#This Row],[Actual Finish]])&gt;0,Tasks[[#This Row],[Actual Finish]],Tasks[[#This Row],[_ShownFcstFinish]]),"")</f>
        <v/>
      </c>
    </row>
    <row r="99" customFormat="false" ht="15" hidden="false" customHeight="false" outlineLevel="0" collapsed="false">
      <c r="A99" s="67" t="str">
        <f aca="false">IF(Tasks[[#This Row],[Task Name]]="","",COUNTA(Tasks[[#Headers],[Task Name]]:Tasks[[#This Row],[Task Name]])-1)</f>
        <v/>
      </c>
      <c r="B99" s="21" t="n">
        <v>94</v>
      </c>
      <c r="C9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21"/>
      <c r="E99" s="22"/>
      <c r="F99" s="21"/>
      <c r="G99" s="22"/>
      <c r="H99" s="22"/>
      <c r="I99" s="22"/>
      <c r="J99" s="7"/>
      <c r="K99" s="7"/>
      <c r="L99" s="22"/>
      <c r="M99" s="58" t="str">
        <f aca="false">IF(Tasks[[#This Row],[Task Name]]="","",IF(Tasks[[#This Row],[_IsSummary]],MIN(INDEX(Tasks[_ShownFcstStart],Tasks[[#This Row],[_Row]]+1):INDEX(Tasks[_ShownFcstStart],Tasks[[#This Row],[_Row]]+Tasks[[#This Row],[_Descendants]])),Tasks[[#This Row],[_ShownFcstStart]]))</f>
        <v/>
      </c>
      <c r="N99" s="58" t="str">
        <f aca="false">IF(Tasks[[#This Row],[Task Name]]="","",IF(Tasks[[#This Row],[_IsSummary]],MAX(INDEX(Tasks[_ShownFcstFinish],Tasks[[#This Row],[_Row]]+1):INDEX(Tasks[_ShownFcstFinish],Tasks[[#This Row],[_Row]]+Tasks[[#This Row],[_Descendants]])),Tasks[[#This Row],[_ShownFcstFinish]]))</f>
        <v/>
      </c>
      <c r="O99" s="20" t="str">
        <f aca="false">IF(Tasks[[#This Row],[Task Name]]="","",IF(Tasks[[#This Row],[Progress]]&gt;=1,"Complete",IF(OR(N(Tasks[[#This Row],[Actual Start]])&gt;0,Tasks[[#This Row],[Progress]]&gt;0),IF(Tasks[[#This Row],[Finish Var]]&gt;0,"Behind","In Progress"),IF(Tasks[[#This Row],[Planned Start]]&lt;StatusDate,"Late Start","Not Started"))))</f>
        <v/>
      </c>
      <c r="P99" s="20" t="str">
        <f aca="false">IF(Tasks[[#This Row],[Task Name]]="","",IF(IF(Tasks[[#This Row],[_IsSummary]],COUNTIF(INDEX(Tasks[_LeafCritical],Tasks[[#This Row],[_Row]]+1):INDEX(Tasks[_LeafCritical],Tasks[[#This Row],[_Row]]+Tasks[[#This Row],[_Descendants]]),TRUE())&gt;0,Tasks[[#This Row],[_LeafCritical]]),"Yes",""))</f>
        <v/>
      </c>
      <c r="Q9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99" s="67" t="str">
        <f aca="false">IF(Tasks[[#This Row],[Task Name]]="","",IF(Tasks[[#This Row],[_Level]]&lt;=OutlineShowLevel,"Yes","No"))</f>
        <v/>
      </c>
      <c r="S99" s="7"/>
      <c r="T99" s="21"/>
      <c r="U99" s="22"/>
      <c r="V99" s="7"/>
      <c r="W99" s="67" t="str">
        <f aca="false">IF(Tasks[[#This Row],[Task Name]]="","",IF(Tasks[[#This Row],[Finish]]&gt;=Tasks[[#This Row],[Planned Finish]],NETWORKDAYS.INTL(Tasks[[#This Row],[Planned Finish]],Tasks[[#This Row],[Finish]],WorkWeek,Holidays)-1,1-NETWORKDAYS.INTL(Tasks[[#This Row],[Finish]],Tasks[[#This Row],[Planned Finish]],WorkWeek,Holidays)))</f>
        <v/>
      </c>
      <c r="X99" s="58" t="str">
        <f aca="false">IF(Tasks[[#This Row],[Task Name]]="","",IF(N(Tasks[[#This Row],[Baseline Start]])&gt;0,Tasks[[#This Row],[Baseline Start]],Tasks[[#This Row],[_CalcStart]]))</f>
        <v/>
      </c>
      <c r="Y99" s="58" t="str">
        <f aca="false">IF(Tasks[[#This Row],[Task Name]]="","",IF(N(Tasks[[#This Row],[Baseline Finish]])&gt;0,Tasks[[#This Row],[Baseline Finish]],Tasks[[#This Row],[_CalcFinish]]))</f>
        <v/>
      </c>
      <c r="Z99" s="67" t="str">
        <f aca="false">IF(Tasks[[#This Row],[Task Name]]="","",IF(Tasks[[#This Row],[Start]]&gt;=Tasks[[#This Row],[Planned Start]],NETWORKDAYS.INTL(Tasks[[#This Row],[Planned Start]],Tasks[[#This Row],[Start]],WorkWeek,Holidays)-1,1-NETWORKDAYS.INTL(Tasks[[#This Row],[Start]],Tasks[[#This Row],[Planned Start]],WorkWeek,Holidays)))</f>
        <v/>
      </c>
      <c r="AA99" s="58" t="str">
        <f aca="false">IF(Tasks[[#This Row],[Task Name]]="","",IF(Tasks[[#This Row],[_IsSummary]],MIN(INDEX(Tasks[_LeafLateStart],Tasks[[#This Row],[_Row]]+1):INDEX(Tasks[_LeafLateStart],Tasks[[#This Row],[_Row]]+Tasks[[#This Row],[_Descendants]])),Tasks[[#This Row],[_LeafLateStart]]))</f>
        <v/>
      </c>
      <c r="AB99" s="58" t="str">
        <f aca="false">IF(Tasks[[#This Row],[Task Name]]="","",IF(Tasks[[#This Row],[_IsSummary]],MAX(INDEX(Tasks[_LeafLateFinish],Tasks[[#This Row],[_Row]]+1):INDEX(Tasks[_LeafLateFinish],Tasks[[#This Row],[_Row]]+Tasks[[#This Row],[_Descendants]])),Tasks[[#This Row],[_LeafLateFinish]]))</f>
        <v/>
      </c>
      <c r="AC99" s="67" t="str">
        <f aca="false">IF(Tasks[[#This Row],[Task Name]]="","",IF(Tasks[[#This Row],[_IsSummary]],MIN(INDEX(Tasks[_LeafTotalSlack],Tasks[[#This Row],[_Row]]+1):INDEX(Tasks[_LeafTotalSlack],Tasks[[#This Row],[_Row]]+Tasks[[#This Row],[_Descendants]])),Tasks[[#This Row],[_LeafTotalSlack]]))</f>
        <v/>
      </c>
      <c r="AD9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9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9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99" s="60"/>
      <c r="AH9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9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99" s="69" t="str">
        <f aca="false">IF(Tasks[[#This Row],[Task Name]]="","",IF(Tasks[[#This Row],[_IsSummary]],SUM(INDEX(Tasks[_LeafTotalWork],Tasks[[#This Row],[_Row]]+1):INDEX(Tasks[_LeafTotalWork],Tasks[[#This Row],[_Row]]+Tasks[[#This Row],[_Descendants]])),Tasks[[#This Row],[_LeafTotalWork]]))</f>
        <v/>
      </c>
      <c r="AK9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99" s="70" t="str">
        <f aca="false">IF(Tasks[[#This Row],[Task Name]]="","",IF(Tasks[[#This Row],[_IsSummary]],SUM(INDEX(Tasks[_LeafTotalCost],Tasks[[#This Row],[_Row]]+1):INDEX(Tasks[_LeafTotalCost],Tasks[[#This Row],[_Row]]+Tasks[[#This Row],[_Descendants]])),Tasks[[#This Row],[_LeafTotalCost]]))</f>
        <v/>
      </c>
      <c r="AM99" s="71"/>
      <c r="AN99" s="20" t="str">
        <f aca="false">IF(OR(Tasks[[#This Row],[Task Name]]="",Tasks[[#This Row],[Baseline Duration]]=""),"",Tasks[[#This Row],[BL Source Duration]]-N(Tasks[[#This Row],[Baseline Duration]]))</f>
        <v/>
      </c>
      <c r="AO99" s="69" t="str">
        <f aca="false">IF(OR(Tasks[[#This Row],[Task Name]]="",Tasks[[#This Row],[Baseline Work]]=""),"",Tasks[[#This Row],[Work]]-N(Tasks[[#This Row],[Baseline Work]]))</f>
        <v/>
      </c>
      <c r="AP99" s="70" t="str">
        <f aca="false">IF(OR(Tasks[[#This Row],[Task Name]]="",Tasks[[#This Row],[Baseline Cost]]=""),"",Tasks[[#This Row],[Cost]]-N(Tasks[[#This Row],[Baseline Cost]]))</f>
        <v/>
      </c>
      <c r="AQ99" s="58" t="str">
        <f aca="false">IF(Tasks[[#This Row],[Task Name]]="","",Tasks[[#This Row],[Start]])</f>
        <v/>
      </c>
      <c r="AR99" s="58" t="str">
        <f aca="false">IF(Tasks[[#This Row],[Task Name]]="","",Tasks[[#This Row],[Finish]])</f>
        <v/>
      </c>
      <c r="AS99" s="67" t="str">
        <f aca="false">IF(Tasks[[#This Row],[Task Name]]="","",IF(Tasks[[#This Row],[_IsSummary]],NETWORKDAYS.INTL(Tasks[[#This Row],[Start]],Tasks[[#This Row],[Finish]],WorkWeek,Holidays),N(Tasks[[#This Row],[Duration]])))</f>
        <v/>
      </c>
      <c r="AT99" s="69" t="str">
        <f aca="false">IF(Tasks[[#This Row],[Task Name]]="","",Tasks[[#This Row],[Work]])</f>
        <v/>
      </c>
      <c r="AU99" s="70" t="str">
        <f aca="false">IF(Tasks[[#This Row],[Task Name]]="","",Tasks[[#This Row],[Cost]])</f>
        <v/>
      </c>
      <c r="AV99" s="7"/>
      <c r="AW99" s="7"/>
      <c r="AX99" s="21"/>
      <c r="AY99" s="72"/>
      <c r="AZ99" s="71"/>
      <c r="BA99" s="70" t="str">
        <f aca="false">IF(Tasks[[#This Row],[Task Name]]="","",IF(Tasks[[#This Row],[_IsSummary]],SUM(INDEX(Tasks[_LeafEV],Tasks[[#This Row],[_Row]]+1):INDEX(Tasks[_LeafEV],Tasks[[#This Row],[_Row]]+Tasks[[#This Row],[_Descendants]])),Tasks[[#This Row],[_LeafEV]]))</f>
        <v/>
      </c>
      <c r="BB99" s="70" t="str">
        <f aca="false">IF(Tasks[[#This Row],[Task Name]]="","",IF(Tasks[[#This Row],[_IsSummary]],SUM(INDEX(Tasks[_LeafBudget],Tasks[[#This Row],[_Row]]+1):INDEX(Tasks[_LeafBudget],Tasks[[#This Row],[_Row]]+Tasks[[#This Row],[_Descendants]])),Tasks[[#This Row],[_LeafBudget]]))</f>
        <v/>
      </c>
      <c r="BC99" s="70" t="str">
        <f aca="false">IF(Tasks[[#This Row],[Task Name]]="","",IF(Tasks[[#This Row],[_IsSummary]],SUM(INDEX(Tasks[_LeafPV],Tasks[[#This Row],[_Row]]+1):INDEX(Tasks[_LeafPV],Tasks[[#This Row],[_Row]]+Tasks[[#This Row],[_Descendants]])),Tasks[[#This Row],[_LeafPV]]))</f>
        <v/>
      </c>
      <c r="BD99" s="70" t="str">
        <f aca="false">IF(Tasks[[#This Row],[Task Name]]="","",IF(Tasks[[#This Row],[_IsSummary]],SUM(INDEX(Tasks[_LeafAC],Tasks[[#This Row],[_Row]]+1):INDEX(Tasks[_LeafAC],Tasks[[#This Row],[_Row]]+Tasks[[#This Row],[_Descendants]])),Tasks[[#This Row],[_LeafAC]]))</f>
        <v/>
      </c>
      <c r="BE99" s="45" t="str">
        <f aca="false">IF(Tasks[[#This Row],[Task Name]]="","",MAX(1,N(Tasks[[#This Row],[Level]])))</f>
        <v/>
      </c>
      <c r="BF99" s="45" t="n">
        <f aca="false">ROW()-ROW(Tasks[[#Headers],[ID]])</f>
        <v>94</v>
      </c>
      <c r="BG99" s="45" t="n">
        <f aca="false">IF(OR(Tasks[[#This Row],[Task Name]]="",Tasks[[#This Row],[_Level]]&lt;=1),0,IFERROR(LOOKUP(2,1/(Tasks[[#Headers],[_Level]]:Tasks[[#This Row],[_Level]]=Tasks[[#This Row],[_Level]]-1),ROW(Tasks[[#Headers],[_Level]]:Tasks[[#This Row],[_Level]])),0))</f>
        <v>0</v>
      </c>
      <c r="BH99" s="45" t="n">
        <f aca="false">IFERROR(N(INDEX(Tasks[_Level],Tasks[[#This Row],[_Row]]+1)),0)</f>
        <v>0</v>
      </c>
      <c r="BI99" s="73" t="b">
        <f aca="false">AND(Tasks[[#This Row],[Task Name]]&lt;&gt;"",Tasks[[#This Row],[_NextLevel]]&gt;Tasks[[#This Row],[_Level]])</f>
        <v>0</v>
      </c>
      <c r="BJ99" s="45" t="n">
        <f aca="false">IF(Tasks[[#This Row],[_IsSummary]],COUNTIF(Tasks[WBS],Tasks[[#This Row],[WBS]]&amp;".*"),0)</f>
        <v>0</v>
      </c>
      <c r="BK99" s="45" t="n">
        <f aca="false">IF(AND(Tasks[[#This Row],[Task Name]]&lt;&gt;"",NOT(Tasks[[#This Row],[_IsSummary]])),1,0)</f>
        <v>0</v>
      </c>
      <c r="BL99" s="45" t="n">
        <f aca="false">IF(N(Tasks[[#This Row],[_Pred1UID]])=0,0,IFERROR(MATCH(Tasks[[#This Row],[_Pred1UID]],Tasks[UID],0),-1))</f>
        <v>0</v>
      </c>
      <c r="BM99" s="45" t="n">
        <f aca="false">IF(N(Tasks[[#This Row],[_Pred2UID]])=0,0,IFERROR(MATCH(Tasks[[#This Row],[_Pred2UID]],Tasks[UID],0),-1))</f>
        <v>0</v>
      </c>
      <c r="BN99" s="45" t="n">
        <f aca="false">IF(N(Tasks[[#This Row],[_Pred3UID]])=0,0,IFERROR(MATCH(Tasks[[#This Row],[_Pred3UID]],Tasks[UID],0),-1))</f>
        <v>0</v>
      </c>
      <c r="BO99" s="45" t="n">
        <f aca="false">IF(N(Tasks[[#This Row],[_Pred4UID]])=0,0,IFERROR(MATCH(Tasks[[#This Row],[_Pred4UID]],Tasks[UID],0),-1))</f>
        <v>0</v>
      </c>
      <c r="BP9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9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99" s="74" t="n">
        <f aca="false">IF(OR(Tasks[[#This Row],[_ConstraintCode]]=2,Tasks[[#This Row],[_ConstraintCode]]=3,Tasks[[#This Row],[_ConstraintCode]]=4,Tasks[[#This Row],[_ConstraintCode]]=6),Tasks[[#This Row],[_ConstraintStart]],0)</f>
        <v>0</v>
      </c>
      <c r="BS99" s="74" t="n">
        <f aca="false">IF(OR(Tasks[[#This Row],[_ConstraintCode]]=2,Tasks[[#This Row],[_ConstraintCode]]=3,Tasks[[#This Row],[_ConstraintCode]]=5,Tasks[[#This Row],[_ConstraintCode]]=7),Tasks[[#This Row],[_ConstraintStart]],2958465)</f>
        <v>2958465</v>
      </c>
      <c r="BT9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99" s="74" t="str">
        <f aca="false">IF(NOT(Tasks[[#This Row],[_IsLeaf]]=1),"",IF(N(Tasks[[#This Row],[Duration]])&lt;=0,Tasks[[#This Row],[_LeafCalcStart]],WORKDAY.INTL(Tasks[[#This Row],[_LeafCalcStart]],Tasks[[#This Row],[Duration]]-1,WorkWeek,Holidays)))</f>
        <v/>
      </c>
      <c r="BV9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9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99" s="45" t="str">
        <f aca="false">IF(Tasks[[#This Row],[Predecessors]]="","",TRIM(MID(SUBSTITUTE(SUBSTITUTE(SUBSTITUTE(UPPER(Tasks[[#This Row],[Predecessors]]),";",",")," ",""),",",REPT(" ",99)),1,99)))</f>
        <v/>
      </c>
      <c r="BY99" s="45" t="str">
        <f aca="false">IF(Tasks[[#This Row],[_Pred1Text]]="","",IFERROR(VALUE(LEFT(Tasks[[#This Row],[_Pred1Text]],MIN(FIND("F",Tasks[[#This Row],[_Pred1Text]]&amp;"F"),FIND("S",Tasks[[#This Row],[_Pred1Text]]&amp;"S"),FIND("+",Tasks[[#This Row],[_Pred1Text]]&amp;"+"),FIND("-",Tasks[[#This Row],[_Pred1Text]]&amp;"-"))-1)),""))</f>
        <v/>
      </c>
      <c r="BZ9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9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99" s="45" t="str">
        <f aca="false">IF(Tasks[[#This Row],[_Pred1Text]]="","",TRIM(MID(SUBSTITUTE(SUBSTITUTE(SUBSTITUTE(UPPER(Tasks[[#This Row],[Predecessors]]),";",",")," ",""),",",REPT(" ",99)),100,99)))</f>
        <v/>
      </c>
      <c r="CC99" s="45" t="str">
        <f aca="false">IF(Tasks[[#This Row],[_Pred2Text]]="","",IFERROR(VALUE(LEFT(Tasks[[#This Row],[_Pred2Text]],MIN(FIND("F",Tasks[[#This Row],[_Pred2Text]]&amp;"F"),FIND("S",Tasks[[#This Row],[_Pred2Text]]&amp;"S"),FIND("+",Tasks[[#This Row],[_Pred2Text]]&amp;"+"),FIND("-",Tasks[[#This Row],[_Pred2Text]]&amp;"-"))-1)),""))</f>
        <v/>
      </c>
      <c r="CD9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9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99" s="45" t="str">
        <f aca="false">IF(Tasks[[#This Row],[_Pred2Text]]="","",TRIM(MID(SUBSTITUTE(SUBSTITUTE(SUBSTITUTE(UPPER(Tasks[[#This Row],[Predecessors]]),";",",")," ",""),",",REPT(" ",99)),199,99)))</f>
        <v/>
      </c>
      <c r="CG99" s="45" t="str">
        <f aca="false">IF(Tasks[[#This Row],[_Pred3Text]]="","",IFERROR(VALUE(LEFT(Tasks[[#This Row],[_Pred3Text]],MIN(FIND("F",Tasks[[#This Row],[_Pred3Text]]&amp;"F"),FIND("S",Tasks[[#This Row],[_Pred3Text]]&amp;"S"),FIND("+",Tasks[[#This Row],[_Pred3Text]]&amp;"+"),FIND("-",Tasks[[#This Row],[_Pred3Text]]&amp;"-"))-1)),""))</f>
        <v/>
      </c>
      <c r="CH9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9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99" s="45" t="str">
        <f aca="false">IF(Tasks[[#This Row],[_Pred3Text]]="","",TRIM(MID(SUBSTITUTE(SUBSTITUTE(SUBSTITUTE(UPPER(Tasks[[#This Row],[Predecessors]]),";",",")," ",""),",",REPT(" ",99)),298,99)))</f>
        <v/>
      </c>
      <c r="CK99" s="45" t="str">
        <f aca="false">IF(Tasks[[#This Row],[_Pred4Text]]="","",IFERROR(VALUE(LEFT(Tasks[[#This Row],[_Pred4Text]],MIN(FIND("F",Tasks[[#This Row],[_Pred4Text]]&amp;"F"),FIND("S",Tasks[[#This Row],[_Pred4Text]]&amp;"S"),FIND("+",Tasks[[#This Row],[_Pred4Text]]&amp;"+"),FIND("-",Tasks[[#This Row],[_Pred4Text]]&amp;"-"))-1)),""))</f>
        <v/>
      </c>
      <c r="CL9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9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99" s="45" t="str">
        <f aca="false">IF(OR(Tasks[[#This Row],[Task Name]]="",Tasks[[#This Row],[Resources]]=""),"",TRIM(MID(SUBSTITUTE(Tasks[[#This Row],[Resources]],",",REPT(" ",99)),1,99)))</f>
        <v/>
      </c>
      <c r="CO99" s="45" t="str">
        <f aca="false">IF(Tasks[[#This Row],[_Res1Text]]="","",TRIM(MID(SUBSTITUTE(Tasks[[#This Row],[Resources]],",",REPT(" ",99)),100,99)))</f>
        <v/>
      </c>
      <c r="CP99" s="45" t="str">
        <f aca="false">IF(Tasks[[#This Row],[_Res2Text]]="","",TRIM(MID(SUBSTITUTE(Tasks[[#This Row],[Resources]],",",REPT(" ",99)),199,99)))</f>
        <v/>
      </c>
      <c r="CQ99" s="45" t="str">
        <f aca="false">IF(Tasks[[#This Row],[_Res3Text]]="","",TRIM(MID(SUBSTITUTE(Tasks[[#This Row],[Resources]],",",REPT(" ",99)),298,99)))</f>
        <v/>
      </c>
      <c r="CR9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9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9" s="45" t="n">
        <f aca="false">IF(NOT(Tasks[[#This Row],[_IsLeaf]]=1),0,(Tasks[[#This Row],[_Resource1]]&lt;&gt;"")+(Tasks[[#This Row],[_Res2]]&lt;&gt;"")+(Tasks[[#This Row],[_Res3]]&lt;&gt;"")+(Tasks[[#This Row],[_Res4]]&lt;&gt;""))</f>
        <v>0</v>
      </c>
      <c r="CU9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9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9" s="45" t="n">
        <f aca="false">IF(OR(NOT(Tasks[[#This Row],[_IsLeaf]]=1),Tasks[[#This Row],[_Res2]]=""),0,IF(ISNA(MATCH(Tasks[[#This Row],[_Res2]],res_Name,0)),0,N(Tasks[[#This Row],[Duration]])*HoursPerDay*IF(Tasks[[#This Row],[_Res2Units]]="",DefaultUnits,Tasks[[#This Row],[_Res2Units]])))</f>
        <v>0</v>
      </c>
      <c r="CX99" s="45" t="n">
        <f aca="false">IF(Tasks[[#This Row],[_Res2Work]]=0,0,Tasks[[#This Row],[_Res2Work]]*IFERROR(INDEX(res_Rate,MATCH(Tasks[[#This Row],[_Res2]],res_Name,0)),0))</f>
        <v>0</v>
      </c>
      <c r="CY99" s="45" t="n">
        <f aca="false">IF(AND(AND(Tasks[[#This Row],[_IsLeaf]]=1,Tasks[[#This Row],[_LeafTotalWork]]&gt;0),Tasks[[#This Row],[_Res2Work]]&gt;0),Tasks[[#This Row],[_Res2Work]]/(Tasks[[#This Row],[_FinishWorkday]]-Tasks[[#This Row],[_StartWorkday]]+1),0)</f>
        <v>0</v>
      </c>
      <c r="CZ99" s="45" t="n">
        <f aca="false">Tasks[[#This Row],[_Res2WorkPerWD]]*MAX(0,Tasks[[#This Row],[_StartWorkday]]-1)</f>
        <v>0</v>
      </c>
      <c r="DA99" s="45" t="n">
        <f aca="false">Tasks[[#This Row],[_Res2Work]]*Tasks[[#This Row],[_LeafProgress]]</f>
        <v>0</v>
      </c>
      <c r="DB99" s="45" t="n">
        <f aca="false">IF(Tasks[[#This Row],[_LeafTotalCost]]=0,0,Tasks[[#This Row],[_LeafAC]]*Tasks[[#This Row],[_Res2Cost]]/Tasks[[#This Row],[_LeafTotalCost]])</f>
        <v>0</v>
      </c>
      <c r="DC9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9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99" s="45" t="n">
        <f aca="false">IF(OR(NOT(Tasks[[#This Row],[_IsLeaf]]=1),Tasks[[#This Row],[_Res3]]=""),0,IF(ISNA(MATCH(Tasks[[#This Row],[_Res3]],res_Name,0)),0,N(Tasks[[#This Row],[Duration]])*HoursPerDay*IF(Tasks[[#This Row],[_Res3Units]]="",DefaultUnits,Tasks[[#This Row],[_Res3Units]])))</f>
        <v>0</v>
      </c>
      <c r="DF99" s="45" t="n">
        <f aca="false">IF(Tasks[[#This Row],[_Res3Work]]=0,0,Tasks[[#This Row],[_Res3Work]]*IFERROR(INDEX(res_Rate,MATCH(Tasks[[#This Row],[_Res3]],res_Name,0)),0))</f>
        <v>0</v>
      </c>
      <c r="DG99" s="45" t="n">
        <f aca="false">IF(AND(AND(Tasks[[#This Row],[_IsLeaf]]=1,Tasks[[#This Row],[_LeafTotalWork]]&gt;0),Tasks[[#This Row],[_Res3Work]]&gt;0),Tasks[[#This Row],[_Res3Work]]/(Tasks[[#This Row],[_FinishWorkday]]-Tasks[[#This Row],[_StartWorkday]]+1),0)</f>
        <v>0</v>
      </c>
      <c r="DH99" s="45" t="n">
        <f aca="false">Tasks[[#This Row],[_Res3WorkPerWD]]*MAX(0,Tasks[[#This Row],[_StartWorkday]]-1)</f>
        <v>0</v>
      </c>
      <c r="DI99" s="45" t="n">
        <f aca="false">Tasks[[#This Row],[_Res3Work]]*Tasks[[#This Row],[_LeafProgress]]</f>
        <v>0</v>
      </c>
      <c r="DJ99" s="45" t="n">
        <f aca="false">IF(Tasks[[#This Row],[_LeafTotalCost]]=0,0,Tasks[[#This Row],[_LeafAC]]*Tasks[[#This Row],[_Res3Cost]]/Tasks[[#This Row],[_LeafTotalCost]])</f>
        <v>0</v>
      </c>
      <c r="DK9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9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99" s="45" t="n">
        <f aca="false">IF(OR(NOT(Tasks[[#This Row],[_IsLeaf]]=1),Tasks[[#This Row],[_Res4]]=""),0,IF(ISNA(MATCH(Tasks[[#This Row],[_Res4]],res_Name,0)),0,N(Tasks[[#This Row],[Duration]])*HoursPerDay*IF(Tasks[[#This Row],[_Res4Units]]="",DefaultUnits,Tasks[[#This Row],[_Res4Units]])))</f>
        <v>0</v>
      </c>
      <c r="DN99" s="45" t="n">
        <f aca="false">IF(Tasks[[#This Row],[_Res4Work]]=0,0,Tasks[[#This Row],[_Res4Work]]*IFERROR(INDEX(res_Rate,MATCH(Tasks[[#This Row],[_Res4]],res_Name,0)),0))</f>
        <v>0</v>
      </c>
      <c r="DO99" s="45" t="n">
        <f aca="false">IF(AND(AND(Tasks[[#This Row],[_IsLeaf]]=1,Tasks[[#This Row],[_LeafTotalWork]]&gt;0),Tasks[[#This Row],[_Res4Work]]&gt;0),Tasks[[#This Row],[_Res4Work]]/(Tasks[[#This Row],[_FinishWorkday]]-Tasks[[#This Row],[_StartWorkday]]+1),0)</f>
        <v>0</v>
      </c>
      <c r="DP99" s="45" t="n">
        <f aca="false">Tasks[[#This Row],[_Res4WorkPerWD]]*MAX(0,Tasks[[#This Row],[_StartWorkday]]-1)</f>
        <v>0</v>
      </c>
      <c r="DQ99" s="45" t="n">
        <f aca="false">Tasks[[#This Row],[_Res4Work]]*Tasks[[#This Row],[_LeafProgress]]</f>
        <v>0</v>
      </c>
      <c r="DR99" s="45" t="n">
        <f aca="false">IF(Tasks[[#This Row],[_LeafTotalCost]]=0,0,Tasks[[#This Row],[_LeafAC]]*Tasks[[#This Row],[_Res4Cost]]/Tasks[[#This Row],[_LeafTotalCost]])</f>
        <v>0</v>
      </c>
      <c r="DS99" s="45" t="n">
        <f aca="false">IF(ISNUMBER(Tasks[[#This Row],[% Complete]]),Tasks[[#This Row],[% Complete]],IF(Tasks[[#This Row],[Stage]]="",0,IFERROR(INDEX(stg_Pct,MATCH(Tasks[[#This Row],[Stage]],stg_Name,0)),0)))</f>
        <v>0</v>
      </c>
      <c r="DT99" s="45" t="n">
        <f aca="false">IF(NOT(Tasks[[#This Row],[_IsLeaf]]=1),0,IF(N(Tasks[[#This Row],[Actual Finish]])&gt;0,1,MIN(1,Tasks[[#This Row],[_Pct]])))</f>
        <v>0</v>
      </c>
      <c r="DU99" s="45" t="n">
        <f aca="false">IF(OR(NOT(Tasks[[#This Row],[_IsLeaf]]=1),Tasks[[#This Row],[_Resource1]]=""),0,IF(ISNA(MATCH(Tasks[[#This Row],[_Resource1]],res_Name,0)),0,N(Tasks[[#This Row],[Duration]])*HoursPerDay*IF(Tasks[[#This Row],[_Units1]]="",DefaultUnits,Tasks[[#This Row],[_Units1]])))</f>
        <v>0</v>
      </c>
      <c r="DV99" s="45" t="n">
        <f aca="false">IF(Tasks[[#This Row],[_LeafWork]]=0,0,Tasks[[#This Row],[_LeafWork]]*IFERROR(INDEX(res_Rate,MATCH(Tasks[[#This Row],[_Resource1]],res_Name,0)),0))</f>
        <v>0</v>
      </c>
      <c r="DW99" s="45" t="n">
        <f aca="false">Tasks[[#This Row],[_LeafWork]]+Tasks[[#This Row],[_Res2Work]]+Tasks[[#This Row],[_Res3Work]]+Tasks[[#This Row],[_Res4Work]]</f>
        <v>0</v>
      </c>
      <c r="DX99" s="45" t="n">
        <f aca="false">Tasks[[#This Row],[_LeafCost]]+Tasks[[#This Row],[_Res2Cost]]+Tasks[[#This Row],[_Res3Cost]]+Tasks[[#This Row],[_Res4Cost]]</f>
        <v>0</v>
      </c>
      <c r="DY99" s="45" t="n">
        <f aca="false">IF(Tasks[[#This Row],[_LeafTotalCost]]=0,Tasks[[#This Row],[_LeafAC]],Tasks[[#This Row],[_LeafAC]]*Tasks[[#This Row],[_LeafCost]]/Tasks[[#This Row],[_LeafTotalCost]])</f>
        <v>0</v>
      </c>
      <c r="DZ9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9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9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9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9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9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9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9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99" s="45" t="n">
        <f aca="false">IF(NOT(Tasks[[#This Row],[_IsLeaf]]=1),0,MAX(_xlfn.MAXIFS(Tasks[_Row],Tasks[_Pred1UID],Tasks[[#This Row],[UID]]),_xlfn.MAXIFS(Tasks[_Row],Tasks[_Pred2UID],Tasks[[#This Row],[UID]]),_xlfn.MAXIFS(Tasks[_Row],Tasks[_Pred3UID],Tasks[[#This Row],[UID]]),_xlfn.MAXIFS(Tasks[_Row],Tasks[_Pred4UID],Tasks[[#This Row],[UID]])))</f>
        <v>0</v>
      </c>
      <c r="EI9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9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99" s="74" t="str">
        <f aca="false">IF(NOT(Tasks[[#This Row],[_IsLeaf]]=1),"",IF(N(Tasks[[#This Row],[Duration]])&lt;=0,Tasks[[#This Row],[_LeafLateFinish]],WORKDAY.INTL(Tasks[[#This Row],[_LeafLateFinish]],-(Tasks[[#This Row],[Duration]]-1),WorkWeek,Holidays)))</f>
        <v/>
      </c>
      <c r="EL9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99" s="73" t="b">
        <f aca="false">AND(Tasks[[#This Row],[_IsLeaf]]=1,Tasks[[#This Row],[_LeafProgress]]&lt;1,N(Tasks[[#This Row],[_LeafTotalSlack]])&lt;=CriticalSlackDays)</f>
        <v>0</v>
      </c>
      <c r="EN99" s="45" t="n">
        <f aca="false">IF(AND(Tasks[[#This Row],[_IsLeaf]]=1,Tasks[[#This Row],[_ConstraintCode]]=1,Tasks[[#This Row],[Mode]]&lt;&gt;"Manual",N(Tasks[[#This Row],[Actual Start]])=0),MAX(0,N(Tasks[[#This Row],[Free Slack]])),0)</f>
        <v>0</v>
      </c>
      <c r="EO99" s="74" t="str">
        <f aca="false">IF(NOT(Tasks[[#This Row],[_IsLeaf]]=1),"",IF(Tasks[[#This Row],[_AlapShift]]=0,Tasks[[#This Row],[_LeafCalcStart]],WORKDAY.INTL(Tasks[[#This Row],[_LeafCalcStart]],Tasks[[#This Row],[_AlapShift]],WorkWeek,Holidays)))</f>
        <v/>
      </c>
      <c r="EP99" s="74" t="str">
        <f aca="false">IF(NOT(Tasks[[#This Row],[_IsLeaf]]=1),"",IF(Tasks[[#This Row],[_AlapShift]]=0,Tasks[[#This Row],[_LeafCalcFinish]],WORKDAY.INTL(Tasks[[#This Row],[_LeafCalcFinish]],Tasks[[#This Row],[_AlapShift]],WorkWeek,Holidays)))</f>
        <v/>
      </c>
      <c r="EQ99" s="74" t="str">
        <f aca="false">IF(NOT(Tasks[[#This Row],[_IsLeaf]]=1),"",IF(Tasks[[#This Row],[_AlapShift]]=0,Tasks[[#This Row],[_LeafFcstStart]],WORKDAY.INTL(Tasks[[#This Row],[_LeafFcstStart]],Tasks[[#This Row],[_AlapShift]],WorkWeek,Holidays)))</f>
        <v/>
      </c>
      <c r="ER99" s="74" t="str">
        <f aca="false">IF(NOT(Tasks[[#This Row],[_IsLeaf]]=1),"",IF(Tasks[[#This Row],[_AlapShift]]=0,Tasks[[#This Row],[_LeafFcstFinish]],WORKDAY.INTL(Tasks[[#This Row],[_LeafFcstFinish]],Tasks[[#This Row],[_AlapShift]],WorkWeek,Holidays)))</f>
        <v/>
      </c>
      <c r="ES99" s="74" t="str">
        <f aca="false">IF(Tasks[[#This Row],[Task Name]]="","",IF(Tasks[[#This Row],[_IsSummary]],MIN(INDEX(Tasks[_ShownCalcStart],Tasks[[#This Row],[_Row]]+1):INDEX(Tasks[_ShownCalcStart],Tasks[[#This Row],[_Row]]+Tasks[[#This Row],[_Descendants]])),Tasks[[#This Row],[_ShownCalcStart]]))</f>
        <v/>
      </c>
      <c r="ET99" s="74" t="str">
        <f aca="false">IF(Tasks[[#This Row],[Task Name]]="","",IF(Tasks[[#This Row],[_IsSummary]],MAX(INDEX(Tasks[_ShownCalcFinish],Tasks[[#This Row],[_Row]]+1):INDEX(Tasks[_ShownCalcFinish],Tasks[[#This Row],[_Row]]+Tasks[[#This Row],[_Descendants]])),Tasks[[#This Row],[_ShownCalcFinish]]))</f>
        <v/>
      </c>
      <c r="EU9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9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9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9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9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9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9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9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9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9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9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9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99" s="45" t="n">
        <f aca="false">IF(AND(Tasks[[#This Row],[_IsLeaf]]=1,Tasks[[#This Row],[_LeafTotalWork]]&gt;0),NETWORKDAYS.INTL(ProjectStart,Tasks[[#This Row],[_ShownFcstStart]],WorkWeek,Holidays),0)</f>
        <v>0</v>
      </c>
      <c r="FH99" s="45" t="n">
        <f aca="false">IF(AND(Tasks[[#This Row],[_IsLeaf]]=1,Tasks[[#This Row],[_LeafTotalWork]]&gt;0),MAX(Tasks[[#This Row],[_StartWorkday]],NETWORKDAYS.INTL(ProjectStart,Tasks[[#This Row],[_ShownFcstFinish]],WorkWeek,Holidays)),0)</f>
        <v>0</v>
      </c>
      <c r="FI99" s="45" t="n">
        <f aca="false">IF(AND(Tasks[[#This Row],[_IsLeaf]]=1,Tasks[[#This Row],[_LeafTotalWork]]&gt;0),Tasks[[#This Row],[_LeafWork]]/(Tasks[[#This Row],[_FinishWorkday]]-Tasks[[#This Row],[_StartWorkday]]+1),0)</f>
        <v>0</v>
      </c>
      <c r="FJ99" s="45" t="n">
        <f aca="false">Tasks[[#This Row],[_WorkPerWorkday]]*(Tasks[[#This Row],[_StartWorkday]]-1)</f>
        <v>-0</v>
      </c>
      <c r="FK99" s="45" t="n">
        <f aca="false">IF(Tasks[[#This Row],[_IsLeaf]]=1,MAX(N(Tasks[[#This Row],[Duration]]),0.1),0)</f>
        <v>0</v>
      </c>
      <c r="FL99" s="45" t="n">
        <f aca="false">Tasks[[#This Row],[_WeightDur]]*Tasks[[#This Row],[_LeafProgress]]</f>
        <v>0</v>
      </c>
      <c r="FM9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99" s="45" t="str">
        <f aca="false">IF(AND(Tasks[[#This Row],[_IsLeaf]]=1,N(Tasks[[#This Row],[Duration]])=0,Tasks[[#This Row],[_LeafProgress]]&lt;1),Tasks[[#This Row],[_ShownFcstFinish]]+Tasks[[#This Row],[_Row]]/100000,"")</f>
        <v/>
      </c>
      <c r="FO9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99" s="45" t="n">
        <f aca="false">IF(NOT(Tasks[[#This Row],[_IsLeaf]]=1),0,IF(Tasks[[#This Row],[Baseline Cost]]="",Tasks[[#This Row],[_LeafTotalCost]],N(Tasks[[#This Row],[Baseline Cost]])))</f>
        <v>0</v>
      </c>
      <c r="FQ99" s="45" t="n">
        <f aca="false">Tasks[[#This Row],[_LeafBudget]]*Tasks[[#This Row],[_PlannedPct]]</f>
        <v>0</v>
      </c>
      <c r="FR99" s="45" t="n">
        <f aca="false">Tasks[[#This Row],[_LeafBudget]]*Tasks[[#This Row],[_LeafProgress]]</f>
        <v>0</v>
      </c>
      <c r="FS99" s="45" t="n">
        <f aca="false">IF(NOT(Tasks[[#This Row],[_IsLeaf]]=1),0,IF(Tasks[[#This Row],[Actual Cost]]="",Tasks[[#This Row],[_LeafTotalCost]]*Tasks[[#This Row],[_LeafProgress]],N(Tasks[[#This Row],[Actual Cost]])))</f>
        <v>0</v>
      </c>
      <c r="FT99" s="45" t="str">
        <f aca="false">IF(Tasks[[#This Row],[Task Name]]="","",LEFT(Tasks[[#This Row],[WBS]],FIND(".",Tasks[[#This Row],[WBS]]&amp;".")-1))</f>
        <v/>
      </c>
      <c r="FU99" s="45" t="str">
        <f aca="false">IF(AND(Tasks[[#This Row],[Task Name]]&lt;&gt;"",Tasks[[#This Row],[_Level]]=1),Tasks[[#This Row],[_Row]],"")</f>
        <v/>
      </c>
      <c r="FV99" s="45" t="str">
        <f aca="false">IF(AND(Tasks[[#This Row],[_IsLeaf]]=1,N(Tasks[[#This Row],[Duration]])=0),Tasks[[#This Row],[Planned Finish]]+Tasks[[#This Row],[_Row]]/100000,"")</f>
        <v/>
      </c>
      <c r="FW99" s="45" t="str">
        <f aca="false">IF(AND(Tasks[[#This Row],[_IsLeaf]]=1,Tasks[[#This Row],[_LeafProgress]]&lt;1,OR(N(Tasks[[#This Row],[Finish Var]])&gt;0,Tasks[[#This Row],[Status]]="Late Start")),MAX(0,Tasks[[#This Row],[Finish Var]])+1-Tasks[[#This Row],[_Row]]/1000000,"")</f>
        <v/>
      </c>
      <c r="FX99" s="45" t="str">
        <f aca="false">IF(AND(Tasks[[#This Row],[_IsLeaf]]=1,N(Tasks[[#This Row],[Actual Start]])=0,Tasks[[#This Row],[_ShownFcstStart]]&gt;=StatusDate,Tasks[[#This Row],[_ShownFcstStart]]&lt;=LookaheadEnd),Tasks[[#This Row],[_ShownFcstStart]]+Tasks[[#This Row],[_Row]]/100000,"")</f>
        <v/>
      </c>
      <c r="FY99" s="45" t="str">
        <f aca="false">IF(AND(Tasks[[#This Row],[_IsLeaf]]=1,Tasks[[#This Row],[_LeafProgress]]&lt;1,Tasks[[#This Row],[_ShownFcstFinish]]&gt;=StatusDate,Tasks[[#This Row],[_ShownFcstFinish]]&lt;=LookaheadEnd),Tasks[[#This Row],[_ShownFcstFinish]]+Tasks[[#This Row],[_Row]]/100000,"")</f>
        <v/>
      </c>
      <c r="FZ99" s="45" t="str">
        <f aca="false">IF(Tasks[[#This Row],[_LeafCritical]],Tasks[[#This Row],[_ShownFcstStart]]+Tasks[[#This Row],[_Row]]/100000,"")</f>
        <v/>
      </c>
      <c r="GA99" s="45" t="n">
        <f aca="false">Tasks[[#This Row],[_LeafWork]]*Tasks[[#This Row],[_LeafProgress]]</f>
        <v>0</v>
      </c>
      <c r="GB99" s="74" t="str">
        <f aca="false">IF(AND(Tasks[[#This Row],[_IsLeaf]]=1,Tasks[[#This Row],[_LeafProgress]]&gt;=1),IF(N(Tasks[[#This Row],[Actual Finish]])&gt;0,Tasks[[#This Row],[Actual Finish]],Tasks[[#This Row],[_ShownFcstFinish]]),"")</f>
        <v/>
      </c>
    </row>
    <row r="100" customFormat="false" ht="15" hidden="false" customHeight="false" outlineLevel="0" collapsed="false">
      <c r="A100" s="67" t="str">
        <f aca="false">IF(Tasks[[#This Row],[Task Name]]="","",COUNTA(Tasks[[#Headers],[Task Name]]:Tasks[[#This Row],[Task Name]])-1)</f>
        <v/>
      </c>
      <c r="B100" s="21" t="n">
        <v>95</v>
      </c>
      <c r="C10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21"/>
      <c r="E100" s="22"/>
      <c r="F100" s="21"/>
      <c r="G100" s="22"/>
      <c r="H100" s="22"/>
      <c r="I100" s="22"/>
      <c r="J100" s="7"/>
      <c r="K100" s="7"/>
      <c r="L100" s="22"/>
      <c r="M100" s="58" t="str">
        <f aca="false">IF(Tasks[[#This Row],[Task Name]]="","",IF(Tasks[[#This Row],[_IsSummary]],MIN(INDEX(Tasks[_ShownFcstStart],Tasks[[#This Row],[_Row]]+1):INDEX(Tasks[_ShownFcstStart],Tasks[[#This Row],[_Row]]+Tasks[[#This Row],[_Descendants]])),Tasks[[#This Row],[_ShownFcstStart]]))</f>
        <v/>
      </c>
      <c r="N100" s="58" t="str">
        <f aca="false">IF(Tasks[[#This Row],[Task Name]]="","",IF(Tasks[[#This Row],[_IsSummary]],MAX(INDEX(Tasks[_ShownFcstFinish],Tasks[[#This Row],[_Row]]+1):INDEX(Tasks[_ShownFcstFinish],Tasks[[#This Row],[_Row]]+Tasks[[#This Row],[_Descendants]])),Tasks[[#This Row],[_ShownFcstFinish]]))</f>
        <v/>
      </c>
      <c r="O100" s="20" t="str">
        <f aca="false">IF(Tasks[[#This Row],[Task Name]]="","",IF(Tasks[[#This Row],[Progress]]&gt;=1,"Complete",IF(OR(N(Tasks[[#This Row],[Actual Start]])&gt;0,Tasks[[#This Row],[Progress]]&gt;0),IF(Tasks[[#This Row],[Finish Var]]&gt;0,"Behind","In Progress"),IF(Tasks[[#This Row],[Planned Start]]&lt;StatusDate,"Late Start","Not Started"))))</f>
        <v/>
      </c>
      <c r="P100" s="20" t="str">
        <f aca="false">IF(Tasks[[#This Row],[Task Name]]="","",IF(IF(Tasks[[#This Row],[_IsSummary]],COUNTIF(INDEX(Tasks[_LeafCritical],Tasks[[#This Row],[_Row]]+1):INDEX(Tasks[_LeafCritical],Tasks[[#This Row],[_Row]]+Tasks[[#This Row],[_Descendants]]),TRUE())&gt;0,Tasks[[#This Row],[_LeafCritical]]),"Yes",""))</f>
        <v/>
      </c>
      <c r="Q10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00" s="67" t="str">
        <f aca="false">IF(Tasks[[#This Row],[Task Name]]="","",IF(Tasks[[#This Row],[_Level]]&lt;=OutlineShowLevel,"Yes","No"))</f>
        <v/>
      </c>
      <c r="S100" s="7"/>
      <c r="T100" s="21"/>
      <c r="U100" s="22"/>
      <c r="V100" s="7"/>
      <c r="W100" s="67" t="str">
        <f aca="false">IF(Tasks[[#This Row],[Task Name]]="","",IF(Tasks[[#This Row],[Finish]]&gt;=Tasks[[#This Row],[Planned Finish]],NETWORKDAYS.INTL(Tasks[[#This Row],[Planned Finish]],Tasks[[#This Row],[Finish]],WorkWeek,Holidays)-1,1-NETWORKDAYS.INTL(Tasks[[#This Row],[Finish]],Tasks[[#This Row],[Planned Finish]],WorkWeek,Holidays)))</f>
        <v/>
      </c>
      <c r="X100" s="58" t="str">
        <f aca="false">IF(Tasks[[#This Row],[Task Name]]="","",IF(N(Tasks[[#This Row],[Baseline Start]])&gt;0,Tasks[[#This Row],[Baseline Start]],Tasks[[#This Row],[_CalcStart]]))</f>
        <v/>
      </c>
      <c r="Y100" s="58" t="str">
        <f aca="false">IF(Tasks[[#This Row],[Task Name]]="","",IF(N(Tasks[[#This Row],[Baseline Finish]])&gt;0,Tasks[[#This Row],[Baseline Finish]],Tasks[[#This Row],[_CalcFinish]]))</f>
        <v/>
      </c>
      <c r="Z100" s="67" t="str">
        <f aca="false">IF(Tasks[[#This Row],[Task Name]]="","",IF(Tasks[[#This Row],[Start]]&gt;=Tasks[[#This Row],[Planned Start]],NETWORKDAYS.INTL(Tasks[[#This Row],[Planned Start]],Tasks[[#This Row],[Start]],WorkWeek,Holidays)-1,1-NETWORKDAYS.INTL(Tasks[[#This Row],[Start]],Tasks[[#This Row],[Planned Start]],WorkWeek,Holidays)))</f>
        <v/>
      </c>
      <c r="AA100" s="58" t="str">
        <f aca="false">IF(Tasks[[#This Row],[Task Name]]="","",IF(Tasks[[#This Row],[_IsSummary]],MIN(INDEX(Tasks[_LeafLateStart],Tasks[[#This Row],[_Row]]+1):INDEX(Tasks[_LeafLateStart],Tasks[[#This Row],[_Row]]+Tasks[[#This Row],[_Descendants]])),Tasks[[#This Row],[_LeafLateStart]]))</f>
        <v/>
      </c>
      <c r="AB100" s="58" t="str">
        <f aca="false">IF(Tasks[[#This Row],[Task Name]]="","",IF(Tasks[[#This Row],[_IsSummary]],MAX(INDEX(Tasks[_LeafLateFinish],Tasks[[#This Row],[_Row]]+1):INDEX(Tasks[_LeafLateFinish],Tasks[[#This Row],[_Row]]+Tasks[[#This Row],[_Descendants]])),Tasks[[#This Row],[_LeafLateFinish]]))</f>
        <v/>
      </c>
      <c r="AC100" s="67" t="str">
        <f aca="false">IF(Tasks[[#This Row],[Task Name]]="","",IF(Tasks[[#This Row],[_IsSummary]],MIN(INDEX(Tasks[_LeafTotalSlack],Tasks[[#This Row],[_Row]]+1):INDEX(Tasks[_LeafTotalSlack],Tasks[[#This Row],[_Row]]+Tasks[[#This Row],[_Descendants]])),Tasks[[#This Row],[_LeafTotalSlack]]))</f>
        <v/>
      </c>
      <c r="AD10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0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0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00" s="60"/>
      <c r="AH10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0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00" s="69" t="str">
        <f aca="false">IF(Tasks[[#This Row],[Task Name]]="","",IF(Tasks[[#This Row],[_IsSummary]],SUM(INDEX(Tasks[_LeafTotalWork],Tasks[[#This Row],[_Row]]+1):INDEX(Tasks[_LeafTotalWork],Tasks[[#This Row],[_Row]]+Tasks[[#This Row],[_Descendants]])),Tasks[[#This Row],[_LeafTotalWork]]))</f>
        <v/>
      </c>
      <c r="AK10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00" s="70" t="str">
        <f aca="false">IF(Tasks[[#This Row],[Task Name]]="","",IF(Tasks[[#This Row],[_IsSummary]],SUM(INDEX(Tasks[_LeafTotalCost],Tasks[[#This Row],[_Row]]+1):INDEX(Tasks[_LeafTotalCost],Tasks[[#This Row],[_Row]]+Tasks[[#This Row],[_Descendants]])),Tasks[[#This Row],[_LeafTotalCost]]))</f>
        <v/>
      </c>
      <c r="AM100" s="71"/>
      <c r="AN100" s="20" t="str">
        <f aca="false">IF(OR(Tasks[[#This Row],[Task Name]]="",Tasks[[#This Row],[Baseline Duration]]=""),"",Tasks[[#This Row],[BL Source Duration]]-N(Tasks[[#This Row],[Baseline Duration]]))</f>
        <v/>
      </c>
      <c r="AO100" s="69" t="str">
        <f aca="false">IF(OR(Tasks[[#This Row],[Task Name]]="",Tasks[[#This Row],[Baseline Work]]=""),"",Tasks[[#This Row],[Work]]-N(Tasks[[#This Row],[Baseline Work]]))</f>
        <v/>
      </c>
      <c r="AP100" s="70" t="str">
        <f aca="false">IF(OR(Tasks[[#This Row],[Task Name]]="",Tasks[[#This Row],[Baseline Cost]]=""),"",Tasks[[#This Row],[Cost]]-N(Tasks[[#This Row],[Baseline Cost]]))</f>
        <v/>
      </c>
      <c r="AQ100" s="58" t="str">
        <f aca="false">IF(Tasks[[#This Row],[Task Name]]="","",Tasks[[#This Row],[Start]])</f>
        <v/>
      </c>
      <c r="AR100" s="58" t="str">
        <f aca="false">IF(Tasks[[#This Row],[Task Name]]="","",Tasks[[#This Row],[Finish]])</f>
        <v/>
      </c>
      <c r="AS100" s="67" t="str">
        <f aca="false">IF(Tasks[[#This Row],[Task Name]]="","",IF(Tasks[[#This Row],[_IsSummary]],NETWORKDAYS.INTL(Tasks[[#This Row],[Start]],Tasks[[#This Row],[Finish]],WorkWeek,Holidays),N(Tasks[[#This Row],[Duration]])))</f>
        <v/>
      </c>
      <c r="AT100" s="69" t="str">
        <f aca="false">IF(Tasks[[#This Row],[Task Name]]="","",Tasks[[#This Row],[Work]])</f>
        <v/>
      </c>
      <c r="AU100" s="70" t="str">
        <f aca="false">IF(Tasks[[#This Row],[Task Name]]="","",Tasks[[#This Row],[Cost]])</f>
        <v/>
      </c>
      <c r="AV100" s="7"/>
      <c r="AW100" s="7"/>
      <c r="AX100" s="21"/>
      <c r="AY100" s="72"/>
      <c r="AZ100" s="71"/>
      <c r="BA100" s="70" t="str">
        <f aca="false">IF(Tasks[[#This Row],[Task Name]]="","",IF(Tasks[[#This Row],[_IsSummary]],SUM(INDEX(Tasks[_LeafEV],Tasks[[#This Row],[_Row]]+1):INDEX(Tasks[_LeafEV],Tasks[[#This Row],[_Row]]+Tasks[[#This Row],[_Descendants]])),Tasks[[#This Row],[_LeafEV]]))</f>
        <v/>
      </c>
      <c r="BB100" s="70" t="str">
        <f aca="false">IF(Tasks[[#This Row],[Task Name]]="","",IF(Tasks[[#This Row],[_IsSummary]],SUM(INDEX(Tasks[_LeafBudget],Tasks[[#This Row],[_Row]]+1):INDEX(Tasks[_LeafBudget],Tasks[[#This Row],[_Row]]+Tasks[[#This Row],[_Descendants]])),Tasks[[#This Row],[_LeafBudget]]))</f>
        <v/>
      </c>
      <c r="BC100" s="70" t="str">
        <f aca="false">IF(Tasks[[#This Row],[Task Name]]="","",IF(Tasks[[#This Row],[_IsSummary]],SUM(INDEX(Tasks[_LeafPV],Tasks[[#This Row],[_Row]]+1):INDEX(Tasks[_LeafPV],Tasks[[#This Row],[_Row]]+Tasks[[#This Row],[_Descendants]])),Tasks[[#This Row],[_LeafPV]]))</f>
        <v/>
      </c>
      <c r="BD100" s="70" t="str">
        <f aca="false">IF(Tasks[[#This Row],[Task Name]]="","",IF(Tasks[[#This Row],[_IsSummary]],SUM(INDEX(Tasks[_LeafAC],Tasks[[#This Row],[_Row]]+1):INDEX(Tasks[_LeafAC],Tasks[[#This Row],[_Row]]+Tasks[[#This Row],[_Descendants]])),Tasks[[#This Row],[_LeafAC]]))</f>
        <v/>
      </c>
      <c r="BE100" s="45" t="str">
        <f aca="false">IF(Tasks[[#This Row],[Task Name]]="","",MAX(1,N(Tasks[[#This Row],[Level]])))</f>
        <v/>
      </c>
      <c r="BF100" s="45" t="n">
        <f aca="false">ROW()-ROW(Tasks[[#Headers],[ID]])</f>
        <v>95</v>
      </c>
      <c r="BG100" s="45" t="n">
        <f aca="false">IF(OR(Tasks[[#This Row],[Task Name]]="",Tasks[[#This Row],[_Level]]&lt;=1),0,IFERROR(LOOKUP(2,1/(Tasks[[#Headers],[_Level]]:Tasks[[#This Row],[_Level]]=Tasks[[#This Row],[_Level]]-1),ROW(Tasks[[#Headers],[_Level]]:Tasks[[#This Row],[_Level]])),0))</f>
        <v>0</v>
      </c>
      <c r="BH100" s="45" t="n">
        <f aca="false">IFERROR(N(INDEX(Tasks[_Level],Tasks[[#This Row],[_Row]]+1)),0)</f>
        <v>0</v>
      </c>
      <c r="BI100" s="73" t="b">
        <f aca="false">AND(Tasks[[#This Row],[Task Name]]&lt;&gt;"",Tasks[[#This Row],[_NextLevel]]&gt;Tasks[[#This Row],[_Level]])</f>
        <v>0</v>
      </c>
      <c r="BJ100" s="45" t="n">
        <f aca="false">IF(Tasks[[#This Row],[_IsSummary]],COUNTIF(Tasks[WBS],Tasks[[#This Row],[WBS]]&amp;".*"),0)</f>
        <v>0</v>
      </c>
      <c r="BK100" s="45" t="n">
        <f aca="false">IF(AND(Tasks[[#This Row],[Task Name]]&lt;&gt;"",NOT(Tasks[[#This Row],[_IsSummary]])),1,0)</f>
        <v>0</v>
      </c>
      <c r="BL100" s="45" t="n">
        <f aca="false">IF(N(Tasks[[#This Row],[_Pred1UID]])=0,0,IFERROR(MATCH(Tasks[[#This Row],[_Pred1UID]],Tasks[UID],0),-1))</f>
        <v>0</v>
      </c>
      <c r="BM100" s="45" t="n">
        <f aca="false">IF(N(Tasks[[#This Row],[_Pred2UID]])=0,0,IFERROR(MATCH(Tasks[[#This Row],[_Pred2UID]],Tasks[UID],0),-1))</f>
        <v>0</v>
      </c>
      <c r="BN100" s="45" t="n">
        <f aca="false">IF(N(Tasks[[#This Row],[_Pred3UID]])=0,0,IFERROR(MATCH(Tasks[[#This Row],[_Pred3UID]],Tasks[UID],0),-1))</f>
        <v>0</v>
      </c>
      <c r="BO100" s="45" t="n">
        <f aca="false">IF(N(Tasks[[#This Row],[_Pred4UID]])=0,0,IFERROR(MATCH(Tasks[[#This Row],[_Pred4UID]],Tasks[UID],0),-1))</f>
        <v>0</v>
      </c>
      <c r="BP10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0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00" s="74" t="n">
        <f aca="false">IF(OR(Tasks[[#This Row],[_ConstraintCode]]=2,Tasks[[#This Row],[_ConstraintCode]]=3,Tasks[[#This Row],[_ConstraintCode]]=4,Tasks[[#This Row],[_ConstraintCode]]=6),Tasks[[#This Row],[_ConstraintStart]],0)</f>
        <v>0</v>
      </c>
      <c r="BS100" s="74" t="n">
        <f aca="false">IF(OR(Tasks[[#This Row],[_ConstraintCode]]=2,Tasks[[#This Row],[_ConstraintCode]]=3,Tasks[[#This Row],[_ConstraintCode]]=5,Tasks[[#This Row],[_ConstraintCode]]=7),Tasks[[#This Row],[_ConstraintStart]],2958465)</f>
        <v>2958465</v>
      </c>
      <c r="BT10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00" s="74" t="str">
        <f aca="false">IF(NOT(Tasks[[#This Row],[_IsLeaf]]=1),"",IF(N(Tasks[[#This Row],[Duration]])&lt;=0,Tasks[[#This Row],[_LeafCalcStart]],WORKDAY.INTL(Tasks[[#This Row],[_LeafCalcStart]],Tasks[[#This Row],[Duration]]-1,WorkWeek,Holidays)))</f>
        <v/>
      </c>
      <c r="BV10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0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00" s="45" t="str">
        <f aca="false">IF(Tasks[[#This Row],[Predecessors]]="","",TRIM(MID(SUBSTITUTE(SUBSTITUTE(SUBSTITUTE(UPPER(Tasks[[#This Row],[Predecessors]]),";",",")," ",""),",",REPT(" ",99)),1,99)))</f>
        <v/>
      </c>
      <c r="BY100" s="45" t="str">
        <f aca="false">IF(Tasks[[#This Row],[_Pred1Text]]="","",IFERROR(VALUE(LEFT(Tasks[[#This Row],[_Pred1Text]],MIN(FIND("F",Tasks[[#This Row],[_Pred1Text]]&amp;"F"),FIND("S",Tasks[[#This Row],[_Pred1Text]]&amp;"S"),FIND("+",Tasks[[#This Row],[_Pred1Text]]&amp;"+"),FIND("-",Tasks[[#This Row],[_Pred1Text]]&amp;"-"))-1)),""))</f>
        <v/>
      </c>
      <c r="BZ10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0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00" s="45" t="str">
        <f aca="false">IF(Tasks[[#This Row],[_Pred1Text]]="","",TRIM(MID(SUBSTITUTE(SUBSTITUTE(SUBSTITUTE(UPPER(Tasks[[#This Row],[Predecessors]]),";",",")," ",""),",",REPT(" ",99)),100,99)))</f>
        <v/>
      </c>
      <c r="CC100" s="45" t="str">
        <f aca="false">IF(Tasks[[#This Row],[_Pred2Text]]="","",IFERROR(VALUE(LEFT(Tasks[[#This Row],[_Pred2Text]],MIN(FIND("F",Tasks[[#This Row],[_Pred2Text]]&amp;"F"),FIND("S",Tasks[[#This Row],[_Pred2Text]]&amp;"S"),FIND("+",Tasks[[#This Row],[_Pred2Text]]&amp;"+"),FIND("-",Tasks[[#This Row],[_Pred2Text]]&amp;"-"))-1)),""))</f>
        <v/>
      </c>
      <c r="CD10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0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00" s="45" t="str">
        <f aca="false">IF(Tasks[[#This Row],[_Pred2Text]]="","",TRIM(MID(SUBSTITUTE(SUBSTITUTE(SUBSTITUTE(UPPER(Tasks[[#This Row],[Predecessors]]),";",",")," ",""),",",REPT(" ",99)),199,99)))</f>
        <v/>
      </c>
      <c r="CG100" s="45" t="str">
        <f aca="false">IF(Tasks[[#This Row],[_Pred3Text]]="","",IFERROR(VALUE(LEFT(Tasks[[#This Row],[_Pred3Text]],MIN(FIND("F",Tasks[[#This Row],[_Pred3Text]]&amp;"F"),FIND("S",Tasks[[#This Row],[_Pred3Text]]&amp;"S"),FIND("+",Tasks[[#This Row],[_Pred3Text]]&amp;"+"),FIND("-",Tasks[[#This Row],[_Pred3Text]]&amp;"-"))-1)),""))</f>
        <v/>
      </c>
      <c r="CH10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0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00" s="45" t="str">
        <f aca="false">IF(Tasks[[#This Row],[_Pred3Text]]="","",TRIM(MID(SUBSTITUTE(SUBSTITUTE(SUBSTITUTE(UPPER(Tasks[[#This Row],[Predecessors]]),";",",")," ",""),",",REPT(" ",99)),298,99)))</f>
        <v/>
      </c>
      <c r="CK100" s="45" t="str">
        <f aca="false">IF(Tasks[[#This Row],[_Pred4Text]]="","",IFERROR(VALUE(LEFT(Tasks[[#This Row],[_Pred4Text]],MIN(FIND("F",Tasks[[#This Row],[_Pred4Text]]&amp;"F"),FIND("S",Tasks[[#This Row],[_Pred4Text]]&amp;"S"),FIND("+",Tasks[[#This Row],[_Pred4Text]]&amp;"+"),FIND("-",Tasks[[#This Row],[_Pred4Text]]&amp;"-"))-1)),""))</f>
        <v/>
      </c>
      <c r="CL10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0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00" s="45" t="str">
        <f aca="false">IF(OR(Tasks[[#This Row],[Task Name]]="",Tasks[[#This Row],[Resources]]=""),"",TRIM(MID(SUBSTITUTE(Tasks[[#This Row],[Resources]],",",REPT(" ",99)),1,99)))</f>
        <v/>
      </c>
      <c r="CO100" s="45" t="str">
        <f aca="false">IF(Tasks[[#This Row],[_Res1Text]]="","",TRIM(MID(SUBSTITUTE(Tasks[[#This Row],[Resources]],",",REPT(" ",99)),100,99)))</f>
        <v/>
      </c>
      <c r="CP100" s="45" t="str">
        <f aca="false">IF(Tasks[[#This Row],[_Res2Text]]="","",TRIM(MID(SUBSTITUTE(Tasks[[#This Row],[Resources]],",",REPT(" ",99)),199,99)))</f>
        <v/>
      </c>
      <c r="CQ100" s="45" t="str">
        <f aca="false">IF(Tasks[[#This Row],[_Res3Text]]="","",TRIM(MID(SUBSTITUTE(Tasks[[#This Row],[Resources]],",",REPT(" ",99)),298,99)))</f>
        <v/>
      </c>
      <c r="CR10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0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0" s="45" t="n">
        <f aca="false">IF(NOT(Tasks[[#This Row],[_IsLeaf]]=1),0,(Tasks[[#This Row],[_Resource1]]&lt;&gt;"")+(Tasks[[#This Row],[_Res2]]&lt;&gt;"")+(Tasks[[#This Row],[_Res3]]&lt;&gt;"")+(Tasks[[#This Row],[_Res4]]&lt;&gt;""))</f>
        <v>0</v>
      </c>
      <c r="CU10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0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0" s="45" t="n">
        <f aca="false">IF(OR(NOT(Tasks[[#This Row],[_IsLeaf]]=1),Tasks[[#This Row],[_Res2]]=""),0,IF(ISNA(MATCH(Tasks[[#This Row],[_Res2]],res_Name,0)),0,N(Tasks[[#This Row],[Duration]])*HoursPerDay*IF(Tasks[[#This Row],[_Res2Units]]="",DefaultUnits,Tasks[[#This Row],[_Res2Units]])))</f>
        <v>0</v>
      </c>
      <c r="CX100" s="45" t="n">
        <f aca="false">IF(Tasks[[#This Row],[_Res2Work]]=0,0,Tasks[[#This Row],[_Res2Work]]*IFERROR(INDEX(res_Rate,MATCH(Tasks[[#This Row],[_Res2]],res_Name,0)),0))</f>
        <v>0</v>
      </c>
      <c r="CY100" s="45" t="n">
        <f aca="false">IF(AND(AND(Tasks[[#This Row],[_IsLeaf]]=1,Tasks[[#This Row],[_LeafTotalWork]]&gt;0),Tasks[[#This Row],[_Res2Work]]&gt;0),Tasks[[#This Row],[_Res2Work]]/(Tasks[[#This Row],[_FinishWorkday]]-Tasks[[#This Row],[_StartWorkday]]+1),0)</f>
        <v>0</v>
      </c>
      <c r="CZ100" s="45" t="n">
        <f aca="false">Tasks[[#This Row],[_Res2WorkPerWD]]*MAX(0,Tasks[[#This Row],[_StartWorkday]]-1)</f>
        <v>0</v>
      </c>
      <c r="DA100" s="45" t="n">
        <f aca="false">Tasks[[#This Row],[_Res2Work]]*Tasks[[#This Row],[_LeafProgress]]</f>
        <v>0</v>
      </c>
      <c r="DB100" s="45" t="n">
        <f aca="false">IF(Tasks[[#This Row],[_LeafTotalCost]]=0,0,Tasks[[#This Row],[_LeafAC]]*Tasks[[#This Row],[_Res2Cost]]/Tasks[[#This Row],[_LeafTotalCost]])</f>
        <v>0</v>
      </c>
      <c r="DC10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0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00" s="45" t="n">
        <f aca="false">IF(OR(NOT(Tasks[[#This Row],[_IsLeaf]]=1),Tasks[[#This Row],[_Res3]]=""),0,IF(ISNA(MATCH(Tasks[[#This Row],[_Res3]],res_Name,0)),0,N(Tasks[[#This Row],[Duration]])*HoursPerDay*IF(Tasks[[#This Row],[_Res3Units]]="",DefaultUnits,Tasks[[#This Row],[_Res3Units]])))</f>
        <v>0</v>
      </c>
      <c r="DF100" s="45" t="n">
        <f aca="false">IF(Tasks[[#This Row],[_Res3Work]]=0,0,Tasks[[#This Row],[_Res3Work]]*IFERROR(INDEX(res_Rate,MATCH(Tasks[[#This Row],[_Res3]],res_Name,0)),0))</f>
        <v>0</v>
      </c>
      <c r="DG100" s="45" t="n">
        <f aca="false">IF(AND(AND(Tasks[[#This Row],[_IsLeaf]]=1,Tasks[[#This Row],[_LeafTotalWork]]&gt;0),Tasks[[#This Row],[_Res3Work]]&gt;0),Tasks[[#This Row],[_Res3Work]]/(Tasks[[#This Row],[_FinishWorkday]]-Tasks[[#This Row],[_StartWorkday]]+1),0)</f>
        <v>0</v>
      </c>
      <c r="DH100" s="45" t="n">
        <f aca="false">Tasks[[#This Row],[_Res3WorkPerWD]]*MAX(0,Tasks[[#This Row],[_StartWorkday]]-1)</f>
        <v>0</v>
      </c>
      <c r="DI100" s="45" t="n">
        <f aca="false">Tasks[[#This Row],[_Res3Work]]*Tasks[[#This Row],[_LeafProgress]]</f>
        <v>0</v>
      </c>
      <c r="DJ100" s="45" t="n">
        <f aca="false">IF(Tasks[[#This Row],[_LeafTotalCost]]=0,0,Tasks[[#This Row],[_LeafAC]]*Tasks[[#This Row],[_Res3Cost]]/Tasks[[#This Row],[_LeafTotalCost]])</f>
        <v>0</v>
      </c>
      <c r="DK10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0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00" s="45" t="n">
        <f aca="false">IF(OR(NOT(Tasks[[#This Row],[_IsLeaf]]=1),Tasks[[#This Row],[_Res4]]=""),0,IF(ISNA(MATCH(Tasks[[#This Row],[_Res4]],res_Name,0)),0,N(Tasks[[#This Row],[Duration]])*HoursPerDay*IF(Tasks[[#This Row],[_Res4Units]]="",DefaultUnits,Tasks[[#This Row],[_Res4Units]])))</f>
        <v>0</v>
      </c>
      <c r="DN100" s="45" t="n">
        <f aca="false">IF(Tasks[[#This Row],[_Res4Work]]=0,0,Tasks[[#This Row],[_Res4Work]]*IFERROR(INDEX(res_Rate,MATCH(Tasks[[#This Row],[_Res4]],res_Name,0)),0))</f>
        <v>0</v>
      </c>
      <c r="DO100" s="45" t="n">
        <f aca="false">IF(AND(AND(Tasks[[#This Row],[_IsLeaf]]=1,Tasks[[#This Row],[_LeafTotalWork]]&gt;0),Tasks[[#This Row],[_Res4Work]]&gt;0),Tasks[[#This Row],[_Res4Work]]/(Tasks[[#This Row],[_FinishWorkday]]-Tasks[[#This Row],[_StartWorkday]]+1),0)</f>
        <v>0</v>
      </c>
      <c r="DP100" s="45" t="n">
        <f aca="false">Tasks[[#This Row],[_Res4WorkPerWD]]*MAX(0,Tasks[[#This Row],[_StartWorkday]]-1)</f>
        <v>0</v>
      </c>
      <c r="DQ100" s="45" t="n">
        <f aca="false">Tasks[[#This Row],[_Res4Work]]*Tasks[[#This Row],[_LeafProgress]]</f>
        <v>0</v>
      </c>
      <c r="DR100" s="45" t="n">
        <f aca="false">IF(Tasks[[#This Row],[_LeafTotalCost]]=0,0,Tasks[[#This Row],[_LeafAC]]*Tasks[[#This Row],[_Res4Cost]]/Tasks[[#This Row],[_LeafTotalCost]])</f>
        <v>0</v>
      </c>
      <c r="DS100" s="45" t="n">
        <f aca="false">IF(ISNUMBER(Tasks[[#This Row],[% Complete]]),Tasks[[#This Row],[% Complete]],IF(Tasks[[#This Row],[Stage]]="",0,IFERROR(INDEX(stg_Pct,MATCH(Tasks[[#This Row],[Stage]],stg_Name,0)),0)))</f>
        <v>0</v>
      </c>
      <c r="DT100" s="45" t="n">
        <f aca="false">IF(NOT(Tasks[[#This Row],[_IsLeaf]]=1),0,IF(N(Tasks[[#This Row],[Actual Finish]])&gt;0,1,MIN(1,Tasks[[#This Row],[_Pct]])))</f>
        <v>0</v>
      </c>
      <c r="DU100" s="45" t="n">
        <f aca="false">IF(OR(NOT(Tasks[[#This Row],[_IsLeaf]]=1),Tasks[[#This Row],[_Resource1]]=""),0,IF(ISNA(MATCH(Tasks[[#This Row],[_Resource1]],res_Name,0)),0,N(Tasks[[#This Row],[Duration]])*HoursPerDay*IF(Tasks[[#This Row],[_Units1]]="",DefaultUnits,Tasks[[#This Row],[_Units1]])))</f>
        <v>0</v>
      </c>
      <c r="DV100" s="45" t="n">
        <f aca="false">IF(Tasks[[#This Row],[_LeafWork]]=0,0,Tasks[[#This Row],[_LeafWork]]*IFERROR(INDEX(res_Rate,MATCH(Tasks[[#This Row],[_Resource1]],res_Name,0)),0))</f>
        <v>0</v>
      </c>
      <c r="DW100" s="45" t="n">
        <f aca="false">Tasks[[#This Row],[_LeafWork]]+Tasks[[#This Row],[_Res2Work]]+Tasks[[#This Row],[_Res3Work]]+Tasks[[#This Row],[_Res4Work]]</f>
        <v>0</v>
      </c>
      <c r="DX100" s="45" t="n">
        <f aca="false">Tasks[[#This Row],[_LeafCost]]+Tasks[[#This Row],[_Res2Cost]]+Tasks[[#This Row],[_Res3Cost]]+Tasks[[#This Row],[_Res4Cost]]</f>
        <v>0</v>
      </c>
      <c r="DY100" s="45" t="n">
        <f aca="false">IF(Tasks[[#This Row],[_LeafTotalCost]]=0,Tasks[[#This Row],[_LeafAC]],Tasks[[#This Row],[_LeafAC]]*Tasks[[#This Row],[_LeafCost]]/Tasks[[#This Row],[_LeafTotalCost]])</f>
        <v>0</v>
      </c>
      <c r="DZ10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0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0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0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0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0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0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0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00" s="45" t="n">
        <f aca="false">IF(NOT(Tasks[[#This Row],[_IsLeaf]]=1),0,MAX(_xlfn.MAXIFS(Tasks[_Row],Tasks[_Pred1UID],Tasks[[#This Row],[UID]]),_xlfn.MAXIFS(Tasks[_Row],Tasks[_Pred2UID],Tasks[[#This Row],[UID]]),_xlfn.MAXIFS(Tasks[_Row],Tasks[_Pred3UID],Tasks[[#This Row],[UID]]),_xlfn.MAXIFS(Tasks[_Row],Tasks[_Pred4UID],Tasks[[#This Row],[UID]])))</f>
        <v>0</v>
      </c>
      <c r="EI10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0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00" s="74" t="str">
        <f aca="false">IF(NOT(Tasks[[#This Row],[_IsLeaf]]=1),"",IF(N(Tasks[[#This Row],[Duration]])&lt;=0,Tasks[[#This Row],[_LeafLateFinish]],WORKDAY.INTL(Tasks[[#This Row],[_LeafLateFinish]],-(Tasks[[#This Row],[Duration]]-1),WorkWeek,Holidays)))</f>
        <v/>
      </c>
      <c r="EL10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00" s="73" t="b">
        <f aca="false">AND(Tasks[[#This Row],[_IsLeaf]]=1,Tasks[[#This Row],[_LeafProgress]]&lt;1,N(Tasks[[#This Row],[_LeafTotalSlack]])&lt;=CriticalSlackDays)</f>
        <v>0</v>
      </c>
      <c r="EN100" s="45" t="n">
        <f aca="false">IF(AND(Tasks[[#This Row],[_IsLeaf]]=1,Tasks[[#This Row],[_ConstraintCode]]=1,Tasks[[#This Row],[Mode]]&lt;&gt;"Manual",N(Tasks[[#This Row],[Actual Start]])=0),MAX(0,N(Tasks[[#This Row],[Free Slack]])),0)</f>
        <v>0</v>
      </c>
      <c r="EO100" s="74" t="str">
        <f aca="false">IF(NOT(Tasks[[#This Row],[_IsLeaf]]=1),"",IF(Tasks[[#This Row],[_AlapShift]]=0,Tasks[[#This Row],[_LeafCalcStart]],WORKDAY.INTL(Tasks[[#This Row],[_LeafCalcStart]],Tasks[[#This Row],[_AlapShift]],WorkWeek,Holidays)))</f>
        <v/>
      </c>
      <c r="EP100" s="74" t="str">
        <f aca="false">IF(NOT(Tasks[[#This Row],[_IsLeaf]]=1),"",IF(Tasks[[#This Row],[_AlapShift]]=0,Tasks[[#This Row],[_LeafCalcFinish]],WORKDAY.INTL(Tasks[[#This Row],[_LeafCalcFinish]],Tasks[[#This Row],[_AlapShift]],WorkWeek,Holidays)))</f>
        <v/>
      </c>
      <c r="EQ100" s="74" t="str">
        <f aca="false">IF(NOT(Tasks[[#This Row],[_IsLeaf]]=1),"",IF(Tasks[[#This Row],[_AlapShift]]=0,Tasks[[#This Row],[_LeafFcstStart]],WORKDAY.INTL(Tasks[[#This Row],[_LeafFcstStart]],Tasks[[#This Row],[_AlapShift]],WorkWeek,Holidays)))</f>
        <v/>
      </c>
      <c r="ER100" s="74" t="str">
        <f aca="false">IF(NOT(Tasks[[#This Row],[_IsLeaf]]=1),"",IF(Tasks[[#This Row],[_AlapShift]]=0,Tasks[[#This Row],[_LeafFcstFinish]],WORKDAY.INTL(Tasks[[#This Row],[_LeafFcstFinish]],Tasks[[#This Row],[_AlapShift]],WorkWeek,Holidays)))</f>
        <v/>
      </c>
      <c r="ES100" s="74" t="str">
        <f aca="false">IF(Tasks[[#This Row],[Task Name]]="","",IF(Tasks[[#This Row],[_IsSummary]],MIN(INDEX(Tasks[_ShownCalcStart],Tasks[[#This Row],[_Row]]+1):INDEX(Tasks[_ShownCalcStart],Tasks[[#This Row],[_Row]]+Tasks[[#This Row],[_Descendants]])),Tasks[[#This Row],[_ShownCalcStart]]))</f>
        <v/>
      </c>
      <c r="ET100" s="74" t="str">
        <f aca="false">IF(Tasks[[#This Row],[Task Name]]="","",IF(Tasks[[#This Row],[_IsSummary]],MAX(INDEX(Tasks[_ShownCalcFinish],Tasks[[#This Row],[_Row]]+1):INDEX(Tasks[_ShownCalcFinish],Tasks[[#This Row],[_Row]]+Tasks[[#This Row],[_Descendants]])),Tasks[[#This Row],[_ShownCalcFinish]]))</f>
        <v/>
      </c>
      <c r="EU10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0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0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0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0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0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0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0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0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0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0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0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00" s="45" t="n">
        <f aca="false">IF(AND(Tasks[[#This Row],[_IsLeaf]]=1,Tasks[[#This Row],[_LeafTotalWork]]&gt;0),NETWORKDAYS.INTL(ProjectStart,Tasks[[#This Row],[_ShownFcstStart]],WorkWeek,Holidays),0)</f>
        <v>0</v>
      </c>
      <c r="FH100" s="45" t="n">
        <f aca="false">IF(AND(Tasks[[#This Row],[_IsLeaf]]=1,Tasks[[#This Row],[_LeafTotalWork]]&gt;0),MAX(Tasks[[#This Row],[_StartWorkday]],NETWORKDAYS.INTL(ProjectStart,Tasks[[#This Row],[_ShownFcstFinish]],WorkWeek,Holidays)),0)</f>
        <v>0</v>
      </c>
      <c r="FI100" s="45" t="n">
        <f aca="false">IF(AND(Tasks[[#This Row],[_IsLeaf]]=1,Tasks[[#This Row],[_LeafTotalWork]]&gt;0),Tasks[[#This Row],[_LeafWork]]/(Tasks[[#This Row],[_FinishWorkday]]-Tasks[[#This Row],[_StartWorkday]]+1),0)</f>
        <v>0</v>
      </c>
      <c r="FJ100" s="45" t="n">
        <f aca="false">Tasks[[#This Row],[_WorkPerWorkday]]*(Tasks[[#This Row],[_StartWorkday]]-1)</f>
        <v>-0</v>
      </c>
      <c r="FK100" s="45" t="n">
        <f aca="false">IF(Tasks[[#This Row],[_IsLeaf]]=1,MAX(N(Tasks[[#This Row],[Duration]]),0.1),0)</f>
        <v>0</v>
      </c>
      <c r="FL100" s="45" t="n">
        <f aca="false">Tasks[[#This Row],[_WeightDur]]*Tasks[[#This Row],[_LeafProgress]]</f>
        <v>0</v>
      </c>
      <c r="FM10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00" s="45" t="str">
        <f aca="false">IF(AND(Tasks[[#This Row],[_IsLeaf]]=1,N(Tasks[[#This Row],[Duration]])=0,Tasks[[#This Row],[_LeafProgress]]&lt;1),Tasks[[#This Row],[_ShownFcstFinish]]+Tasks[[#This Row],[_Row]]/100000,"")</f>
        <v/>
      </c>
      <c r="FO10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00" s="45" t="n">
        <f aca="false">IF(NOT(Tasks[[#This Row],[_IsLeaf]]=1),0,IF(Tasks[[#This Row],[Baseline Cost]]="",Tasks[[#This Row],[_LeafTotalCost]],N(Tasks[[#This Row],[Baseline Cost]])))</f>
        <v>0</v>
      </c>
      <c r="FQ100" s="45" t="n">
        <f aca="false">Tasks[[#This Row],[_LeafBudget]]*Tasks[[#This Row],[_PlannedPct]]</f>
        <v>0</v>
      </c>
      <c r="FR100" s="45" t="n">
        <f aca="false">Tasks[[#This Row],[_LeafBudget]]*Tasks[[#This Row],[_LeafProgress]]</f>
        <v>0</v>
      </c>
      <c r="FS100" s="45" t="n">
        <f aca="false">IF(NOT(Tasks[[#This Row],[_IsLeaf]]=1),0,IF(Tasks[[#This Row],[Actual Cost]]="",Tasks[[#This Row],[_LeafTotalCost]]*Tasks[[#This Row],[_LeafProgress]],N(Tasks[[#This Row],[Actual Cost]])))</f>
        <v>0</v>
      </c>
      <c r="FT100" s="45" t="str">
        <f aca="false">IF(Tasks[[#This Row],[Task Name]]="","",LEFT(Tasks[[#This Row],[WBS]],FIND(".",Tasks[[#This Row],[WBS]]&amp;".")-1))</f>
        <v/>
      </c>
      <c r="FU100" s="45" t="str">
        <f aca="false">IF(AND(Tasks[[#This Row],[Task Name]]&lt;&gt;"",Tasks[[#This Row],[_Level]]=1),Tasks[[#This Row],[_Row]],"")</f>
        <v/>
      </c>
      <c r="FV100" s="45" t="str">
        <f aca="false">IF(AND(Tasks[[#This Row],[_IsLeaf]]=1,N(Tasks[[#This Row],[Duration]])=0),Tasks[[#This Row],[Planned Finish]]+Tasks[[#This Row],[_Row]]/100000,"")</f>
        <v/>
      </c>
      <c r="FW100" s="45" t="str">
        <f aca="false">IF(AND(Tasks[[#This Row],[_IsLeaf]]=1,Tasks[[#This Row],[_LeafProgress]]&lt;1,OR(N(Tasks[[#This Row],[Finish Var]])&gt;0,Tasks[[#This Row],[Status]]="Late Start")),MAX(0,Tasks[[#This Row],[Finish Var]])+1-Tasks[[#This Row],[_Row]]/1000000,"")</f>
        <v/>
      </c>
      <c r="FX100" s="45" t="str">
        <f aca="false">IF(AND(Tasks[[#This Row],[_IsLeaf]]=1,N(Tasks[[#This Row],[Actual Start]])=0,Tasks[[#This Row],[_ShownFcstStart]]&gt;=StatusDate,Tasks[[#This Row],[_ShownFcstStart]]&lt;=LookaheadEnd),Tasks[[#This Row],[_ShownFcstStart]]+Tasks[[#This Row],[_Row]]/100000,"")</f>
        <v/>
      </c>
      <c r="FY100" s="45" t="str">
        <f aca="false">IF(AND(Tasks[[#This Row],[_IsLeaf]]=1,Tasks[[#This Row],[_LeafProgress]]&lt;1,Tasks[[#This Row],[_ShownFcstFinish]]&gt;=StatusDate,Tasks[[#This Row],[_ShownFcstFinish]]&lt;=LookaheadEnd),Tasks[[#This Row],[_ShownFcstFinish]]+Tasks[[#This Row],[_Row]]/100000,"")</f>
        <v/>
      </c>
      <c r="FZ100" s="45" t="str">
        <f aca="false">IF(Tasks[[#This Row],[_LeafCritical]],Tasks[[#This Row],[_ShownFcstStart]]+Tasks[[#This Row],[_Row]]/100000,"")</f>
        <v/>
      </c>
      <c r="GA100" s="45" t="n">
        <f aca="false">Tasks[[#This Row],[_LeafWork]]*Tasks[[#This Row],[_LeafProgress]]</f>
        <v>0</v>
      </c>
      <c r="GB100" s="74" t="str">
        <f aca="false">IF(AND(Tasks[[#This Row],[_IsLeaf]]=1,Tasks[[#This Row],[_LeafProgress]]&gt;=1),IF(N(Tasks[[#This Row],[Actual Finish]])&gt;0,Tasks[[#This Row],[Actual Finish]],Tasks[[#This Row],[_ShownFcstFinish]]),"")</f>
        <v/>
      </c>
    </row>
    <row r="101" customFormat="false" ht="15" hidden="false" customHeight="false" outlineLevel="0" collapsed="false">
      <c r="A101" s="67" t="str">
        <f aca="false">IF(Tasks[[#This Row],[Task Name]]="","",COUNTA(Tasks[[#Headers],[Task Name]]:Tasks[[#This Row],[Task Name]])-1)</f>
        <v/>
      </c>
      <c r="B101" s="21" t="n">
        <v>96</v>
      </c>
      <c r="C10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21"/>
      <c r="E101" s="22"/>
      <c r="F101" s="21"/>
      <c r="G101" s="22"/>
      <c r="H101" s="22"/>
      <c r="I101" s="22"/>
      <c r="J101" s="7"/>
      <c r="K101" s="7"/>
      <c r="L101" s="22"/>
      <c r="M101" s="58" t="str">
        <f aca="false">IF(Tasks[[#This Row],[Task Name]]="","",IF(Tasks[[#This Row],[_IsSummary]],MIN(INDEX(Tasks[_ShownFcstStart],Tasks[[#This Row],[_Row]]+1):INDEX(Tasks[_ShownFcstStart],Tasks[[#This Row],[_Row]]+Tasks[[#This Row],[_Descendants]])),Tasks[[#This Row],[_ShownFcstStart]]))</f>
        <v/>
      </c>
      <c r="N101" s="58" t="str">
        <f aca="false">IF(Tasks[[#This Row],[Task Name]]="","",IF(Tasks[[#This Row],[_IsSummary]],MAX(INDEX(Tasks[_ShownFcstFinish],Tasks[[#This Row],[_Row]]+1):INDEX(Tasks[_ShownFcstFinish],Tasks[[#This Row],[_Row]]+Tasks[[#This Row],[_Descendants]])),Tasks[[#This Row],[_ShownFcstFinish]]))</f>
        <v/>
      </c>
      <c r="O101" s="20" t="str">
        <f aca="false">IF(Tasks[[#This Row],[Task Name]]="","",IF(Tasks[[#This Row],[Progress]]&gt;=1,"Complete",IF(OR(N(Tasks[[#This Row],[Actual Start]])&gt;0,Tasks[[#This Row],[Progress]]&gt;0),IF(Tasks[[#This Row],[Finish Var]]&gt;0,"Behind","In Progress"),IF(Tasks[[#This Row],[Planned Start]]&lt;StatusDate,"Late Start","Not Started"))))</f>
        <v/>
      </c>
      <c r="P101" s="20" t="str">
        <f aca="false">IF(Tasks[[#This Row],[Task Name]]="","",IF(IF(Tasks[[#This Row],[_IsSummary]],COUNTIF(INDEX(Tasks[_LeafCritical],Tasks[[#This Row],[_Row]]+1):INDEX(Tasks[_LeafCritical],Tasks[[#This Row],[_Row]]+Tasks[[#This Row],[_Descendants]]),TRUE())&gt;0,Tasks[[#This Row],[_LeafCritical]]),"Yes",""))</f>
        <v/>
      </c>
      <c r="Q10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01" s="67" t="str">
        <f aca="false">IF(Tasks[[#This Row],[Task Name]]="","",IF(Tasks[[#This Row],[_Level]]&lt;=OutlineShowLevel,"Yes","No"))</f>
        <v/>
      </c>
      <c r="S101" s="7"/>
      <c r="T101" s="21"/>
      <c r="U101" s="22"/>
      <c r="V101" s="7"/>
      <c r="W101" s="67" t="str">
        <f aca="false">IF(Tasks[[#This Row],[Task Name]]="","",IF(Tasks[[#This Row],[Finish]]&gt;=Tasks[[#This Row],[Planned Finish]],NETWORKDAYS.INTL(Tasks[[#This Row],[Planned Finish]],Tasks[[#This Row],[Finish]],WorkWeek,Holidays)-1,1-NETWORKDAYS.INTL(Tasks[[#This Row],[Finish]],Tasks[[#This Row],[Planned Finish]],WorkWeek,Holidays)))</f>
        <v/>
      </c>
      <c r="X101" s="58" t="str">
        <f aca="false">IF(Tasks[[#This Row],[Task Name]]="","",IF(N(Tasks[[#This Row],[Baseline Start]])&gt;0,Tasks[[#This Row],[Baseline Start]],Tasks[[#This Row],[_CalcStart]]))</f>
        <v/>
      </c>
      <c r="Y101" s="58" t="str">
        <f aca="false">IF(Tasks[[#This Row],[Task Name]]="","",IF(N(Tasks[[#This Row],[Baseline Finish]])&gt;0,Tasks[[#This Row],[Baseline Finish]],Tasks[[#This Row],[_CalcFinish]]))</f>
        <v/>
      </c>
      <c r="Z101" s="67" t="str">
        <f aca="false">IF(Tasks[[#This Row],[Task Name]]="","",IF(Tasks[[#This Row],[Start]]&gt;=Tasks[[#This Row],[Planned Start]],NETWORKDAYS.INTL(Tasks[[#This Row],[Planned Start]],Tasks[[#This Row],[Start]],WorkWeek,Holidays)-1,1-NETWORKDAYS.INTL(Tasks[[#This Row],[Start]],Tasks[[#This Row],[Planned Start]],WorkWeek,Holidays)))</f>
        <v/>
      </c>
      <c r="AA101" s="58" t="str">
        <f aca="false">IF(Tasks[[#This Row],[Task Name]]="","",IF(Tasks[[#This Row],[_IsSummary]],MIN(INDEX(Tasks[_LeafLateStart],Tasks[[#This Row],[_Row]]+1):INDEX(Tasks[_LeafLateStart],Tasks[[#This Row],[_Row]]+Tasks[[#This Row],[_Descendants]])),Tasks[[#This Row],[_LeafLateStart]]))</f>
        <v/>
      </c>
      <c r="AB101" s="58" t="str">
        <f aca="false">IF(Tasks[[#This Row],[Task Name]]="","",IF(Tasks[[#This Row],[_IsSummary]],MAX(INDEX(Tasks[_LeafLateFinish],Tasks[[#This Row],[_Row]]+1):INDEX(Tasks[_LeafLateFinish],Tasks[[#This Row],[_Row]]+Tasks[[#This Row],[_Descendants]])),Tasks[[#This Row],[_LeafLateFinish]]))</f>
        <v/>
      </c>
      <c r="AC101" s="67" t="str">
        <f aca="false">IF(Tasks[[#This Row],[Task Name]]="","",IF(Tasks[[#This Row],[_IsSummary]],MIN(INDEX(Tasks[_LeafTotalSlack],Tasks[[#This Row],[_Row]]+1):INDEX(Tasks[_LeafTotalSlack],Tasks[[#This Row],[_Row]]+Tasks[[#This Row],[_Descendants]])),Tasks[[#This Row],[_LeafTotalSlack]]))</f>
        <v/>
      </c>
      <c r="AD10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0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0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01" s="60"/>
      <c r="AH10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0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01" s="69" t="str">
        <f aca="false">IF(Tasks[[#This Row],[Task Name]]="","",IF(Tasks[[#This Row],[_IsSummary]],SUM(INDEX(Tasks[_LeafTotalWork],Tasks[[#This Row],[_Row]]+1):INDEX(Tasks[_LeafTotalWork],Tasks[[#This Row],[_Row]]+Tasks[[#This Row],[_Descendants]])),Tasks[[#This Row],[_LeafTotalWork]]))</f>
        <v/>
      </c>
      <c r="AK10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01" s="70" t="str">
        <f aca="false">IF(Tasks[[#This Row],[Task Name]]="","",IF(Tasks[[#This Row],[_IsSummary]],SUM(INDEX(Tasks[_LeafTotalCost],Tasks[[#This Row],[_Row]]+1):INDEX(Tasks[_LeafTotalCost],Tasks[[#This Row],[_Row]]+Tasks[[#This Row],[_Descendants]])),Tasks[[#This Row],[_LeafTotalCost]]))</f>
        <v/>
      </c>
      <c r="AM101" s="71"/>
      <c r="AN101" s="20" t="str">
        <f aca="false">IF(OR(Tasks[[#This Row],[Task Name]]="",Tasks[[#This Row],[Baseline Duration]]=""),"",Tasks[[#This Row],[BL Source Duration]]-N(Tasks[[#This Row],[Baseline Duration]]))</f>
        <v/>
      </c>
      <c r="AO101" s="69" t="str">
        <f aca="false">IF(OR(Tasks[[#This Row],[Task Name]]="",Tasks[[#This Row],[Baseline Work]]=""),"",Tasks[[#This Row],[Work]]-N(Tasks[[#This Row],[Baseline Work]]))</f>
        <v/>
      </c>
      <c r="AP101" s="70" t="str">
        <f aca="false">IF(OR(Tasks[[#This Row],[Task Name]]="",Tasks[[#This Row],[Baseline Cost]]=""),"",Tasks[[#This Row],[Cost]]-N(Tasks[[#This Row],[Baseline Cost]]))</f>
        <v/>
      </c>
      <c r="AQ101" s="58" t="str">
        <f aca="false">IF(Tasks[[#This Row],[Task Name]]="","",Tasks[[#This Row],[Start]])</f>
        <v/>
      </c>
      <c r="AR101" s="58" t="str">
        <f aca="false">IF(Tasks[[#This Row],[Task Name]]="","",Tasks[[#This Row],[Finish]])</f>
        <v/>
      </c>
      <c r="AS101" s="67" t="str">
        <f aca="false">IF(Tasks[[#This Row],[Task Name]]="","",IF(Tasks[[#This Row],[_IsSummary]],NETWORKDAYS.INTL(Tasks[[#This Row],[Start]],Tasks[[#This Row],[Finish]],WorkWeek,Holidays),N(Tasks[[#This Row],[Duration]])))</f>
        <v/>
      </c>
      <c r="AT101" s="69" t="str">
        <f aca="false">IF(Tasks[[#This Row],[Task Name]]="","",Tasks[[#This Row],[Work]])</f>
        <v/>
      </c>
      <c r="AU101" s="70" t="str">
        <f aca="false">IF(Tasks[[#This Row],[Task Name]]="","",Tasks[[#This Row],[Cost]])</f>
        <v/>
      </c>
      <c r="AV101" s="7"/>
      <c r="AW101" s="7"/>
      <c r="AX101" s="21"/>
      <c r="AY101" s="72"/>
      <c r="AZ101" s="71"/>
      <c r="BA101" s="70" t="str">
        <f aca="false">IF(Tasks[[#This Row],[Task Name]]="","",IF(Tasks[[#This Row],[_IsSummary]],SUM(INDEX(Tasks[_LeafEV],Tasks[[#This Row],[_Row]]+1):INDEX(Tasks[_LeafEV],Tasks[[#This Row],[_Row]]+Tasks[[#This Row],[_Descendants]])),Tasks[[#This Row],[_LeafEV]]))</f>
        <v/>
      </c>
      <c r="BB101" s="70" t="str">
        <f aca="false">IF(Tasks[[#This Row],[Task Name]]="","",IF(Tasks[[#This Row],[_IsSummary]],SUM(INDEX(Tasks[_LeafBudget],Tasks[[#This Row],[_Row]]+1):INDEX(Tasks[_LeafBudget],Tasks[[#This Row],[_Row]]+Tasks[[#This Row],[_Descendants]])),Tasks[[#This Row],[_LeafBudget]]))</f>
        <v/>
      </c>
      <c r="BC101" s="70" t="str">
        <f aca="false">IF(Tasks[[#This Row],[Task Name]]="","",IF(Tasks[[#This Row],[_IsSummary]],SUM(INDEX(Tasks[_LeafPV],Tasks[[#This Row],[_Row]]+1):INDEX(Tasks[_LeafPV],Tasks[[#This Row],[_Row]]+Tasks[[#This Row],[_Descendants]])),Tasks[[#This Row],[_LeafPV]]))</f>
        <v/>
      </c>
      <c r="BD101" s="70" t="str">
        <f aca="false">IF(Tasks[[#This Row],[Task Name]]="","",IF(Tasks[[#This Row],[_IsSummary]],SUM(INDEX(Tasks[_LeafAC],Tasks[[#This Row],[_Row]]+1):INDEX(Tasks[_LeafAC],Tasks[[#This Row],[_Row]]+Tasks[[#This Row],[_Descendants]])),Tasks[[#This Row],[_LeafAC]]))</f>
        <v/>
      </c>
      <c r="BE101" s="45" t="str">
        <f aca="false">IF(Tasks[[#This Row],[Task Name]]="","",MAX(1,N(Tasks[[#This Row],[Level]])))</f>
        <v/>
      </c>
      <c r="BF101" s="45" t="n">
        <f aca="false">ROW()-ROW(Tasks[[#Headers],[ID]])</f>
        <v>96</v>
      </c>
      <c r="BG101" s="45" t="n">
        <f aca="false">IF(OR(Tasks[[#This Row],[Task Name]]="",Tasks[[#This Row],[_Level]]&lt;=1),0,IFERROR(LOOKUP(2,1/(Tasks[[#Headers],[_Level]]:Tasks[[#This Row],[_Level]]=Tasks[[#This Row],[_Level]]-1),ROW(Tasks[[#Headers],[_Level]]:Tasks[[#This Row],[_Level]])),0))</f>
        <v>0</v>
      </c>
      <c r="BH101" s="45" t="n">
        <f aca="false">IFERROR(N(INDEX(Tasks[_Level],Tasks[[#This Row],[_Row]]+1)),0)</f>
        <v>0</v>
      </c>
      <c r="BI101" s="73" t="b">
        <f aca="false">AND(Tasks[[#This Row],[Task Name]]&lt;&gt;"",Tasks[[#This Row],[_NextLevel]]&gt;Tasks[[#This Row],[_Level]])</f>
        <v>0</v>
      </c>
      <c r="BJ101" s="45" t="n">
        <f aca="false">IF(Tasks[[#This Row],[_IsSummary]],COUNTIF(Tasks[WBS],Tasks[[#This Row],[WBS]]&amp;".*"),0)</f>
        <v>0</v>
      </c>
      <c r="BK101" s="45" t="n">
        <f aca="false">IF(AND(Tasks[[#This Row],[Task Name]]&lt;&gt;"",NOT(Tasks[[#This Row],[_IsSummary]])),1,0)</f>
        <v>0</v>
      </c>
      <c r="BL101" s="45" t="n">
        <f aca="false">IF(N(Tasks[[#This Row],[_Pred1UID]])=0,0,IFERROR(MATCH(Tasks[[#This Row],[_Pred1UID]],Tasks[UID],0),-1))</f>
        <v>0</v>
      </c>
      <c r="BM101" s="45" t="n">
        <f aca="false">IF(N(Tasks[[#This Row],[_Pred2UID]])=0,0,IFERROR(MATCH(Tasks[[#This Row],[_Pred2UID]],Tasks[UID],0),-1))</f>
        <v>0</v>
      </c>
      <c r="BN101" s="45" t="n">
        <f aca="false">IF(N(Tasks[[#This Row],[_Pred3UID]])=0,0,IFERROR(MATCH(Tasks[[#This Row],[_Pred3UID]],Tasks[UID],0),-1))</f>
        <v>0</v>
      </c>
      <c r="BO101" s="45" t="n">
        <f aca="false">IF(N(Tasks[[#This Row],[_Pred4UID]])=0,0,IFERROR(MATCH(Tasks[[#This Row],[_Pred4UID]],Tasks[UID],0),-1))</f>
        <v>0</v>
      </c>
      <c r="BP10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0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01" s="74" t="n">
        <f aca="false">IF(OR(Tasks[[#This Row],[_ConstraintCode]]=2,Tasks[[#This Row],[_ConstraintCode]]=3,Tasks[[#This Row],[_ConstraintCode]]=4,Tasks[[#This Row],[_ConstraintCode]]=6),Tasks[[#This Row],[_ConstraintStart]],0)</f>
        <v>0</v>
      </c>
      <c r="BS101" s="74" t="n">
        <f aca="false">IF(OR(Tasks[[#This Row],[_ConstraintCode]]=2,Tasks[[#This Row],[_ConstraintCode]]=3,Tasks[[#This Row],[_ConstraintCode]]=5,Tasks[[#This Row],[_ConstraintCode]]=7),Tasks[[#This Row],[_ConstraintStart]],2958465)</f>
        <v>2958465</v>
      </c>
      <c r="BT10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01" s="74" t="str">
        <f aca="false">IF(NOT(Tasks[[#This Row],[_IsLeaf]]=1),"",IF(N(Tasks[[#This Row],[Duration]])&lt;=0,Tasks[[#This Row],[_LeafCalcStart]],WORKDAY.INTL(Tasks[[#This Row],[_LeafCalcStart]],Tasks[[#This Row],[Duration]]-1,WorkWeek,Holidays)))</f>
        <v/>
      </c>
      <c r="BV10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0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01" s="45" t="str">
        <f aca="false">IF(Tasks[[#This Row],[Predecessors]]="","",TRIM(MID(SUBSTITUTE(SUBSTITUTE(SUBSTITUTE(UPPER(Tasks[[#This Row],[Predecessors]]),";",",")," ",""),",",REPT(" ",99)),1,99)))</f>
        <v/>
      </c>
      <c r="BY101" s="45" t="str">
        <f aca="false">IF(Tasks[[#This Row],[_Pred1Text]]="","",IFERROR(VALUE(LEFT(Tasks[[#This Row],[_Pred1Text]],MIN(FIND("F",Tasks[[#This Row],[_Pred1Text]]&amp;"F"),FIND("S",Tasks[[#This Row],[_Pred1Text]]&amp;"S"),FIND("+",Tasks[[#This Row],[_Pred1Text]]&amp;"+"),FIND("-",Tasks[[#This Row],[_Pred1Text]]&amp;"-"))-1)),""))</f>
        <v/>
      </c>
      <c r="BZ10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0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01" s="45" t="str">
        <f aca="false">IF(Tasks[[#This Row],[_Pred1Text]]="","",TRIM(MID(SUBSTITUTE(SUBSTITUTE(SUBSTITUTE(UPPER(Tasks[[#This Row],[Predecessors]]),";",",")," ",""),",",REPT(" ",99)),100,99)))</f>
        <v/>
      </c>
      <c r="CC101" s="45" t="str">
        <f aca="false">IF(Tasks[[#This Row],[_Pred2Text]]="","",IFERROR(VALUE(LEFT(Tasks[[#This Row],[_Pred2Text]],MIN(FIND("F",Tasks[[#This Row],[_Pred2Text]]&amp;"F"),FIND("S",Tasks[[#This Row],[_Pred2Text]]&amp;"S"),FIND("+",Tasks[[#This Row],[_Pred2Text]]&amp;"+"),FIND("-",Tasks[[#This Row],[_Pred2Text]]&amp;"-"))-1)),""))</f>
        <v/>
      </c>
      <c r="CD10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0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01" s="45" t="str">
        <f aca="false">IF(Tasks[[#This Row],[_Pred2Text]]="","",TRIM(MID(SUBSTITUTE(SUBSTITUTE(SUBSTITUTE(UPPER(Tasks[[#This Row],[Predecessors]]),";",",")," ",""),",",REPT(" ",99)),199,99)))</f>
        <v/>
      </c>
      <c r="CG101" s="45" t="str">
        <f aca="false">IF(Tasks[[#This Row],[_Pred3Text]]="","",IFERROR(VALUE(LEFT(Tasks[[#This Row],[_Pred3Text]],MIN(FIND("F",Tasks[[#This Row],[_Pred3Text]]&amp;"F"),FIND("S",Tasks[[#This Row],[_Pred3Text]]&amp;"S"),FIND("+",Tasks[[#This Row],[_Pred3Text]]&amp;"+"),FIND("-",Tasks[[#This Row],[_Pred3Text]]&amp;"-"))-1)),""))</f>
        <v/>
      </c>
      <c r="CH10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0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01" s="45" t="str">
        <f aca="false">IF(Tasks[[#This Row],[_Pred3Text]]="","",TRIM(MID(SUBSTITUTE(SUBSTITUTE(SUBSTITUTE(UPPER(Tasks[[#This Row],[Predecessors]]),";",",")," ",""),",",REPT(" ",99)),298,99)))</f>
        <v/>
      </c>
      <c r="CK101" s="45" t="str">
        <f aca="false">IF(Tasks[[#This Row],[_Pred4Text]]="","",IFERROR(VALUE(LEFT(Tasks[[#This Row],[_Pred4Text]],MIN(FIND("F",Tasks[[#This Row],[_Pred4Text]]&amp;"F"),FIND("S",Tasks[[#This Row],[_Pred4Text]]&amp;"S"),FIND("+",Tasks[[#This Row],[_Pred4Text]]&amp;"+"),FIND("-",Tasks[[#This Row],[_Pred4Text]]&amp;"-"))-1)),""))</f>
        <v/>
      </c>
      <c r="CL10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0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01" s="45" t="str">
        <f aca="false">IF(OR(Tasks[[#This Row],[Task Name]]="",Tasks[[#This Row],[Resources]]=""),"",TRIM(MID(SUBSTITUTE(Tasks[[#This Row],[Resources]],",",REPT(" ",99)),1,99)))</f>
        <v/>
      </c>
      <c r="CO101" s="45" t="str">
        <f aca="false">IF(Tasks[[#This Row],[_Res1Text]]="","",TRIM(MID(SUBSTITUTE(Tasks[[#This Row],[Resources]],",",REPT(" ",99)),100,99)))</f>
        <v/>
      </c>
      <c r="CP101" s="45" t="str">
        <f aca="false">IF(Tasks[[#This Row],[_Res2Text]]="","",TRIM(MID(SUBSTITUTE(Tasks[[#This Row],[Resources]],",",REPT(" ",99)),199,99)))</f>
        <v/>
      </c>
      <c r="CQ101" s="45" t="str">
        <f aca="false">IF(Tasks[[#This Row],[_Res3Text]]="","",TRIM(MID(SUBSTITUTE(Tasks[[#This Row],[Resources]],",",REPT(" ",99)),298,99)))</f>
        <v/>
      </c>
      <c r="CR10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0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1" s="45" t="n">
        <f aca="false">IF(NOT(Tasks[[#This Row],[_IsLeaf]]=1),0,(Tasks[[#This Row],[_Resource1]]&lt;&gt;"")+(Tasks[[#This Row],[_Res2]]&lt;&gt;"")+(Tasks[[#This Row],[_Res3]]&lt;&gt;"")+(Tasks[[#This Row],[_Res4]]&lt;&gt;""))</f>
        <v>0</v>
      </c>
      <c r="CU10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0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1" s="45" t="n">
        <f aca="false">IF(OR(NOT(Tasks[[#This Row],[_IsLeaf]]=1),Tasks[[#This Row],[_Res2]]=""),0,IF(ISNA(MATCH(Tasks[[#This Row],[_Res2]],res_Name,0)),0,N(Tasks[[#This Row],[Duration]])*HoursPerDay*IF(Tasks[[#This Row],[_Res2Units]]="",DefaultUnits,Tasks[[#This Row],[_Res2Units]])))</f>
        <v>0</v>
      </c>
      <c r="CX101" s="45" t="n">
        <f aca="false">IF(Tasks[[#This Row],[_Res2Work]]=0,0,Tasks[[#This Row],[_Res2Work]]*IFERROR(INDEX(res_Rate,MATCH(Tasks[[#This Row],[_Res2]],res_Name,0)),0))</f>
        <v>0</v>
      </c>
      <c r="CY101" s="45" t="n">
        <f aca="false">IF(AND(AND(Tasks[[#This Row],[_IsLeaf]]=1,Tasks[[#This Row],[_LeafTotalWork]]&gt;0),Tasks[[#This Row],[_Res2Work]]&gt;0),Tasks[[#This Row],[_Res2Work]]/(Tasks[[#This Row],[_FinishWorkday]]-Tasks[[#This Row],[_StartWorkday]]+1),0)</f>
        <v>0</v>
      </c>
      <c r="CZ101" s="45" t="n">
        <f aca="false">Tasks[[#This Row],[_Res2WorkPerWD]]*MAX(0,Tasks[[#This Row],[_StartWorkday]]-1)</f>
        <v>0</v>
      </c>
      <c r="DA101" s="45" t="n">
        <f aca="false">Tasks[[#This Row],[_Res2Work]]*Tasks[[#This Row],[_LeafProgress]]</f>
        <v>0</v>
      </c>
      <c r="DB101" s="45" t="n">
        <f aca="false">IF(Tasks[[#This Row],[_LeafTotalCost]]=0,0,Tasks[[#This Row],[_LeafAC]]*Tasks[[#This Row],[_Res2Cost]]/Tasks[[#This Row],[_LeafTotalCost]])</f>
        <v>0</v>
      </c>
      <c r="DC10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0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01" s="45" t="n">
        <f aca="false">IF(OR(NOT(Tasks[[#This Row],[_IsLeaf]]=1),Tasks[[#This Row],[_Res3]]=""),0,IF(ISNA(MATCH(Tasks[[#This Row],[_Res3]],res_Name,0)),0,N(Tasks[[#This Row],[Duration]])*HoursPerDay*IF(Tasks[[#This Row],[_Res3Units]]="",DefaultUnits,Tasks[[#This Row],[_Res3Units]])))</f>
        <v>0</v>
      </c>
      <c r="DF101" s="45" t="n">
        <f aca="false">IF(Tasks[[#This Row],[_Res3Work]]=0,0,Tasks[[#This Row],[_Res3Work]]*IFERROR(INDEX(res_Rate,MATCH(Tasks[[#This Row],[_Res3]],res_Name,0)),0))</f>
        <v>0</v>
      </c>
      <c r="DG101" s="45" t="n">
        <f aca="false">IF(AND(AND(Tasks[[#This Row],[_IsLeaf]]=1,Tasks[[#This Row],[_LeafTotalWork]]&gt;0),Tasks[[#This Row],[_Res3Work]]&gt;0),Tasks[[#This Row],[_Res3Work]]/(Tasks[[#This Row],[_FinishWorkday]]-Tasks[[#This Row],[_StartWorkday]]+1),0)</f>
        <v>0</v>
      </c>
      <c r="DH101" s="45" t="n">
        <f aca="false">Tasks[[#This Row],[_Res3WorkPerWD]]*MAX(0,Tasks[[#This Row],[_StartWorkday]]-1)</f>
        <v>0</v>
      </c>
      <c r="DI101" s="45" t="n">
        <f aca="false">Tasks[[#This Row],[_Res3Work]]*Tasks[[#This Row],[_LeafProgress]]</f>
        <v>0</v>
      </c>
      <c r="DJ101" s="45" t="n">
        <f aca="false">IF(Tasks[[#This Row],[_LeafTotalCost]]=0,0,Tasks[[#This Row],[_LeafAC]]*Tasks[[#This Row],[_Res3Cost]]/Tasks[[#This Row],[_LeafTotalCost]])</f>
        <v>0</v>
      </c>
      <c r="DK10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0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01" s="45" t="n">
        <f aca="false">IF(OR(NOT(Tasks[[#This Row],[_IsLeaf]]=1),Tasks[[#This Row],[_Res4]]=""),0,IF(ISNA(MATCH(Tasks[[#This Row],[_Res4]],res_Name,0)),0,N(Tasks[[#This Row],[Duration]])*HoursPerDay*IF(Tasks[[#This Row],[_Res4Units]]="",DefaultUnits,Tasks[[#This Row],[_Res4Units]])))</f>
        <v>0</v>
      </c>
      <c r="DN101" s="45" t="n">
        <f aca="false">IF(Tasks[[#This Row],[_Res4Work]]=0,0,Tasks[[#This Row],[_Res4Work]]*IFERROR(INDEX(res_Rate,MATCH(Tasks[[#This Row],[_Res4]],res_Name,0)),0))</f>
        <v>0</v>
      </c>
      <c r="DO101" s="45" t="n">
        <f aca="false">IF(AND(AND(Tasks[[#This Row],[_IsLeaf]]=1,Tasks[[#This Row],[_LeafTotalWork]]&gt;0),Tasks[[#This Row],[_Res4Work]]&gt;0),Tasks[[#This Row],[_Res4Work]]/(Tasks[[#This Row],[_FinishWorkday]]-Tasks[[#This Row],[_StartWorkday]]+1),0)</f>
        <v>0</v>
      </c>
      <c r="DP101" s="45" t="n">
        <f aca="false">Tasks[[#This Row],[_Res4WorkPerWD]]*MAX(0,Tasks[[#This Row],[_StartWorkday]]-1)</f>
        <v>0</v>
      </c>
      <c r="DQ101" s="45" t="n">
        <f aca="false">Tasks[[#This Row],[_Res4Work]]*Tasks[[#This Row],[_LeafProgress]]</f>
        <v>0</v>
      </c>
      <c r="DR101" s="45" t="n">
        <f aca="false">IF(Tasks[[#This Row],[_LeafTotalCost]]=0,0,Tasks[[#This Row],[_LeafAC]]*Tasks[[#This Row],[_Res4Cost]]/Tasks[[#This Row],[_LeafTotalCost]])</f>
        <v>0</v>
      </c>
      <c r="DS101" s="45" t="n">
        <f aca="false">IF(ISNUMBER(Tasks[[#This Row],[% Complete]]),Tasks[[#This Row],[% Complete]],IF(Tasks[[#This Row],[Stage]]="",0,IFERROR(INDEX(stg_Pct,MATCH(Tasks[[#This Row],[Stage]],stg_Name,0)),0)))</f>
        <v>0</v>
      </c>
      <c r="DT101" s="45" t="n">
        <f aca="false">IF(NOT(Tasks[[#This Row],[_IsLeaf]]=1),0,IF(N(Tasks[[#This Row],[Actual Finish]])&gt;0,1,MIN(1,Tasks[[#This Row],[_Pct]])))</f>
        <v>0</v>
      </c>
      <c r="DU101" s="45" t="n">
        <f aca="false">IF(OR(NOT(Tasks[[#This Row],[_IsLeaf]]=1),Tasks[[#This Row],[_Resource1]]=""),0,IF(ISNA(MATCH(Tasks[[#This Row],[_Resource1]],res_Name,0)),0,N(Tasks[[#This Row],[Duration]])*HoursPerDay*IF(Tasks[[#This Row],[_Units1]]="",DefaultUnits,Tasks[[#This Row],[_Units1]])))</f>
        <v>0</v>
      </c>
      <c r="DV101" s="45" t="n">
        <f aca="false">IF(Tasks[[#This Row],[_LeafWork]]=0,0,Tasks[[#This Row],[_LeafWork]]*IFERROR(INDEX(res_Rate,MATCH(Tasks[[#This Row],[_Resource1]],res_Name,0)),0))</f>
        <v>0</v>
      </c>
      <c r="DW101" s="45" t="n">
        <f aca="false">Tasks[[#This Row],[_LeafWork]]+Tasks[[#This Row],[_Res2Work]]+Tasks[[#This Row],[_Res3Work]]+Tasks[[#This Row],[_Res4Work]]</f>
        <v>0</v>
      </c>
      <c r="DX101" s="45" t="n">
        <f aca="false">Tasks[[#This Row],[_LeafCost]]+Tasks[[#This Row],[_Res2Cost]]+Tasks[[#This Row],[_Res3Cost]]+Tasks[[#This Row],[_Res4Cost]]</f>
        <v>0</v>
      </c>
      <c r="DY101" s="45" t="n">
        <f aca="false">IF(Tasks[[#This Row],[_LeafTotalCost]]=0,Tasks[[#This Row],[_LeafAC]],Tasks[[#This Row],[_LeafAC]]*Tasks[[#This Row],[_LeafCost]]/Tasks[[#This Row],[_LeafTotalCost]])</f>
        <v>0</v>
      </c>
      <c r="DZ10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0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0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0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0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0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0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0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01" s="45" t="n">
        <f aca="false">IF(NOT(Tasks[[#This Row],[_IsLeaf]]=1),0,MAX(_xlfn.MAXIFS(Tasks[_Row],Tasks[_Pred1UID],Tasks[[#This Row],[UID]]),_xlfn.MAXIFS(Tasks[_Row],Tasks[_Pred2UID],Tasks[[#This Row],[UID]]),_xlfn.MAXIFS(Tasks[_Row],Tasks[_Pred3UID],Tasks[[#This Row],[UID]]),_xlfn.MAXIFS(Tasks[_Row],Tasks[_Pred4UID],Tasks[[#This Row],[UID]])))</f>
        <v>0</v>
      </c>
      <c r="EI10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0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01" s="74" t="str">
        <f aca="false">IF(NOT(Tasks[[#This Row],[_IsLeaf]]=1),"",IF(N(Tasks[[#This Row],[Duration]])&lt;=0,Tasks[[#This Row],[_LeafLateFinish]],WORKDAY.INTL(Tasks[[#This Row],[_LeafLateFinish]],-(Tasks[[#This Row],[Duration]]-1),WorkWeek,Holidays)))</f>
        <v/>
      </c>
      <c r="EL10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01" s="73" t="b">
        <f aca="false">AND(Tasks[[#This Row],[_IsLeaf]]=1,Tasks[[#This Row],[_LeafProgress]]&lt;1,N(Tasks[[#This Row],[_LeafTotalSlack]])&lt;=CriticalSlackDays)</f>
        <v>0</v>
      </c>
      <c r="EN101" s="45" t="n">
        <f aca="false">IF(AND(Tasks[[#This Row],[_IsLeaf]]=1,Tasks[[#This Row],[_ConstraintCode]]=1,Tasks[[#This Row],[Mode]]&lt;&gt;"Manual",N(Tasks[[#This Row],[Actual Start]])=0),MAX(0,N(Tasks[[#This Row],[Free Slack]])),0)</f>
        <v>0</v>
      </c>
      <c r="EO101" s="74" t="str">
        <f aca="false">IF(NOT(Tasks[[#This Row],[_IsLeaf]]=1),"",IF(Tasks[[#This Row],[_AlapShift]]=0,Tasks[[#This Row],[_LeafCalcStart]],WORKDAY.INTL(Tasks[[#This Row],[_LeafCalcStart]],Tasks[[#This Row],[_AlapShift]],WorkWeek,Holidays)))</f>
        <v/>
      </c>
      <c r="EP101" s="74" t="str">
        <f aca="false">IF(NOT(Tasks[[#This Row],[_IsLeaf]]=1),"",IF(Tasks[[#This Row],[_AlapShift]]=0,Tasks[[#This Row],[_LeafCalcFinish]],WORKDAY.INTL(Tasks[[#This Row],[_LeafCalcFinish]],Tasks[[#This Row],[_AlapShift]],WorkWeek,Holidays)))</f>
        <v/>
      </c>
      <c r="EQ101" s="74" t="str">
        <f aca="false">IF(NOT(Tasks[[#This Row],[_IsLeaf]]=1),"",IF(Tasks[[#This Row],[_AlapShift]]=0,Tasks[[#This Row],[_LeafFcstStart]],WORKDAY.INTL(Tasks[[#This Row],[_LeafFcstStart]],Tasks[[#This Row],[_AlapShift]],WorkWeek,Holidays)))</f>
        <v/>
      </c>
      <c r="ER101" s="74" t="str">
        <f aca="false">IF(NOT(Tasks[[#This Row],[_IsLeaf]]=1),"",IF(Tasks[[#This Row],[_AlapShift]]=0,Tasks[[#This Row],[_LeafFcstFinish]],WORKDAY.INTL(Tasks[[#This Row],[_LeafFcstFinish]],Tasks[[#This Row],[_AlapShift]],WorkWeek,Holidays)))</f>
        <v/>
      </c>
      <c r="ES101" s="74" t="str">
        <f aca="false">IF(Tasks[[#This Row],[Task Name]]="","",IF(Tasks[[#This Row],[_IsSummary]],MIN(INDEX(Tasks[_ShownCalcStart],Tasks[[#This Row],[_Row]]+1):INDEX(Tasks[_ShownCalcStart],Tasks[[#This Row],[_Row]]+Tasks[[#This Row],[_Descendants]])),Tasks[[#This Row],[_ShownCalcStart]]))</f>
        <v/>
      </c>
      <c r="ET101" s="74" t="str">
        <f aca="false">IF(Tasks[[#This Row],[Task Name]]="","",IF(Tasks[[#This Row],[_IsSummary]],MAX(INDEX(Tasks[_ShownCalcFinish],Tasks[[#This Row],[_Row]]+1):INDEX(Tasks[_ShownCalcFinish],Tasks[[#This Row],[_Row]]+Tasks[[#This Row],[_Descendants]])),Tasks[[#This Row],[_ShownCalcFinish]]))</f>
        <v/>
      </c>
      <c r="EU10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0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0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0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0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0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0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0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0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0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0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0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01" s="45" t="n">
        <f aca="false">IF(AND(Tasks[[#This Row],[_IsLeaf]]=1,Tasks[[#This Row],[_LeafTotalWork]]&gt;0),NETWORKDAYS.INTL(ProjectStart,Tasks[[#This Row],[_ShownFcstStart]],WorkWeek,Holidays),0)</f>
        <v>0</v>
      </c>
      <c r="FH101" s="45" t="n">
        <f aca="false">IF(AND(Tasks[[#This Row],[_IsLeaf]]=1,Tasks[[#This Row],[_LeafTotalWork]]&gt;0),MAX(Tasks[[#This Row],[_StartWorkday]],NETWORKDAYS.INTL(ProjectStart,Tasks[[#This Row],[_ShownFcstFinish]],WorkWeek,Holidays)),0)</f>
        <v>0</v>
      </c>
      <c r="FI101" s="45" t="n">
        <f aca="false">IF(AND(Tasks[[#This Row],[_IsLeaf]]=1,Tasks[[#This Row],[_LeafTotalWork]]&gt;0),Tasks[[#This Row],[_LeafWork]]/(Tasks[[#This Row],[_FinishWorkday]]-Tasks[[#This Row],[_StartWorkday]]+1),0)</f>
        <v>0</v>
      </c>
      <c r="FJ101" s="45" t="n">
        <f aca="false">Tasks[[#This Row],[_WorkPerWorkday]]*(Tasks[[#This Row],[_StartWorkday]]-1)</f>
        <v>-0</v>
      </c>
      <c r="FK101" s="45" t="n">
        <f aca="false">IF(Tasks[[#This Row],[_IsLeaf]]=1,MAX(N(Tasks[[#This Row],[Duration]]),0.1),0)</f>
        <v>0</v>
      </c>
      <c r="FL101" s="45" t="n">
        <f aca="false">Tasks[[#This Row],[_WeightDur]]*Tasks[[#This Row],[_LeafProgress]]</f>
        <v>0</v>
      </c>
      <c r="FM10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01" s="45" t="str">
        <f aca="false">IF(AND(Tasks[[#This Row],[_IsLeaf]]=1,N(Tasks[[#This Row],[Duration]])=0,Tasks[[#This Row],[_LeafProgress]]&lt;1),Tasks[[#This Row],[_ShownFcstFinish]]+Tasks[[#This Row],[_Row]]/100000,"")</f>
        <v/>
      </c>
      <c r="FO10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01" s="45" t="n">
        <f aca="false">IF(NOT(Tasks[[#This Row],[_IsLeaf]]=1),0,IF(Tasks[[#This Row],[Baseline Cost]]="",Tasks[[#This Row],[_LeafTotalCost]],N(Tasks[[#This Row],[Baseline Cost]])))</f>
        <v>0</v>
      </c>
      <c r="FQ101" s="45" t="n">
        <f aca="false">Tasks[[#This Row],[_LeafBudget]]*Tasks[[#This Row],[_PlannedPct]]</f>
        <v>0</v>
      </c>
      <c r="FR101" s="45" t="n">
        <f aca="false">Tasks[[#This Row],[_LeafBudget]]*Tasks[[#This Row],[_LeafProgress]]</f>
        <v>0</v>
      </c>
      <c r="FS101" s="45" t="n">
        <f aca="false">IF(NOT(Tasks[[#This Row],[_IsLeaf]]=1),0,IF(Tasks[[#This Row],[Actual Cost]]="",Tasks[[#This Row],[_LeafTotalCost]]*Tasks[[#This Row],[_LeafProgress]],N(Tasks[[#This Row],[Actual Cost]])))</f>
        <v>0</v>
      </c>
      <c r="FT101" s="45" t="str">
        <f aca="false">IF(Tasks[[#This Row],[Task Name]]="","",LEFT(Tasks[[#This Row],[WBS]],FIND(".",Tasks[[#This Row],[WBS]]&amp;".")-1))</f>
        <v/>
      </c>
      <c r="FU101" s="45" t="str">
        <f aca="false">IF(AND(Tasks[[#This Row],[Task Name]]&lt;&gt;"",Tasks[[#This Row],[_Level]]=1),Tasks[[#This Row],[_Row]],"")</f>
        <v/>
      </c>
      <c r="FV101" s="45" t="str">
        <f aca="false">IF(AND(Tasks[[#This Row],[_IsLeaf]]=1,N(Tasks[[#This Row],[Duration]])=0),Tasks[[#This Row],[Planned Finish]]+Tasks[[#This Row],[_Row]]/100000,"")</f>
        <v/>
      </c>
      <c r="FW101" s="45" t="str">
        <f aca="false">IF(AND(Tasks[[#This Row],[_IsLeaf]]=1,Tasks[[#This Row],[_LeafProgress]]&lt;1,OR(N(Tasks[[#This Row],[Finish Var]])&gt;0,Tasks[[#This Row],[Status]]="Late Start")),MAX(0,Tasks[[#This Row],[Finish Var]])+1-Tasks[[#This Row],[_Row]]/1000000,"")</f>
        <v/>
      </c>
      <c r="FX101" s="45" t="str">
        <f aca="false">IF(AND(Tasks[[#This Row],[_IsLeaf]]=1,N(Tasks[[#This Row],[Actual Start]])=0,Tasks[[#This Row],[_ShownFcstStart]]&gt;=StatusDate,Tasks[[#This Row],[_ShownFcstStart]]&lt;=LookaheadEnd),Tasks[[#This Row],[_ShownFcstStart]]+Tasks[[#This Row],[_Row]]/100000,"")</f>
        <v/>
      </c>
      <c r="FY101" s="45" t="str">
        <f aca="false">IF(AND(Tasks[[#This Row],[_IsLeaf]]=1,Tasks[[#This Row],[_LeafProgress]]&lt;1,Tasks[[#This Row],[_ShownFcstFinish]]&gt;=StatusDate,Tasks[[#This Row],[_ShownFcstFinish]]&lt;=LookaheadEnd),Tasks[[#This Row],[_ShownFcstFinish]]+Tasks[[#This Row],[_Row]]/100000,"")</f>
        <v/>
      </c>
      <c r="FZ101" s="45" t="str">
        <f aca="false">IF(Tasks[[#This Row],[_LeafCritical]],Tasks[[#This Row],[_ShownFcstStart]]+Tasks[[#This Row],[_Row]]/100000,"")</f>
        <v/>
      </c>
      <c r="GA101" s="45" t="n">
        <f aca="false">Tasks[[#This Row],[_LeafWork]]*Tasks[[#This Row],[_LeafProgress]]</f>
        <v>0</v>
      </c>
      <c r="GB101" s="74" t="str">
        <f aca="false">IF(AND(Tasks[[#This Row],[_IsLeaf]]=1,Tasks[[#This Row],[_LeafProgress]]&gt;=1),IF(N(Tasks[[#This Row],[Actual Finish]])&gt;0,Tasks[[#This Row],[Actual Finish]],Tasks[[#This Row],[_ShownFcstFinish]]),"")</f>
        <v/>
      </c>
    </row>
    <row r="102" customFormat="false" ht="15" hidden="false" customHeight="false" outlineLevel="0" collapsed="false">
      <c r="A102" s="67" t="str">
        <f aca="false">IF(Tasks[[#This Row],[Task Name]]="","",COUNTA(Tasks[[#Headers],[Task Name]]:Tasks[[#This Row],[Task Name]])-1)</f>
        <v/>
      </c>
      <c r="B102" s="21" t="n">
        <v>97</v>
      </c>
      <c r="C10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21"/>
      <c r="E102" s="22"/>
      <c r="F102" s="21"/>
      <c r="G102" s="22"/>
      <c r="H102" s="22"/>
      <c r="I102" s="22"/>
      <c r="J102" s="7"/>
      <c r="K102" s="7"/>
      <c r="L102" s="22"/>
      <c r="M102" s="58" t="str">
        <f aca="false">IF(Tasks[[#This Row],[Task Name]]="","",IF(Tasks[[#This Row],[_IsSummary]],MIN(INDEX(Tasks[_ShownFcstStart],Tasks[[#This Row],[_Row]]+1):INDEX(Tasks[_ShownFcstStart],Tasks[[#This Row],[_Row]]+Tasks[[#This Row],[_Descendants]])),Tasks[[#This Row],[_ShownFcstStart]]))</f>
        <v/>
      </c>
      <c r="N102" s="58" t="str">
        <f aca="false">IF(Tasks[[#This Row],[Task Name]]="","",IF(Tasks[[#This Row],[_IsSummary]],MAX(INDEX(Tasks[_ShownFcstFinish],Tasks[[#This Row],[_Row]]+1):INDEX(Tasks[_ShownFcstFinish],Tasks[[#This Row],[_Row]]+Tasks[[#This Row],[_Descendants]])),Tasks[[#This Row],[_ShownFcstFinish]]))</f>
        <v/>
      </c>
      <c r="O102" s="20" t="str">
        <f aca="false">IF(Tasks[[#This Row],[Task Name]]="","",IF(Tasks[[#This Row],[Progress]]&gt;=1,"Complete",IF(OR(N(Tasks[[#This Row],[Actual Start]])&gt;0,Tasks[[#This Row],[Progress]]&gt;0),IF(Tasks[[#This Row],[Finish Var]]&gt;0,"Behind","In Progress"),IF(Tasks[[#This Row],[Planned Start]]&lt;StatusDate,"Late Start","Not Started"))))</f>
        <v/>
      </c>
      <c r="P102" s="20" t="str">
        <f aca="false">IF(Tasks[[#This Row],[Task Name]]="","",IF(IF(Tasks[[#This Row],[_IsSummary]],COUNTIF(INDEX(Tasks[_LeafCritical],Tasks[[#This Row],[_Row]]+1):INDEX(Tasks[_LeafCritical],Tasks[[#This Row],[_Row]]+Tasks[[#This Row],[_Descendants]]),TRUE())&gt;0,Tasks[[#This Row],[_LeafCritical]]),"Yes",""))</f>
        <v/>
      </c>
      <c r="Q10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02" s="67" t="str">
        <f aca="false">IF(Tasks[[#This Row],[Task Name]]="","",IF(Tasks[[#This Row],[_Level]]&lt;=OutlineShowLevel,"Yes","No"))</f>
        <v/>
      </c>
      <c r="S102" s="7"/>
      <c r="T102" s="21"/>
      <c r="U102" s="22"/>
      <c r="V102" s="7"/>
      <c r="W102" s="67" t="str">
        <f aca="false">IF(Tasks[[#This Row],[Task Name]]="","",IF(Tasks[[#This Row],[Finish]]&gt;=Tasks[[#This Row],[Planned Finish]],NETWORKDAYS.INTL(Tasks[[#This Row],[Planned Finish]],Tasks[[#This Row],[Finish]],WorkWeek,Holidays)-1,1-NETWORKDAYS.INTL(Tasks[[#This Row],[Finish]],Tasks[[#This Row],[Planned Finish]],WorkWeek,Holidays)))</f>
        <v/>
      </c>
      <c r="X102" s="58" t="str">
        <f aca="false">IF(Tasks[[#This Row],[Task Name]]="","",IF(N(Tasks[[#This Row],[Baseline Start]])&gt;0,Tasks[[#This Row],[Baseline Start]],Tasks[[#This Row],[_CalcStart]]))</f>
        <v/>
      </c>
      <c r="Y102" s="58" t="str">
        <f aca="false">IF(Tasks[[#This Row],[Task Name]]="","",IF(N(Tasks[[#This Row],[Baseline Finish]])&gt;0,Tasks[[#This Row],[Baseline Finish]],Tasks[[#This Row],[_CalcFinish]]))</f>
        <v/>
      </c>
      <c r="Z102" s="67" t="str">
        <f aca="false">IF(Tasks[[#This Row],[Task Name]]="","",IF(Tasks[[#This Row],[Start]]&gt;=Tasks[[#This Row],[Planned Start]],NETWORKDAYS.INTL(Tasks[[#This Row],[Planned Start]],Tasks[[#This Row],[Start]],WorkWeek,Holidays)-1,1-NETWORKDAYS.INTL(Tasks[[#This Row],[Start]],Tasks[[#This Row],[Planned Start]],WorkWeek,Holidays)))</f>
        <v/>
      </c>
      <c r="AA102" s="58" t="str">
        <f aca="false">IF(Tasks[[#This Row],[Task Name]]="","",IF(Tasks[[#This Row],[_IsSummary]],MIN(INDEX(Tasks[_LeafLateStart],Tasks[[#This Row],[_Row]]+1):INDEX(Tasks[_LeafLateStart],Tasks[[#This Row],[_Row]]+Tasks[[#This Row],[_Descendants]])),Tasks[[#This Row],[_LeafLateStart]]))</f>
        <v/>
      </c>
      <c r="AB102" s="58" t="str">
        <f aca="false">IF(Tasks[[#This Row],[Task Name]]="","",IF(Tasks[[#This Row],[_IsSummary]],MAX(INDEX(Tasks[_LeafLateFinish],Tasks[[#This Row],[_Row]]+1):INDEX(Tasks[_LeafLateFinish],Tasks[[#This Row],[_Row]]+Tasks[[#This Row],[_Descendants]])),Tasks[[#This Row],[_LeafLateFinish]]))</f>
        <v/>
      </c>
      <c r="AC102" s="67" t="str">
        <f aca="false">IF(Tasks[[#This Row],[Task Name]]="","",IF(Tasks[[#This Row],[_IsSummary]],MIN(INDEX(Tasks[_LeafTotalSlack],Tasks[[#This Row],[_Row]]+1):INDEX(Tasks[_LeafTotalSlack],Tasks[[#This Row],[_Row]]+Tasks[[#This Row],[_Descendants]])),Tasks[[#This Row],[_LeafTotalSlack]]))</f>
        <v/>
      </c>
      <c r="AD10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0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0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02" s="60"/>
      <c r="AH10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0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02" s="69" t="str">
        <f aca="false">IF(Tasks[[#This Row],[Task Name]]="","",IF(Tasks[[#This Row],[_IsSummary]],SUM(INDEX(Tasks[_LeafTotalWork],Tasks[[#This Row],[_Row]]+1):INDEX(Tasks[_LeafTotalWork],Tasks[[#This Row],[_Row]]+Tasks[[#This Row],[_Descendants]])),Tasks[[#This Row],[_LeafTotalWork]]))</f>
        <v/>
      </c>
      <c r="AK10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02" s="70" t="str">
        <f aca="false">IF(Tasks[[#This Row],[Task Name]]="","",IF(Tasks[[#This Row],[_IsSummary]],SUM(INDEX(Tasks[_LeafTotalCost],Tasks[[#This Row],[_Row]]+1):INDEX(Tasks[_LeafTotalCost],Tasks[[#This Row],[_Row]]+Tasks[[#This Row],[_Descendants]])),Tasks[[#This Row],[_LeafTotalCost]]))</f>
        <v/>
      </c>
      <c r="AM102" s="71"/>
      <c r="AN102" s="20" t="str">
        <f aca="false">IF(OR(Tasks[[#This Row],[Task Name]]="",Tasks[[#This Row],[Baseline Duration]]=""),"",Tasks[[#This Row],[BL Source Duration]]-N(Tasks[[#This Row],[Baseline Duration]]))</f>
        <v/>
      </c>
      <c r="AO102" s="69" t="str">
        <f aca="false">IF(OR(Tasks[[#This Row],[Task Name]]="",Tasks[[#This Row],[Baseline Work]]=""),"",Tasks[[#This Row],[Work]]-N(Tasks[[#This Row],[Baseline Work]]))</f>
        <v/>
      </c>
      <c r="AP102" s="70" t="str">
        <f aca="false">IF(OR(Tasks[[#This Row],[Task Name]]="",Tasks[[#This Row],[Baseline Cost]]=""),"",Tasks[[#This Row],[Cost]]-N(Tasks[[#This Row],[Baseline Cost]]))</f>
        <v/>
      </c>
      <c r="AQ102" s="58" t="str">
        <f aca="false">IF(Tasks[[#This Row],[Task Name]]="","",Tasks[[#This Row],[Start]])</f>
        <v/>
      </c>
      <c r="AR102" s="58" t="str">
        <f aca="false">IF(Tasks[[#This Row],[Task Name]]="","",Tasks[[#This Row],[Finish]])</f>
        <v/>
      </c>
      <c r="AS102" s="67" t="str">
        <f aca="false">IF(Tasks[[#This Row],[Task Name]]="","",IF(Tasks[[#This Row],[_IsSummary]],NETWORKDAYS.INTL(Tasks[[#This Row],[Start]],Tasks[[#This Row],[Finish]],WorkWeek,Holidays),N(Tasks[[#This Row],[Duration]])))</f>
        <v/>
      </c>
      <c r="AT102" s="69" t="str">
        <f aca="false">IF(Tasks[[#This Row],[Task Name]]="","",Tasks[[#This Row],[Work]])</f>
        <v/>
      </c>
      <c r="AU102" s="70" t="str">
        <f aca="false">IF(Tasks[[#This Row],[Task Name]]="","",Tasks[[#This Row],[Cost]])</f>
        <v/>
      </c>
      <c r="AV102" s="7"/>
      <c r="AW102" s="7"/>
      <c r="AX102" s="21"/>
      <c r="AY102" s="72"/>
      <c r="AZ102" s="71"/>
      <c r="BA102" s="70" t="str">
        <f aca="false">IF(Tasks[[#This Row],[Task Name]]="","",IF(Tasks[[#This Row],[_IsSummary]],SUM(INDEX(Tasks[_LeafEV],Tasks[[#This Row],[_Row]]+1):INDEX(Tasks[_LeafEV],Tasks[[#This Row],[_Row]]+Tasks[[#This Row],[_Descendants]])),Tasks[[#This Row],[_LeafEV]]))</f>
        <v/>
      </c>
      <c r="BB102" s="70" t="str">
        <f aca="false">IF(Tasks[[#This Row],[Task Name]]="","",IF(Tasks[[#This Row],[_IsSummary]],SUM(INDEX(Tasks[_LeafBudget],Tasks[[#This Row],[_Row]]+1):INDEX(Tasks[_LeafBudget],Tasks[[#This Row],[_Row]]+Tasks[[#This Row],[_Descendants]])),Tasks[[#This Row],[_LeafBudget]]))</f>
        <v/>
      </c>
      <c r="BC102" s="70" t="str">
        <f aca="false">IF(Tasks[[#This Row],[Task Name]]="","",IF(Tasks[[#This Row],[_IsSummary]],SUM(INDEX(Tasks[_LeafPV],Tasks[[#This Row],[_Row]]+1):INDEX(Tasks[_LeafPV],Tasks[[#This Row],[_Row]]+Tasks[[#This Row],[_Descendants]])),Tasks[[#This Row],[_LeafPV]]))</f>
        <v/>
      </c>
      <c r="BD102" s="70" t="str">
        <f aca="false">IF(Tasks[[#This Row],[Task Name]]="","",IF(Tasks[[#This Row],[_IsSummary]],SUM(INDEX(Tasks[_LeafAC],Tasks[[#This Row],[_Row]]+1):INDEX(Tasks[_LeafAC],Tasks[[#This Row],[_Row]]+Tasks[[#This Row],[_Descendants]])),Tasks[[#This Row],[_LeafAC]]))</f>
        <v/>
      </c>
      <c r="BE102" s="45" t="str">
        <f aca="false">IF(Tasks[[#This Row],[Task Name]]="","",MAX(1,N(Tasks[[#This Row],[Level]])))</f>
        <v/>
      </c>
      <c r="BF102" s="45" t="n">
        <f aca="false">ROW()-ROW(Tasks[[#Headers],[ID]])</f>
        <v>97</v>
      </c>
      <c r="BG102" s="45" t="n">
        <f aca="false">IF(OR(Tasks[[#This Row],[Task Name]]="",Tasks[[#This Row],[_Level]]&lt;=1),0,IFERROR(LOOKUP(2,1/(Tasks[[#Headers],[_Level]]:Tasks[[#This Row],[_Level]]=Tasks[[#This Row],[_Level]]-1),ROW(Tasks[[#Headers],[_Level]]:Tasks[[#This Row],[_Level]])),0))</f>
        <v>0</v>
      </c>
      <c r="BH102" s="45" t="n">
        <f aca="false">IFERROR(N(INDEX(Tasks[_Level],Tasks[[#This Row],[_Row]]+1)),0)</f>
        <v>0</v>
      </c>
      <c r="BI102" s="73" t="b">
        <f aca="false">AND(Tasks[[#This Row],[Task Name]]&lt;&gt;"",Tasks[[#This Row],[_NextLevel]]&gt;Tasks[[#This Row],[_Level]])</f>
        <v>0</v>
      </c>
      <c r="BJ102" s="45" t="n">
        <f aca="false">IF(Tasks[[#This Row],[_IsSummary]],COUNTIF(Tasks[WBS],Tasks[[#This Row],[WBS]]&amp;".*"),0)</f>
        <v>0</v>
      </c>
      <c r="BK102" s="45" t="n">
        <f aca="false">IF(AND(Tasks[[#This Row],[Task Name]]&lt;&gt;"",NOT(Tasks[[#This Row],[_IsSummary]])),1,0)</f>
        <v>0</v>
      </c>
      <c r="BL102" s="45" t="n">
        <f aca="false">IF(N(Tasks[[#This Row],[_Pred1UID]])=0,0,IFERROR(MATCH(Tasks[[#This Row],[_Pred1UID]],Tasks[UID],0),-1))</f>
        <v>0</v>
      </c>
      <c r="BM102" s="45" t="n">
        <f aca="false">IF(N(Tasks[[#This Row],[_Pred2UID]])=0,0,IFERROR(MATCH(Tasks[[#This Row],[_Pred2UID]],Tasks[UID],0),-1))</f>
        <v>0</v>
      </c>
      <c r="BN102" s="45" t="n">
        <f aca="false">IF(N(Tasks[[#This Row],[_Pred3UID]])=0,0,IFERROR(MATCH(Tasks[[#This Row],[_Pred3UID]],Tasks[UID],0),-1))</f>
        <v>0</v>
      </c>
      <c r="BO102" s="45" t="n">
        <f aca="false">IF(N(Tasks[[#This Row],[_Pred4UID]])=0,0,IFERROR(MATCH(Tasks[[#This Row],[_Pred4UID]],Tasks[UID],0),-1))</f>
        <v>0</v>
      </c>
      <c r="BP10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0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02" s="74" t="n">
        <f aca="false">IF(OR(Tasks[[#This Row],[_ConstraintCode]]=2,Tasks[[#This Row],[_ConstraintCode]]=3,Tasks[[#This Row],[_ConstraintCode]]=4,Tasks[[#This Row],[_ConstraintCode]]=6),Tasks[[#This Row],[_ConstraintStart]],0)</f>
        <v>0</v>
      </c>
      <c r="BS102" s="74" t="n">
        <f aca="false">IF(OR(Tasks[[#This Row],[_ConstraintCode]]=2,Tasks[[#This Row],[_ConstraintCode]]=3,Tasks[[#This Row],[_ConstraintCode]]=5,Tasks[[#This Row],[_ConstraintCode]]=7),Tasks[[#This Row],[_ConstraintStart]],2958465)</f>
        <v>2958465</v>
      </c>
      <c r="BT10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02" s="74" t="str">
        <f aca="false">IF(NOT(Tasks[[#This Row],[_IsLeaf]]=1),"",IF(N(Tasks[[#This Row],[Duration]])&lt;=0,Tasks[[#This Row],[_LeafCalcStart]],WORKDAY.INTL(Tasks[[#This Row],[_LeafCalcStart]],Tasks[[#This Row],[Duration]]-1,WorkWeek,Holidays)))</f>
        <v/>
      </c>
      <c r="BV10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0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02" s="45" t="str">
        <f aca="false">IF(Tasks[[#This Row],[Predecessors]]="","",TRIM(MID(SUBSTITUTE(SUBSTITUTE(SUBSTITUTE(UPPER(Tasks[[#This Row],[Predecessors]]),";",",")," ",""),",",REPT(" ",99)),1,99)))</f>
        <v/>
      </c>
      <c r="BY102" s="45" t="str">
        <f aca="false">IF(Tasks[[#This Row],[_Pred1Text]]="","",IFERROR(VALUE(LEFT(Tasks[[#This Row],[_Pred1Text]],MIN(FIND("F",Tasks[[#This Row],[_Pred1Text]]&amp;"F"),FIND("S",Tasks[[#This Row],[_Pred1Text]]&amp;"S"),FIND("+",Tasks[[#This Row],[_Pred1Text]]&amp;"+"),FIND("-",Tasks[[#This Row],[_Pred1Text]]&amp;"-"))-1)),""))</f>
        <v/>
      </c>
      <c r="BZ10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0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02" s="45" t="str">
        <f aca="false">IF(Tasks[[#This Row],[_Pred1Text]]="","",TRIM(MID(SUBSTITUTE(SUBSTITUTE(SUBSTITUTE(UPPER(Tasks[[#This Row],[Predecessors]]),";",",")," ",""),",",REPT(" ",99)),100,99)))</f>
        <v/>
      </c>
      <c r="CC102" s="45" t="str">
        <f aca="false">IF(Tasks[[#This Row],[_Pred2Text]]="","",IFERROR(VALUE(LEFT(Tasks[[#This Row],[_Pred2Text]],MIN(FIND("F",Tasks[[#This Row],[_Pred2Text]]&amp;"F"),FIND("S",Tasks[[#This Row],[_Pred2Text]]&amp;"S"),FIND("+",Tasks[[#This Row],[_Pred2Text]]&amp;"+"),FIND("-",Tasks[[#This Row],[_Pred2Text]]&amp;"-"))-1)),""))</f>
        <v/>
      </c>
      <c r="CD10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0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02" s="45" t="str">
        <f aca="false">IF(Tasks[[#This Row],[_Pred2Text]]="","",TRIM(MID(SUBSTITUTE(SUBSTITUTE(SUBSTITUTE(UPPER(Tasks[[#This Row],[Predecessors]]),";",",")," ",""),",",REPT(" ",99)),199,99)))</f>
        <v/>
      </c>
      <c r="CG102" s="45" t="str">
        <f aca="false">IF(Tasks[[#This Row],[_Pred3Text]]="","",IFERROR(VALUE(LEFT(Tasks[[#This Row],[_Pred3Text]],MIN(FIND("F",Tasks[[#This Row],[_Pred3Text]]&amp;"F"),FIND("S",Tasks[[#This Row],[_Pred3Text]]&amp;"S"),FIND("+",Tasks[[#This Row],[_Pred3Text]]&amp;"+"),FIND("-",Tasks[[#This Row],[_Pred3Text]]&amp;"-"))-1)),""))</f>
        <v/>
      </c>
      <c r="CH10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0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02" s="45" t="str">
        <f aca="false">IF(Tasks[[#This Row],[_Pred3Text]]="","",TRIM(MID(SUBSTITUTE(SUBSTITUTE(SUBSTITUTE(UPPER(Tasks[[#This Row],[Predecessors]]),";",",")," ",""),",",REPT(" ",99)),298,99)))</f>
        <v/>
      </c>
      <c r="CK102" s="45" t="str">
        <f aca="false">IF(Tasks[[#This Row],[_Pred4Text]]="","",IFERROR(VALUE(LEFT(Tasks[[#This Row],[_Pred4Text]],MIN(FIND("F",Tasks[[#This Row],[_Pred4Text]]&amp;"F"),FIND("S",Tasks[[#This Row],[_Pred4Text]]&amp;"S"),FIND("+",Tasks[[#This Row],[_Pred4Text]]&amp;"+"),FIND("-",Tasks[[#This Row],[_Pred4Text]]&amp;"-"))-1)),""))</f>
        <v/>
      </c>
      <c r="CL10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0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02" s="45" t="str">
        <f aca="false">IF(OR(Tasks[[#This Row],[Task Name]]="",Tasks[[#This Row],[Resources]]=""),"",TRIM(MID(SUBSTITUTE(Tasks[[#This Row],[Resources]],",",REPT(" ",99)),1,99)))</f>
        <v/>
      </c>
      <c r="CO102" s="45" t="str">
        <f aca="false">IF(Tasks[[#This Row],[_Res1Text]]="","",TRIM(MID(SUBSTITUTE(Tasks[[#This Row],[Resources]],",",REPT(" ",99)),100,99)))</f>
        <v/>
      </c>
      <c r="CP102" s="45" t="str">
        <f aca="false">IF(Tasks[[#This Row],[_Res2Text]]="","",TRIM(MID(SUBSTITUTE(Tasks[[#This Row],[Resources]],",",REPT(" ",99)),199,99)))</f>
        <v/>
      </c>
      <c r="CQ102" s="45" t="str">
        <f aca="false">IF(Tasks[[#This Row],[_Res3Text]]="","",TRIM(MID(SUBSTITUTE(Tasks[[#This Row],[Resources]],",",REPT(" ",99)),298,99)))</f>
        <v/>
      </c>
      <c r="CR10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0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2" s="45" t="n">
        <f aca="false">IF(NOT(Tasks[[#This Row],[_IsLeaf]]=1),0,(Tasks[[#This Row],[_Resource1]]&lt;&gt;"")+(Tasks[[#This Row],[_Res2]]&lt;&gt;"")+(Tasks[[#This Row],[_Res3]]&lt;&gt;"")+(Tasks[[#This Row],[_Res4]]&lt;&gt;""))</f>
        <v>0</v>
      </c>
      <c r="CU10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0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2" s="45" t="n">
        <f aca="false">IF(OR(NOT(Tasks[[#This Row],[_IsLeaf]]=1),Tasks[[#This Row],[_Res2]]=""),0,IF(ISNA(MATCH(Tasks[[#This Row],[_Res2]],res_Name,0)),0,N(Tasks[[#This Row],[Duration]])*HoursPerDay*IF(Tasks[[#This Row],[_Res2Units]]="",DefaultUnits,Tasks[[#This Row],[_Res2Units]])))</f>
        <v>0</v>
      </c>
      <c r="CX102" s="45" t="n">
        <f aca="false">IF(Tasks[[#This Row],[_Res2Work]]=0,0,Tasks[[#This Row],[_Res2Work]]*IFERROR(INDEX(res_Rate,MATCH(Tasks[[#This Row],[_Res2]],res_Name,0)),0))</f>
        <v>0</v>
      </c>
      <c r="CY102" s="45" t="n">
        <f aca="false">IF(AND(AND(Tasks[[#This Row],[_IsLeaf]]=1,Tasks[[#This Row],[_LeafTotalWork]]&gt;0),Tasks[[#This Row],[_Res2Work]]&gt;0),Tasks[[#This Row],[_Res2Work]]/(Tasks[[#This Row],[_FinishWorkday]]-Tasks[[#This Row],[_StartWorkday]]+1),0)</f>
        <v>0</v>
      </c>
      <c r="CZ102" s="45" t="n">
        <f aca="false">Tasks[[#This Row],[_Res2WorkPerWD]]*MAX(0,Tasks[[#This Row],[_StartWorkday]]-1)</f>
        <v>0</v>
      </c>
      <c r="DA102" s="45" t="n">
        <f aca="false">Tasks[[#This Row],[_Res2Work]]*Tasks[[#This Row],[_LeafProgress]]</f>
        <v>0</v>
      </c>
      <c r="DB102" s="45" t="n">
        <f aca="false">IF(Tasks[[#This Row],[_LeafTotalCost]]=0,0,Tasks[[#This Row],[_LeafAC]]*Tasks[[#This Row],[_Res2Cost]]/Tasks[[#This Row],[_LeafTotalCost]])</f>
        <v>0</v>
      </c>
      <c r="DC10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0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02" s="45" t="n">
        <f aca="false">IF(OR(NOT(Tasks[[#This Row],[_IsLeaf]]=1),Tasks[[#This Row],[_Res3]]=""),0,IF(ISNA(MATCH(Tasks[[#This Row],[_Res3]],res_Name,0)),0,N(Tasks[[#This Row],[Duration]])*HoursPerDay*IF(Tasks[[#This Row],[_Res3Units]]="",DefaultUnits,Tasks[[#This Row],[_Res3Units]])))</f>
        <v>0</v>
      </c>
      <c r="DF102" s="45" t="n">
        <f aca="false">IF(Tasks[[#This Row],[_Res3Work]]=0,0,Tasks[[#This Row],[_Res3Work]]*IFERROR(INDEX(res_Rate,MATCH(Tasks[[#This Row],[_Res3]],res_Name,0)),0))</f>
        <v>0</v>
      </c>
      <c r="DG102" s="45" t="n">
        <f aca="false">IF(AND(AND(Tasks[[#This Row],[_IsLeaf]]=1,Tasks[[#This Row],[_LeafTotalWork]]&gt;0),Tasks[[#This Row],[_Res3Work]]&gt;0),Tasks[[#This Row],[_Res3Work]]/(Tasks[[#This Row],[_FinishWorkday]]-Tasks[[#This Row],[_StartWorkday]]+1),0)</f>
        <v>0</v>
      </c>
      <c r="DH102" s="45" t="n">
        <f aca="false">Tasks[[#This Row],[_Res3WorkPerWD]]*MAX(0,Tasks[[#This Row],[_StartWorkday]]-1)</f>
        <v>0</v>
      </c>
      <c r="DI102" s="45" t="n">
        <f aca="false">Tasks[[#This Row],[_Res3Work]]*Tasks[[#This Row],[_LeafProgress]]</f>
        <v>0</v>
      </c>
      <c r="DJ102" s="45" t="n">
        <f aca="false">IF(Tasks[[#This Row],[_LeafTotalCost]]=0,0,Tasks[[#This Row],[_LeafAC]]*Tasks[[#This Row],[_Res3Cost]]/Tasks[[#This Row],[_LeafTotalCost]])</f>
        <v>0</v>
      </c>
      <c r="DK10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0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02" s="45" t="n">
        <f aca="false">IF(OR(NOT(Tasks[[#This Row],[_IsLeaf]]=1),Tasks[[#This Row],[_Res4]]=""),0,IF(ISNA(MATCH(Tasks[[#This Row],[_Res4]],res_Name,0)),0,N(Tasks[[#This Row],[Duration]])*HoursPerDay*IF(Tasks[[#This Row],[_Res4Units]]="",DefaultUnits,Tasks[[#This Row],[_Res4Units]])))</f>
        <v>0</v>
      </c>
      <c r="DN102" s="45" t="n">
        <f aca="false">IF(Tasks[[#This Row],[_Res4Work]]=0,0,Tasks[[#This Row],[_Res4Work]]*IFERROR(INDEX(res_Rate,MATCH(Tasks[[#This Row],[_Res4]],res_Name,0)),0))</f>
        <v>0</v>
      </c>
      <c r="DO102" s="45" t="n">
        <f aca="false">IF(AND(AND(Tasks[[#This Row],[_IsLeaf]]=1,Tasks[[#This Row],[_LeafTotalWork]]&gt;0),Tasks[[#This Row],[_Res4Work]]&gt;0),Tasks[[#This Row],[_Res4Work]]/(Tasks[[#This Row],[_FinishWorkday]]-Tasks[[#This Row],[_StartWorkday]]+1),0)</f>
        <v>0</v>
      </c>
      <c r="DP102" s="45" t="n">
        <f aca="false">Tasks[[#This Row],[_Res4WorkPerWD]]*MAX(0,Tasks[[#This Row],[_StartWorkday]]-1)</f>
        <v>0</v>
      </c>
      <c r="DQ102" s="45" t="n">
        <f aca="false">Tasks[[#This Row],[_Res4Work]]*Tasks[[#This Row],[_LeafProgress]]</f>
        <v>0</v>
      </c>
      <c r="DR102" s="45" t="n">
        <f aca="false">IF(Tasks[[#This Row],[_LeafTotalCost]]=0,0,Tasks[[#This Row],[_LeafAC]]*Tasks[[#This Row],[_Res4Cost]]/Tasks[[#This Row],[_LeafTotalCost]])</f>
        <v>0</v>
      </c>
      <c r="DS102" s="45" t="n">
        <f aca="false">IF(ISNUMBER(Tasks[[#This Row],[% Complete]]),Tasks[[#This Row],[% Complete]],IF(Tasks[[#This Row],[Stage]]="",0,IFERROR(INDEX(stg_Pct,MATCH(Tasks[[#This Row],[Stage]],stg_Name,0)),0)))</f>
        <v>0</v>
      </c>
      <c r="DT102" s="45" t="n">
        <f aca="false">IF(NOT(Tasks[[#This Row],[_IsLeaf]]=1),0,IF(N(Tasks[[#This Row],[Actual Finish]])&gt;0,1,MIN(1,Tasks[[#This Row],[_Pct]])))</f>
        <v>0</v>
      </c>
      <c r="DU102" s="45" t="n">
        <f aca="false">IF(OR(NOT(Tasks[[#This Row],[_IsLeaf]]=1),Tasks[[#This Row],[_Resource1]]=""),0,IF(ISNA(MATCH(Tasks[[#This Row],[_Resource1]],res_Name,0)),0,N(Tasks[[#This Row],[Duration]])*HoursPerDay*IF(Tasks[[#This Row],[_Units1]]="",DefaultUnits,Tasks[[#This Row],[_Units1]])))</f>
        <v>0</v>
      </c>
      <c r="DV102" s="45" t="n">
        <f aca="false">IF(Tasks[[#This Row],[_LeafWork]]=0,0,Tasks[[#This Row],[_LeafWork]]*IFERROR(INDEX(res_Rate,MATCH(Tasks[[#This Row],[_Resource1]],res_Name,0)),0))</f>
        <v>0</v>
      </c>
      <c r="DW102" s="45" t="n">
        <f aca="false">Tasks[[#This Row],[_LeafWork]]+Tasks[[#This Row],[_Res2Work]]+Tasks[[#This Row],[_Res3Work]]+Tasks[[#This Row],[_Res4Work]]</f>
        <v>0</v>
      </c>
      <c r="DX102" s="45" t="n">
        <f aca="false">Tasks[[#This Row],[_LeafCost]]+Tasks[[#This Row],[_Res2Cost]]+Tasks[[#This Row],[_Res3Cost]]+Tasks[[#This Row],[_Res4Cost]]</f>
        <v>0</v>
      </c>
      <c r="DY102" s="45" t="n">
        <f aca="false">IF(Tasks[[#This Row],[_LeafTotalCost]]=0,Tasks[[#This Row],[_LeafAC]],Tasks[[#This Row],[_LeafAC]]*Tasks[[#This Row],[_LeafCost]]/Tasks[[#This Row],[_LeafTotalCost]])</f>
        <v>0</v>
      </c>
      <c r="DZ10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0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0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0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0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0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0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0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02" s="45" t="n">
        <f aca="false">IF(NOT(Tasks[[#This Row],[_IsLeaf]]=1),0,MAX(_xlfn.MAXIFS(Tasks[_Row],Tasks[_Pred1UID],Tasks[[#This Row],[UID]]),_xlfn.MAXIFS(Tasks[_Row],Tasks[_Pred2UID],Tasks[[#This Row],[UID]]),_xlfn.MAXIFS(Tasks[_Row],Tasks[_Pred3UID],Tasks[[#This Row],[UID]]),_xlfn.MAXIFS(Tasks[_Row],Tasks[_Pred4UID],Tasks[[#This Row],[UID]])))</f>
        <v>0</v>
      </c>
      <c r="EI10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0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02" s="74" t="str">
        <f aca="false">IF(NOT(Tasks[[#This Row],[_IsLeaf]]=1),"",IF(N(Tasks[[#This Row],[Duration]])&lt;=0,Tasks[[#This Row],[_LeafLateFinish]],WORKDAY.INTL(Tasks[[#This Row],[_LeafLateFinish]],-(Tasks[[#This Row],[Duration]]-1),WorkWeek,Holidays)))</f>
        <v/>
      </c>
      <c r="EL10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02" s="73" t="b">
        <f aca="false">AND(Tasks[[#This Row],[_IsLeaf]]=1,Tasks[[#This Row],[_LeafProgress]]&lt;1,N(Tasks[[#This Row],[_LeafTotalSlack]])&lt;=CriticalSlackDays)</f>
        <v>0</v>
      </c>
      <c r="EN102" s="45" t="n">
        <f aca="false">IF(AND(Tasks[[#This Row],[_IsLeaf]]=1,Tasks[[#This Row],[_ConstraintCode]]=1,Tasks[[#This Row],[Mode]]&lt;&gt;"Manual",N(Tasks[[#This Row],[Actual Start]])=0),MAX(0,N(Tasks[[#This Row],[Free Slack]])),0)</f>
        <v>0</v>
      </c>
      <c r="EO102" s="74" t="str">
        <f aca="false">IF(NOT(Tasks[[#This Row],[_IsLeaf]]=1),"",IF(Tasks[[#This Row],[_AlapShift]]=0,Tasks[[#This Row],[_LeafCalcStart]],WORKDAY.INTL(Tasks[[#This Row],[_LeafCalcStart]],Tasks[[#This Row],[_AlapShift]],WorkWeek,Holidays)))</f>
        <v/>
      </c>
      <c r="EP102" s="74" t="str">
        <f aca="false">IF(NOT(Tasks[[#This Row],[_IsLeaf]]=1),"",IF(Tasks[[#This Row],[_AlapShift]]=0,Tasks[[#This Row],[_LeafCalcFinish]],WORKDAY.INTL(Tasks[[#This Row],[_LeafCalcFinish]],Tasks[[#This Row],[_AlapShift]],WorkWeek,Holidays)))</f>
        <v/>
      </c>
      <c r="EQ102" s="74" t="str">
        <f aca="false">IF(NOT(Tasks[[#This Row],[_IsLeaf]]=1),"",IF(Tasks[[#This Row],[_AlapShift]]=0,Tasks[[#This Row],[_LeafFcstStart]],WORKDAY.INTL(Tasks[[#This Row],[_LeafFcstStart]],Tasks[[#This Row],[_AlapShift]],WorkWeek,Holidays)))</f>
        <v/>
      </c>
      <c r="ER102" s="74" t="str">
        <f aca="false">IF(NOT(Tasks[[#This Row],[_IsLeaf]]=1),"",IF(Tasks[[#This Row],[_AlapShift]]=0,Tasks[[#This Row],[_LeafFcstFinish]],WORKDAY.INTL(Tasks[[#This Row],[_LeafFcstFinish]],Tasks[[#This Row],[_AlapShift]],WorkWeek,Holidays)))</f>
        <v/>
      </c>
      <c r="ES102" s="74" t="str">
        <f aca="false">IF(Tasks[[#This Row],[Task Name]]="","",IF(Tasks[[#This Row],[_IsSummary]],MIN(INDEX(Tasks[_ShownCalcStart],Tasks[[#This Row],[_Row]]+1):INDEX(Tasks[_ShownCalcStart],Tasks[[#This Row],[_Row]]+Tasks[[#This Row],[_Descendants]])),Tasks[[#This Row],[_ShownCalcStart]]))</f>
        <v/>
      </c>
      <c r="ET102" s="74" t="str">
        <f aca="false">IF(Tasks[[#This Row],[Task Name]]="","",IF(Tasks[[#This Row],[_IsSummary]],MAX(INDEX(Tasks[_ShownCalcFinish],Tasks[[#This Row],[_Row]]+1):INDEX(Tasks[_ShownCalcFinish],Tasks[[#This Row],[_Row]]+Tasks[[#This Row],[_Descendants]])),Tasks[[#This Row],[_ShownCalcFinish]]))</f>
        <v/>
      </c>
      <c r="EU10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0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0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0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0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0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0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0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0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0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0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0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02" s="45" t="n">
        <f aca="false">IF(AND(Tasks[[#This Row],[_IsLeaf]]=1,Tasks[[#This Row],[_LeafTotalWork]]&gt;0),NETWORKDAYS.INTL(ProjectStart,Tasks[[#This Row],[_ShownFcstStart]],WorkWeek,Holidays),0)</f>
        <v>0</v>
      </c>
      <c r="FH102" s="45" t="n">
        <f aca="false">IF(AND(Tasks[[#This Row],[_IsLeaf]]=1,Tasks[[#This Row],[_LeafTotalWork]]&gt;0),MAX(Tasks[[#This Row],[_StartWorkday]],NETWORKDAYS.INTL(ProjectStart,Tasks[[#This Row],[_ShownFcstFinish]],WorkWeek,Holidays)),0)</f>
        <v>0</v>
      </c>
      <c r="FI102" s="45" t="n">
        <f aca="false">IF(AND(Tasks[[#This Row],[_IsLeaf]]=1,Tasks[[#This Row],[_LeafTotalWork]]&gt;0),Tasks[[#This Row],[_LeafWork]]/(Tasks[[#This Row],[_FinishWorkday]]-Tasks[[#This Row],[_StartWorkday]]+1),0)</f>
        <v>0</v>
      </c>
      <c r="FJ102" s="45" t="n">
        <f aca="false">Tasks[[#This Row],[_WorkPerWorkday]]*(Tasks[[#This Row],[_StartWorkday]]-1)</f>
        <v>-0</v>
      </c>
      <c r="FK102" s="45" t="n">
        <f aca="false">IF(Tasks[[#This Row],[_IsLeaf]]=1,MAX(N(Tasks[[#This Row],[Duration]]),0.1),0)</f>
        <v>0</v>
      </c>
      <c r="FL102" s="45" t="n">
        <f aca="false">Tasks[[#This Row],[_WeightDur]]*Tasks[[#This Row],[_LeafProgress]]</f>
        <v>0</v>
      </c>
      <c r="FM10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02" s="45" t="str">
        <f aca="false">IF(AND(Tasks[[#This Row],[_IsLeaf]]=1,N(Tasks[[#This Row],[Duration]])=0,Tasks[[#This Row],[_LeafProgress]]&lt;1),Tasks[[#This Row],[_ShownFcstFinish]]+Tasks[[#This Row],[_Row]]/100000,"")</f>
        <v/>
      </c>
      <c r="FO10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02" s="45" t="n">
        <f aca="false">IF(NOT(Tasks[[#This Row],[_IsLeaf]]=1),0,IF(Tasks[[#This Row],[Baseline Cost]]="",Tasks[[#This Row],[_LeafTotalCost]],N(Tasks[[#This Row],[Baseline Cost]])))</f>
        <v>0</v>
      </c>
      <c r="FQ102" s="45" t="n">
        <f aca="false">Tasks[[#This Row],[_LeafBudget]]*Tasks[[#This Row],[_PlannedPct]]</f>
        <v>0</v>
      </c>
      <c r="FR102" s="45" t="n">
        <f aca="false">Tasks[[#This Row],[_LeafBudget]]*Tasks[[#This Row],[_LeafProgress]]</f>
        <v>0</v>
      </c>
      <c r="FS102" s="45" t="n">
        <f aca="false">IF(NOT(Tasks[[#This Row],[_IsLeaf]]=1),0,IF(Tasks[[#This Row],[Actual Cost]]="",Tasks[[#This Row],[_LeafTotalCost]]*Tasks[[#This Row],[_LeafProgress]],N(Tasks[[#This Row],[Actual Cost]])))</f>
        <v>0</v>
      </c>
      <c r="FT102" s="45" t="str">
        <f aca="false">IF(Tasks[[#This Row],[Task Name]]="","",LEFT(Tasks[[#This Row],[WBS]],FIND(".",Tasks[[#This Row],[WBS]]&amp;".")-1))</f>
        <v/>
      </c>
      <c r="FU102" s="45" t="str">
        <f aca="false">IF(AND(Tasks[[#This Row],[Task Name]]&lt;&gt;"",Tasks[[#This Row],[_Level]]=1),Tasks[[#This Row],[_Row]],"")</f>
        <v/>
      </c>
      <c r="FV102" s="45" t="str">
        <f aca="false">IF(AND(Tasks[[#This Row],[_IsLeaf]]=1,N(Tasks[[#This Row],[Duration]])=0),Tasks[[#This Row],[Planned Finish]]+Tasks[[#This Row],[_Row]]/100000,"")</f>
        <v/>
      </c>
      <c r="FW102" s="45" t="str">
        <f aca="false">IF(AND(Tasks[[#This Row],[_IsLeaf]]=1,Tasks[[#This Row],[_LeafProgress]]&lt;1,OR(N(Tasks[[#This Row],[Finish Var]])&gt;0,Tasks[[#This Row],[Status]]="Late Start")),MAX(0,Tasks[[#This Row],[Finish Var]])+1-Tasks[[#This Row],[_Row]]/1000000,"")</f>
        <v/>
      </c>
      <c r="FX102" s="45" t="str">
        <f aca="false">IF(AND(Tasks[[#This Row],[_IsLeaf]]=1,N(Tasks[[#This Row],[Actual Start]])=0,Tasks[[#This Row],[_ShownFcstStart]]&gt;=StatusDate,Tasks[[#This Row],[_ShownFcstStart]]&lt;=LookaheadEnd),Tasks[[#This Row],[_ShownFcstStart]]+Tasks[[#This Row],[_Row]]/100000,"")</f>
        <v/>
      </c>
      <c r="FY102" s="45" t="str">
        <f aca="false">IF(AND(Tasks[[#This Row],[_IsLeaf]]=1,Tasks[[#This Row],[_LeafProgress]]&lt;1,Tasks[[#This Row],[_ShownFcstFinish]]&gt;=StatusDate,Tasks[[#This Row],[_ShownFcstFinish]]&lt;=LookaheadEnd),Tasks[[#This Row],[_ShownFcstFinish]]+Tasks[[#This Row],[_Row]]/100000,"")</f>
        <v/>
      </c>
      <c r="FZ102" s="45" t="str">
        <f aca="false">IF(Tasks[[#This Row],[_LeafCritical]],Tasks[[#This Row],[_ShownFcstStart]]+Tasks[[#This Row],[_Row]]/100000,"")</f>
        <v/>
      </c>
      <c r="GA102" s="45" t="n">
        <f aca="false">Tasks[[#This Row],[_LeafWork]]*Tasks[[#This Row],[_LeafProgress]]</f>
        <v>0</v>
      </c>
      <c r="GB102" s="74" t="str">
        <f aca="false">IF(AND(Tasks[[#This Row],[_IsLeaf]]=1,Tasks[[#This Row],[_LeafProgress]]&gt;=1),IF(N(Tasks[[#This Row],[Actual Finish]])&gt;0,Tasks[[#This Row],[Actual Finish]],Tasks[[#This Row],[_ShownFcstFinish]]),"")</f>
        <v/>
      </c>
    </row>
    <row r="103" customFormat="false" ht="15" hidden="false" customHeight="false" outlineLevel="0" collapsed="false">
      <c r="A103" s="67" t="str">
        <f aca="false">IF(Tasks[[#This Row],[Task Name]]="","",COUNTA(Tasks[[#Headers],[Task Name]]:Tasks[[#This Row],[Task Name]])-1)</f>
        <v/>
      </c>
      <c r="B103" s="21" t="n">
        <v>98</v>
      </c>
      <c r="C10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21"/>
      <c r="E103" s="22"/>
      <c r="F103" s="21"/>
      <c r="G103" s="22"/>
      <c r="H103" s="22"/>
      <c r="I103" s="22"/>
      <c r="J103" s="7"/>
      <c r="K103" s="7"/>
      <c r="L103" s="22"/>
      <c r="M103" s="58" t="str">
        <f aca="false">IF(Tasks[[#This Row],[Task Name]]="","",IF(Tasks[[#This Row],[_IsSummary]],MIN(INDEX(Tasks[_ShownFcstStart],Tasks[[#This Row],[_Row]]+1):INDEX(Tasks[_ShownFcstStart],Tasks[[#This Row],[_Row]]+Tasks[[#This Row],[_Descendants]])),Tasks[[#This Row],[_ShownFcstStart]]))</f>
        <v/>
      </c>
      <c r="N103" s="58" t="str">
        <f aca="false">IF(Tasks[[#This Row],[Task Name]]="","",IF(Tasks[[#This Row],[_IsSummary]],MAX(INDEX(Tasks[_ShownFcstFinish],Tasks[[#This Row],[_Row]]+1):INDEX(Tasks[_ShownFcstFinish],Tasks[[#This Row],[_Row]]+Tasks[[#This Row],[_Descendants]])),Tasks[[#This Row],[_ShownFcstFinish]]))</f>
        <v/>
      </c>
      <c r="O103" s="20" t="str">
        <f aca="false">IF(Tasks[[#This Row],[Task Name]]="","",IF(Tasks[[#This Row],[Progress]]&gt;=1,"Complete",IF(OR(N(Tasks[[#This Row],[Actual Start]])&gt;0,Tasks[[#This Row],[Progress]]&gt;0),IF(Tasks[[#This Row],[Finish Var]]&gt;0,"Behind","In Progress"),IF(Tasks[[#This Row],[Planned Start]]&lt;StatusDate,"Late Start","Not Started"))))</f>
        <v/>
      </c>
      <c r="P103" s="20" t="str">
        <f aca="false">IF(Tasks[[#This Row],[Task Name]]="","",IF(IF(Tasks[[#This Row],[_IsSummary]],COUNTIF(INDEX(Tasks[_LeafCritical],Tasks[[#This Row],[_Row]]+1):INDEX(Tasks[_LeafCritical],Tasks[[#This Row],[_Row]]+Tasks[[#This Row],[_Descendants]]),TRUE())&gt;0,Tasks[[#This Row],[_LeafCritical]]),"Yes",""))</f>
        <v/>
      </c>
      <c r="Q10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03" s="67" t="str">
        <f aca="false">IF(Tasks[[#This Row],[Task Name]]="","",IF(Tasks[[#This Row],[_Level]]&lt;=OutlineShowLevel,"Yes","No"))</f>
        <v/>
      </c>
      <c r="S103" s="7"/>
      <c r="T103" s="21"/>
      <c r="U103" s="22"/>
      <c r="V103" s="7"/>
      <c r="W103" s="67" t="str">
        <f aca="false">IF(Tasks[[#This Row],[Task Name]]="","",IF(Tasks[[#This Row],[Finish]]&gt;=Tasks[[#This Row],[Planned Finish]],NETWORKDAYS.INTL(Tasks[[#This Row],[Planned Finish]],Tasks[[#This Row],[Finish]],WorkWeek,Holidays)-1,1-NETWORKDAYS.INTL(Tasks[[#This Row],[Finish]],Tasks[[#This Row],[Planned Finish]],WorkWeek,Holidays)))</f>
        <v/>
      </c>
      <c r="X103" s="58" t="str">
        <f aca="false">IF(Tasks[[#This Row],[Task Name]]="","",IF(N(Tasks[[#This Row],[Baseline Start]])&gt;0,Tasks[[#This Row],[Baseline Start]],Tasks[[#This Row],[_CalcStart]]))</f>
        <v/>
      </c>
      <c r="Y103" s="58" t="str">
        <f aca="false">IF(Tasks[[#This Row],[Task Name]]="","",IF(N(Tasks[[#This Row],[Baseline Finish]])&gt;0,Tasks[[#This Row],[Baseline Finish]],Tasks[[#This Row],[_CalcFinish]]))</f>
        <v/>
      </c>
      <c r="Z103" s="67" t="str">
        <f aca="false">IF(Tasks[[#This Row],[Task Name]]="","",IF(Tasks[[#This Row],[Start]]&gt;=Tasks[[#This Row],[Planned Start]],NETWORKDAYS.INTL(Tasks[[#This Row],[Planned Start]],Tasks[[#This Row],[Start]],WorkWeek,Holidays)-1,1-NETWORKDAYS.INTL(Tasks[[#This Row],[Start]],Tasks[[#This Row],[Planned Start]],WorkWeek,Holidays)))</f>
        <v/>
      </c>
      <c r="AA103" s="58" t="str">
        <f aca="false">IF(Tasks[[#This Row],[Task Name]]="","",IF(Tasks[[#This Row],[_IsSummary]],MIN(INDEX(Tasks[_LeafLateStart],Tasks[[#This Row],[_Row]]+1):INDEX(Tasks[_LeafLateStart],Tasks[[#This Row],[_Row]]+Tasks[[#This Row],[_Descendants]])),Tasks[[#This Row],[_LeafLateStart]]))</f>
        <v/>
      </c>
      <c r="AB103" s="58" t="str">
        <f aca="false">IF(Tasks[[#This Row],[Task Name]]="","",IF(Tasks[[#This Row],[_IsSummary]],MAX(INDEX(Tasks[_LeafLateFinish],Tasks[[#This Row],[_Row]]+1):INDEX(Tasks[_LeafLateFinish],Tasks[[#This Row],[_Row]]+Tasks[[#This Row],[_Descendants]])),Tasks[[#This Row],[_LeafLateFinish]]))</f>
        <v/>
      </c>
      <c r="AC103" s="67" t="str">
        <f aca="false">IF(Tasks[[#This Row],[Task Name]]="","",IF(Tasks[[#This Row],[_IsSummary]],MIN(INDEX(Tasks[_LeafTotalSlack],Tasks[[#This Row],[_Row]]+1):INDEX(Tasks[_LeafTotalSlack],Tasks[[#This Row],[_Row]]+Tasks[[#This Row],[_Descendants]])),Tasks[[#This Row],[_LeafTotalSlack]]))</f>
        <v/>
      </c>
      <c r="AD10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0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0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03" s="60"/>
      <c r="AH10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0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03" s="69" t="str">
        <f aca="false">IF(Tasks[[#This Row],[Task Name]]="","",IF(Tasks[[#This Row],[_IsSummary]],SUM(INDEX(Tasks[_LeafTotalWork],Tasks[[#This Row],[_Row]]+1):INDEX(Tasks[_LeafTotalWork],Tasks[[#This Row],[_Row]]+Tasks[[#This Row],[_Descendants]])),Tasks[[#This Row],[_LeafTotalWork]]))</f>
        <v/>
      </c>
      <c r="AK10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03" s="70" t="str">
        <f aca="false">IF(Tasks[[#This Row],[Task Name]]="","",IF(Tasks[[#This Row],[_IsSummary]],SUM(INDEX(Tasks[_LeafTotalCost],Tasks[[#This Row],[_Row]]+1):INDEX(Tasks[_LeafTotalCost],Tasks[[#This Row],[_Row]]+Tasks[[#This Row],[_Descendants]])),Tasks[[#This Row],[_LeafTotalCost]]))</f>
        <v/>
      </c>
      <c r="AM103" s="71"/>
      <c r="AN103" s="20" t="str">
        <f aca="false">IF(OR(Tasks[[#This Row],[Task Name]]="",Tasks[[#This Row],[Baseline Duration]]=""),"",Tasks[[#This Row],[BL Source Duration]]-N(Tasks[[#This Row],[Baseline Duration]]))</f>
        <v/>
      </c>
      <c r="AO103" s="69" t="str">
        <f aca="false">IF(OR(Tasks[[#This Row],[Task Name]]="",Tasks[[#This Row],[Baseline Work]]=""),"",Tasks[[#This Row],[Work]]-N(Tasks[[#This Row],[Baseline Work]]))</f>
        <v/>
      </c>
      <c r="AP103" s="70" t="str">
        <f aca="false">IF(OR(Tasks[[#This Row],[Task Name]]="",Tasks[[#This Row],[Baseline Cost]]=""),"",Tasks[[#This Row],[Cost]]-N(Tasks[[#This Row],[Baseline Cost]]))</f>
        <v/>
      </c>
      <c r="AQ103" s="58" t="str">
        <f aca="false">IF(Tasks[[#This Row],[Task Name]]="","",Tasks[[#This Row],[Start]])</f>
        <v/>
      </c>
      <c r="AR103" s="58" t="str">
        <f aca="false">IF(Tasks[[#This Row],[Task Name]]="","",Tasks[[#This Row],[Finish]])</f>
        <v/>
      </c>
      <c r="AS103" s="67" t="str">
        <f aca="false">IF(Tasks[[#This Row],[Task Name]]="","",IF(Tasks[[#This Row],[_IsSummary]],NETWORKDAYS.INTL(Tasks[[#This Row],[Start]],Tasks[[#This Row],[Finish]],WorkWeek,Holidays),N(Tasks[[#This Row],[Duration]])))</f>
        <v/>
      </c>
      <c r="AT103" s="69" t="str">
        <f aca="false">IF(Tasks[[#This Row],[Task Name]]="","",Tasks[[#This Row],[Work]])</f>
        <v/>
      </c>
      <c r="AU103" s="70" t="str">
        <f aca="false">IF(Tasks[[#This Row],[Task Name]]="","",Tasks[[#This Row],[Cost]])</f>
        <v/>
      </c>
      <c r="AV103" s="7"/>
      <c r="AW103" s="7"/>
      <c r="AX103" s="21"/>
      <c r="AY103" s="72"/>
      <c r="AZ103" s="71"/>
      <c r="BA103" s="70" t="str">
        <f aca="false">IF(Tasks[[#This Row],[Task Name]]="","",IF(Tasks[[#This Row],[_IsSummary]],SUM(INDEX(Tasks[_LeafEV],Tasks[[#This Row],[_Row]]+1):INDEX(Tasks[_LeafEV],Tasks[[#This Row],[_Row]]+Tasks[[#This Row],[_Descendants]])),Tasks[[#This Row],[_LeafEV]]))</f>
        <v/>
      </c>
      <c r="BB103" s="70" t="str">
        <f aca="false">IF(Tasks[[#This Row],[Task Name]]="","",IF(Tasks[[#This Row],[_IsSummary]],SUM(INDEX(Tasks[_LeafBudget],Tasks[[#This Row],[_Row]]+1):INDEX(Tasks[_LeafBudget],Tasks[[#This Row],[_Row]]+Tasks[[#This Row],[_Descendants]])),Tasks[[#This Row],[_LeafBudget]]))</f>
        <v/>
      </c>
      <c r="BC103" s="70" t="str">
        <f aca="false">IF(Tasks[[#This Row],[Task Name]]="","",IF(Tasks[[#This Row],[_IsSummary]],SUM(INDEX(Tasks[_LeafPV],Tasks[[#This Row],[_Row]]+1):INDEX(Tasks[_LeafPV],Tasks[[#This Row],[_Row]]+Tasks[[#This Row],[_Descendants]])),Tasks[[#This Row],[_LeafPV]]))</f>
        <v/>
      </c>
      <c r="BD103" s="70" t="str">
        <f aca="false">IF(Tasks[[#This Row],[Task Name]]="","",IF(Tasks[[#This Row],[_IsSummary]],SUM(INDEX(Tasks[_LeafAC],Tasks[[#This Row],[_Row]]+1):INDEX(Tasks[_LeafAC],Tasks[[#This Row],[_Row]]+Tasks[[#This Row],[_Descendants]])),Tasks[[#This Row],[_LeafAC]]))</f>
        <v/>
      </c>
      <c r="BE103" s="45" t="str">
        <f aca="false">IF(Tasks[[#This Row],[Task Name]]="","",MAX(1,N(Tasks[[#This Row],[Level]])))</f>
        <v/>
      </c>
      <c r="BF103" s="45" t="n">
        <f aca="false">ROW()-ROW(Tasks[[#Headers],[ID]])</f>
        <v>98</v>
      </c>
      <c r="BG103" s="45" t="n">
        <f aca="false">IF(OR(Tasks[[#This Row],[Task Name]]="",Tasks[[#This Row],[_Level]]&lt;=1),0,IFERROR(LOOKUP(2,1/(Tasks[[#Headers],[_Level]]:Tasks[[#This Row],[_Level]]=Tasks[[#This Row],[_Level]]-1),ROW(Tasks[[#Headers],[_Level]]:Tasks[[#This Row],[_Level]])),0))</f>
        <v>0</v>
      </c>
      <c r="BH103" s="45" t="n">
        <f aca="false">IFERROR(N(INDEX(Tasks[_Level],Tasks[[#This Row],[_Row]]+1)),0)</f>
        <v>0</v>
      </c>
      <c r="BI103" s="73" t="b">
        <f aca="false">AND(Tasks[[#This Row],[Task Name]]&lt;&gt;"",Tasks[[#This Row],[_NextLevel]]&gt;Tasks[[#This Row],[_Level]])</f>
        <v>0</v>
      </c>
      <c r="BJ103" s="45" t="n">
        <f aca="false">IF(Tasks[[#This Row],[_IsSummary]],COUNTIF(Tasks[WBS],Tasks[[#This Row],[WBS]]&amp;".*"),0)</f>
        <v>0</v>
      </c>
      <c r="BK103" s="45" t="n">
        <f aca="false">IF(AND(Tasks[[#This Row],[Task Name]]&lt;&gt;"",NOT(Tasks[[#This Row],[_IsSummary]])),1,0)</f>
        <v>0</v>
      </c>
      <c r="BL103" s="45" t="n">
        <f aca="false">IF(N(Tasks[[#This Row],[_Pred1UID]])=0,0,IFERROR(MATCH(Tasks[[#This Row],[_Pred1UID]],Tasks[UID],0),-1))</f>
        <v>0</v>
      </c>
      <c r="BM103" s="45" t="n">
        <f aca="false">IF(N(Tasks[[#This Row],[_Pred2UID]])=0,0,IFERROR(MATCH(Tasks[[#This Row],[_Pred2UID]],Tasks[UID],0),-1))</f>
        <v>0</v>
      </c>
      <c r="BN103" s="45" t="n">
        <f aca="false">IF(N(Tasks[[#This Row],[_Pred3UID]])=0,0,IFERROR(MATCH(Tasks[[#This Row],[_Pred3UID]],Tasks[UID],0),-1))</f>
        <v>0</v>
      </c>
      <c r="BO103" s="45" t="n">
        <f aca="false">IF(N(Tasks[[#This Row],[_Pred4UID]])=0,0,IFERROR(MATCH(Tasks[[#This Row],[_Pred4UID]],Tasks[UID],0),-1))</f>
        <v>0</v>
      </c>
      <c r="BP10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0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03" s="74" t="n">
        <f aca="false">IF(OR(Tasks[[#This Row],[_ConstraintCode]]=2,Tasks[[#This Row],[_ConstraintCode]]=3,Tasks[[#This Row],[_ConstraintCode]]=4,Tasks[[#This Row],[_ConstraintCode]]=6),Tasks[[#This Row],[_ConstraintStart]],0)</f>
        <v>0</v>
      </c>
      <c r="BS103" s="74" t="n">
        <f aca="false">IF(OR(Tasks[[#This Row],[_ConstraintCode]]=2,Tasks[[#This Row],[_ConstraintCode]]=3,Tasks[[#This Row],[_ConstraintCode]]=5,Tasks[[#This Row],[_ConstraintCode]]=7),Tasks[[#This Row],[_ConstraintStart]],2958465)</f>
        <v>2958465</v>
      </c>
      <c r="BT10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03" s="74" t="str">
        <f aca="false">IF(NOT(Tasks[[#This Row],[_IsLeaf]]=1),"",IF(N(Tasks[[#This Row],[Duration]])&lt;=0,Tasks[[#This Row],[_LeafCalcStart]],WORKDAY.INTL(Tasks[[#This Row],[_LeafCalcStart]],Tasks[[#This Row],[Duration]]-1,WorkWeek,Holidays)))</f>
        <v/>
      </c>
      <c r="BV10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0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03" s="45" t="str">
        <f aca="false">IF(Tasks[[#This Row],[Predecessors]]="","",TRIM(MID(SUBSTITUTE(SUBSTITUTE(SUBSTITUTE(UPPER(Tasks[[#This Row],[Predecessors]]),";",",")," ",""),",",REPT(" ",99)),1,99)))</f>
        <v/>
      </c>
      <c r="BY103" s="45" t="str">
        <f aca="false">IF(Tasks[[#This Row],[_Pred1Text]]="","",IFERROR(VALUE(LEFT(Tasks[[#This Row],[_Pred1Text]],MIN(FIND("F",Tasks[[#This Row],[_Pred1Text]]&amp;"F"),FIND("S",Tasks[[#This Row],[_Pred1Text]]&amp;"S"),FIND("+",Tasks[[#This Row],[_Pred1Text]]&amp;"+"),FIND("-",Tasks[[#This Row],[_Pred1Text]]&amp;"-"))-1)),""))</f>
        <v/>
      </c>
      <c r="BZ10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0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03" s="45" t="str">
        <f aca="false">IF(Tasks[[#This Row],[_Pred1Text]]="","",TRIM(MID(SUBSTITUTE(SUBSTITUTE(SUBSTITUTE(UPPER(Tasks[[#This Row],[Predecessors]]),";",",")," ",""),",",REPT(" ",99)),100,99)))</f>
        <v/>
      </c>
      <c r="CC103" s="45" t="str">
        <f aca="false">IF(Tasks[[#This Row],[_Pred2Text]]="","",IFERROR(VALUE(LEFT(Tasks[[#This Row],[_Pred2Text]],MIN(FIND("F",Tasks[[#This Row],[_Pred2Text]]&amp;"F"),FIND("S",Tasks[[#This Row],[_Pred2Text]]&amp;"S"),FIND("+",Tasks[[#This Row],[_Pred2Text]]&amp;"+"),FIND("-",Tasks[[#This Row],[_Pred2Text]]&amp;"-"))-1)),""))</f>
        <v/>
      </c>
      <c r="CD10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0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03" s="45" t="str">
        <f aca="false">IF(Tasks[[#This Row],[_Pred2Text]]="","",TRIM(MID(SUBSTITUTE(SUBSTITUTE(SUBSTITUTE(UPPER(Tasks[[#This Row],[Predecessors]]),";",",")," ",""),",",REPT(" ",99)),199,99)))</f>
        <v/>
      </c>
      <c r="CG103" s="45" t="str">
        <f aca="false">IF(Tasks[[#This Row],[_Pred3Text]]="","",IFERROR(VALUE(LEFT(Tasks[[#This Row],[_Pred3Text]],MIN(FIND("F",Tasks[[#This Row],[_Pred3Text]]&amp;"F"),FIND("S",Tasks[[#This Row],[_Pred3Text]]&amp;"S"),FIND("+",Tasks[[#This Row],[_Pred3Text]]&amp;"+"),FIND("-",Tasks[[#This Row],[_Pred3Text]]&amp;"-"))-1)),""))</f>
        <v/>
      </c>
      <c r="CH10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0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03" s="45" t="str">
        <f aca="false">IF(Tasks[[#This Row],[_Pred3Text]]="","",TRIM(MID(SUBSTITUTE(SUBSTITUTE(SUBSTITUTE(UPPER(Tasks[[#This Row],[Predecessors]]),";",",")," ",""),",",REPT(" ",99)),298,99)))</f>
        <v/>
      </c>
      <c r="CK103" s="45" t="str">
        <f aca="false">IF(Tasks[[#This Row],[_Pred4Text]]="","",IFERROR(VALUE(LEFT(Tasks[[#This Row],[_Pred4Text]],MIN(FIND("F",Tasks[[#This Row],[_Pred4Text]]&amp;"F"),FIND("S",Tasks[[#This Row],[_Pred4Text]]&amp;"S"),FIND("+",Tasks[[#This Row],[_Pred4Text]]&amp;"+"),FIND("-",Tasks[[#This Row],[_Pred4Text]]&amp;"-"))-1)),""))</f>
        <v/>
      </c>
      <c r="CL10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0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03" s="45" t="str">
        <f aca="false">IF(OR(Tasks[[#This Row],[Task Name]]="",Tasks[[#This Row],[Resources]]=""),"",TRIM(MID(SUBSTITUTE(Tasks[[#This Row],[Resources]],",",REPT(" ",99)),1,99)))</f>
        <v/>
      </c>
      <c r="CO103" s="45" t="str">
        <f aca="false">IF(Tasks[[#This Row],[_Res1Text]]="","",TRIM(MID(SUBSTITUTE(Tasks[[#This Row],[Resources]],",",REPT(" ",99)),100,99)))</f>
        <v/>
      </c>
      <c r="CP103" s="45" t="str">
        <f aca="false">IF(Tasks[[#This Row],[_Res2Text]]="","",TRIM(MID(SUBSTITUTE(Tasks[[#This Row],[Resources]],",",REPT(" ",99)),199,99)))</f>
        <v/>
      </c>
      <c r="CQ103" s="45" t="str">
        <f aca="false">IF(Tasks[[#This Row],[_Res3Text]]="","",TRIM(MID(SUBSTITUTE(Tasks[[#This Row],[Resources]],",",REPT(" ",99)),298,99)))</f>
        <v/>
      </c>
      <c r="CR10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0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3" s="45" t="n">
        <f aca="false">IF(NOT(Tasks[[#This Row],[_IsLeaf]]=1),0,(Tasks[[#This Row],[_Resource1]]&lt;&gt;"")+(Tasks[[#This Row],[_Res2]]&lt;&gt;"")+(Tasks[[#This Row],[_Res3]]&lt;&gt;"")+(Tasks[[#This Row],[_Res4]]&lt;&gt;""))</f>
        <v>0</v>
      </c>
      <c r="CU10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0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3" s="45" t="n">
        <f aca="false">IF(OR(NOT(Tasks[[#This Row],[_IsLeaf]]=1),Tasks[[#This Row],[_Res2]]=""),0,IF(ISNA(MATCH(Tasks[[#This Row],[_Res2]],res_Name,0)),0,N(Tasks[[#This Row],[Duration]])*HoursPerDay*IF(Tasks[[#This Row],[_Res2Units]]="",DefaultUnits,Tasks[[#This Row],[_Res2Units]])))</f>
        <v>0</v>
      </c>
      <c r="CX103" s="45" t="n">
        <f aca="false">IF(Tasks[[#This Row],[_Res2Work]]=0,0,Tasks[[#This Row],[_Res2Work]]*IFERROR(INDEX(res_Rate,MATCH(Tasks[[#This Row],[_Res2]],res_Name,0)),0))</f>
        <v>0</v>
      </c>
      <c r="CY103" s="45" t="n">
        <f aca="false">IF(AND(AND(Tasks[[#This Row],[_IsLeaf]]=1,Tasks[[#This Row],[_LeafTotalWork]]&gt;0),Tasks[[#This Row],[_Res2Work]]&gt;0),Tasks[[#This Row],[_Res2Work]]/(Tasks[[#This Row],[_FinishWorkday]]-Tasks[[#This Row],[_StartWorkday]]+1),0)</f>
        <v>0</v>
      </c>
      <c r="CZ103" s="45" t="n">
        <f aca="false">Tasks[[#This Row],[_Res2WorkPerWD]]*MAX(0,Tasks[[#This Row],[_StartWorkday]]-1)</f>
        <v>0</v>
      </c>
      <c r="DA103" s="45" t="n">
        <f aca="false">Tasks[[#This Row],[_Res2Work]]*Tasks[[#This Row],[_LeafProgress]]</f>
        <v>0</v>
      </c>
      <c r="DB103" s="45" t="n">
        <f aca="false">IF(Tasks[[#This Row],[_LeafTotalCost]]=0,0,Tasks[[#This Row],[_LeafAC]]*Tasks[[#This Row],[_Res2Cost]]/Tasks[[#This Row],[_LeafTotalCost]])</f>
        <v>0</v>
      </c>
      <c r="DC10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0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03" s="45" t="n">
        <f aca="false">IF(OR(NOT(Tasks[[#This Row],[_IsLeaf]]=1),Tasks[[#This Row],[_Res3]]=""),0,IF(ISNA(MATCH(Tasks[[#This Row],[_Res3]],res_Name,0)),0,N(Tasks[[#This Row],[Duration]])*HoursPerDay*IF(Tasks[[#This Row],[_Res3Units]]="",DefaultUnits,Tasks[[#This Row],[_Res3Units]])))</f>
        <v>0</v>
      </c>
      <c r="DF103" s="45" t="n">
        <f aca="false">IF(Tasks[[#This Row],[_Res3Work]]=0,0,Tasks[[#This Row],[_Res3Work]]*IFERROR(INDEX(res_Rate,MATCH(Tasks[[#This Row],[_Res3]],res_Name,0)),0))</f>
        <v>0</v>
      </c>
      <c r="DG103" s="45" t="n">
        <f aca="false">IF(AND(AND(Tasks[[#This Row],[_IsLeaf]]=1,Tasks[[#This Row],[_LeafTotalWork]]&gt;0),Tasks[[#This Row],[_Res3Work]]&gt;0),Tasks[[#This Row],[_Res3Work]]/(Tasks[[#This Row],[_FinishWorkday]]-Tasks[[#This Row],[_StartWorkday]]+1),0)</f>
        <v>0</v>
      </c>
      <c r="DH103" s="45" t="n">
        <f aca="false">Tasks[[#This Row],[_Res3WorkPerWD]]*MAX(0,Tasks[[#This Row],[_StartWorkday]]-1)</f>
        <v>0</v>
      </c>
      <c r="DI103" s="45" t="n">
        <f aca="false">Tasks[[#This Row],[_Res3Work]]*Tasks[[#This Row],[_LeafProgress]]</f>
        <v>0</v>
      </c>
      <c r="DJ103" s="45" t="n">
        <f aca="false">IF(Tasks[[#This Row],[_LeafTotalCost]]=0,0,Tasks[[#This Row],[_LeafAC]]*Tasks[[#This Row],[_Res3Cost]]/Tasks[[#This Row],[_LeafTotalCost]])</f>
        <v>0</v>
      </c>
      <c r="DK10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0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03" s="45" t="n">
        <f aca="false">IF(OR(NOT(Tasks[[#This Row],[_IsLeaf]]=1),Tasks[[#This Row],[_Res4]]=""),0,IF(ISNA(MATCH(Tasks[[#This Row],[_Res4]],res_Name,0)),0,N(Tasks[[#This Row],[Duration]])*HoursPerDay*IF(Tasks[[#This Row],[_Res4Units]]="",DefaultUnits,Tasks[[#This Row],[_Res4Units]])))</f>
        <v>0</v>
      </c>
      <c r="DN103" s="45" t="n">
        <f aca="false">IF(Tasks[[#This Row],[_Res4Work]]=0,0,Tasks[[#This Row],[_Res4Work]]*IFERROR(INDEX(res_Rate,MATCH(Tasks[[#This Row],[_Res4]],res_Name,0)),0))</f>
        <v>0</v>
      </c>
      <c r="DO103" s="45" t="n">
        <f aca="false">IF(AND(AND(Tasks[[#This Row],[_IsLeaf]]=1,Tasks[[#This Row],[_LeafTotalWork]]&gt;0),Tasks[[#This Row],[_Res4Work]]&gt;0),Tasks[[#This Row],[_Res4Work]]/(Tasks[[#This Row],[_FinishWorkday]]-Tasks[[#This Row],[_StartWorkday]]+1),0)</f>
        <v>0</v>
      </c>
      <c r="DP103" s="45" t="n">
        <f aca="false">Tasks[[#This Row],[_Res4WorkPerWD]]*MAX(0,Tasks[[#This Row],[_StartWorkday]]-1)</f>
        <v>0</v>
      </c>
      <c r="DQ103" s="45" t="n">
        <f aca="false">Tasks[[#This Row],[_Res4Work]]*Tasks[[#This Row],[_LeafProgress]]</f>
        <v>0</v>
      </c>
      <c r="DR103" s="45" t="n">
        <f aca="false">IF(Tasks[[#This Row],[_LeafTotalCost]]=0,0,Tasks[[#This Row],[_LeafAC]]*Tasks[[#This Row],[_Res4Cost]]/Tasks[[#This Row],[_LeafTotalCost]])</f>
        <v>0</v>
      </c>
      <c r="DS103" s="45" t="n">
        <f aca="false">IF(ISNUMBER(Tasks[[#This Row],[% Complete]]),Tasks[[#This Row],[% Complete]],IF(Tasks[[#This Row],[Stage]]="",0,IFERROR(INDEX(stg_Pct,MATCH(Tasks[[#This Row],[Stage]],stg_Name,0)),0)))</f>
        <v>0</v>
      </c>
      <c r="DT103" s="45" t="n">
        <f aca="false">IF(NOT(Tasks[[#This Row],[_IsLeaf]]=1),0,IF(N(Tasks[[#This Row],[Actual Finish]])&gt;0,1,MIN(1,Tasks[[#This Row],[_Pct]])))</f>
        <v>0</v>
      </c>
      <c r="DU103" s="45" t="n">
        <f aca="false">IF(OR(NOT(Tasks[[#This Row],[_IsLeaf]]=1),Tasks[[#This Row],[_Resource1]]=""),0,IF(ISNA(MATCH(Tasks[[#This Row],[_Resource1]],res_Name,0)),0,N(Tasks[[#This Row],[Duration]])*HoursPerDay*IF(Tasks[[#This Row],[_Units1]]="",DefaultUnits,Tasks[[#This Row],[_Units1]])))</f>
        <v>0</v>
      </c>
      <c r="DV103" s="45" t="n">
        <f aca="false">IF(Tasks[[#This Row],[_LeafWork]]=0,0,Tasks[[#This Row],[_LeafWork]]*IFERROR(INDEX(res_Rate,MATCH(Tasks[[#This Row],[_Resource1]],res_Name,0)),0))</f>
        <v>0</v>
      </c>
      <c r="DW103" s="45" t="n">
        <f aca="false">Tasks[[#This Row],[_LeafWork]]+Tasks[[#This Row],[_Res2Work]]+Tasks[[#This Row],[_Res3Work]]+Tasks[[#This Row],[_Res4Work]]</f>
        <v>0</v>
      </c>
      <c r="DX103" s="45" t="n">
        <f aca="false">Tasks[[#This Row],[_LeafCost]]+Tasks[[#This Row],[_Res2Cost]]+Tasks[[#This Row],[_Res3Cost]]+Tasks[[#This Row],[_Res4Cost]]</f>
        <v>0</v>
      </c>
      <c r="DY103" s="45" t="n">
        <f aca="false">IF(Tasks[[#This Row],[_LeafTotalCost]]=0,Tasks[[#This Row],[_LeafAC]],Tasks[[#This Row],[_LeafAC]]*Tasks[[#This Row],[_LeafCost]]/Tasks[[#This Row],[_LeafTotalCost]])</f>
        <v>0</v>
      </c>
      <c r="DZ10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0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0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0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0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0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0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0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03" s="45" t="n">
        <f aca="false">IF(NOT(Tasks[[#This Row],[_IsLeaf]]=1),0,MAX(_xlfn.MAXIFS(Tasks[_Row],Tasks[_Pred1UID],Tasks[[#This Row],[UID]]),_xlfn.MAXIFS(Tasks[_Row],Tasks[_Pred2UID],Tasks[[#This Row],[UID]]),_xlfn.MAXIFS(Tasks[_Row],Tasks[_Pred3UID],Tasks[[#This Row],[UID]]),_xlfn.MAXIFS(Tasks[_Row],Tasks[_Pred4UID],Tasks[[#This Row],[UID]])))</f>
        <v>0</v>
      </c>
      <c r="EI10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0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03" s="74" t="str">
        <f aca="false">IF(NOT(Tasks[[#This Row],[_IsLeaf]]=1),"",IF(N(Tasks[[#This Row],[Duration]])&lt;=0,Tasks[[#This Row],[_LeafLateFinish]],WORKDAY.INTL(Tasks[[#This Row],[_LeafLateFinish]],-(Tasks[[#This Row],[Duration]]-1),WorkWeek,Holidays)))</f>
        <v/>
      </c>
      <c r="EL10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03" s="73" t="b">
        <f aca="false">AND(Tasks[[#This Row],[_IsLeaf]]=1,Tasks[[#This Row],[_LeafProgress]]&lt;1,N(Tasks[[#This Row],[_LeafTotalSlack]])&lt;=CriticalSlackDays)</f>
        <v>0</v>
      </c>
      <c r="EN103" s="45" t="n">
        <f aca="false">IF(AND(Tasks[[#This Row],[_IsLeaf]]=1,Tasks[[#This Row],[_ConstraintCode]]=1,Tasks[[#This Row],[Mode]]&lt;&gt;"Manual",N(Tasks[[#This Row],[Actual Start]])=0),MAX(0,N(Tasks[[#This Row],[Free Slack]])),0)</f>
        <v>0</v>
      </c>
      <c r="EO103" s="74" t="str">
        <f aca="false">IF(NOT(Tasks[[#This Row],[_IsLeaf]]=1),"",IF(Tasks[[#This Row],[_AlapShift]]=0,Tasks[[#This Row],[_LeafCalcStart]],WORKDAY.INTL(Tasks[[#This Row],[_LeafCalcStart]],Tasks[[#This Row],[_AlapShift]],WorkWeek,Holidays)))</f>
        <v/>
      </c>
      <c r="EP103" s="74" t="str">
        <f aca="false">IF(NOT(Tasks[[#This Row],[_IsLeaf]]=1),"",IF(Tasks[[#This Row],[_AlapShift]]=0,Tasks[[#This Row],[_LeafCalcFinish]],WORKDAY.INTL(Tasks[[#This Row],[_LeafCalcFinish]],Tasks[[#This Row],[_AlapShift]],WorkWeek,Holidays)))</f>
        <v/>
      </c>
      <c r="EQ103" s="74" t="str">
        <f aca="false">IF(NOT(Tasks[[#This Row],[_IsLeaf]]=1),"",IF(Tasks[[#This Row],[_AlapShift]]=0,Tasks[[#This Row],[_LeafFcstStart]],WORKDAY.INTL(Tasks[[#This Row],[_LeafFcstStart]],Tasks[[#This Row],[_AlapShift]],WorkWeek,Holidays)))</f>
        <v/>
      </c>
      <c r="ER103" s="74" t="str">
        <f aca="false">IF(NOT(Tasks[[#This Row],[_IsLeaf]]=1),"",IF(Tasks[[#This Row],[_AlapShift]]=0,Tasks[[#This Row],[_LeafFcstFinish]],WORKDAY.INTL(Tasks[[#This Row],[_LeafFcstFinish]],Tasks[[#This Row],[_AlapShift]],WorkWeek,Holidays)))</f>
        <v/>
      </c>
      <c r="ES103" s="74" t="str">
        <f aca="false">IF(Tasks[[#This Row],[Task Name]]="","",IF(Tasks[[#This Row],[_IsSummary]],MIN(INDEX(Tasks[_ShownCalcStart],Tasks[[#This Row],[_Row]]+1):INDEX(Tasks[_ShownCalcStart],Tasks[[#This Row],[_Row]]+Tasks[[#This Row],[_Descendants]])),Tasks[[#This Row],[_ShownCalcStart]]))</f>
        <v/>
      </c>
      <c r="ET103" s="74" t="str">
        <f aca="false">IF(Tasks[[#This Row],[Task Name]]="","",IF(Tasks[[#This Row],[_IsSummary]],MAX(INDEX(Tasks[_ShownCalcFinish],Tasks[[#This Row],[_Row]]+1):INDEX(Tasks[_ShownCalcFinish],Tasks[[#This Row],[_Row]]+Tasks[[#This Row],[_Descendants]])),Tasks[[#This Row],[_ShownCalcFinish]]))</f>
        <v/>
      </c>
      <c r="EU10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0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0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0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0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0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0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0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0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0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0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0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03" s="45" t="n">
        <f aca="false">IF(AND(Tasks[[#This Row],[_IsLeaf]]=1,Tasks[[#This Row],[_LeafTotalWork]]&gt;0),NETWORKDAYS.INTL(ProjectStart,Tasks[[#This Row],[_ShownFcstStart]],WorkWeek,Holidays),0)</f>
        <v>0</v>
      </c>
      <c r="FH103" s="45" t="n">
        <f aca="false">IF(AND(Tasks[[#This Row],[_IsLeaf]]=1,Tasks[[#This Row],[_LeafTotalWork]]&gt;0),MAX(Tasks[[#This Row],[_StartWorkday]],NETWORKDAYS.INTL(ProjectStart,Tasks[[#This Row],[_ShownFcstFinish]],WorkWeek,Holidays)),0)</f>
        <v>0</v>
      </c>
      <c r="FI103" s="45" t="n">
        <f aca="false">IF(AND(Tasks[[#This Row],[_IsLeaf]]=1,Tasks[[#This Row],[_LeafTotalWork]]&gt;0),Tasks[[#This Row],[_LeafWork]]/(Tasks[[#This Row],[_FinishWorkday]]-Tasks[[#This Row],[_StartWorkday]]+1),0)</f>
        <v>0</v>
      </c>
      <c r="FJ103" s="45" t="n">
        <f aca="false">Tasks[[#This Row],[_WorkPerWorkday]]*(Tasks[[#This Row],[_StartWorkday]]-1)</f>
        <v>-0</v>
      </c>
      <c r="FK103" s="45" t="n">
        <f aca="false">IF(Tasks[[#This Row],[_IsLeaf]]=1,MAX(N(Tasks[[#This Row],[Duration]]),0.1),0)</f>
        <v>0</v>
      </c>
      <c r="FL103" s="45" t="n">
        <f aca="false">Tasks[[#This Row],[_WeightDur]]*Tasks[[#This Row],[_LeafProgress]]</f>
        <v>0</v>
      </c>
      <c r="FM10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03" s="45" t="str">
        <f aca="false">IF(AND(Tasks[[#This Row],[_IsLeaf]]=1,N(Tasks[[#This Row],[Duration]])=0,Tasks[[#This Row],[_LeafProgress]]&lt;1),Tasks[[#This Row],[_ShownFcstFinish]]+Tasks[[#This Row],[_Row]]/100000,"")</f>
        <v/>
      </c>
      <c r="FO10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03" s="45" t="n">
        <f aca="false">IF(NOT(Tasks[[#This Row],[_IsLeaf]]=1),0,IF(Tasks[[#This Row],[Baseline Cost]]="",Tasks[[#This Row],[_LeafTotalCost]],N(Tasks[[#This Row],[Baseline Cost]])))</f>
        <v>0</v>
      </c>
      <c r="FQ103" s="45" t="n">
        <f aca="false">Tasks[[#This Row],[_LeafBudget]]*Tasks[[#This Row],[_PlannedPct]]</f>
        <v>0</v>
      </c>
      <c r="FR103" s="45" t="n">
        <f aca="false">Tasks[[#This Row],[_LeafBudget]]*Tasks[[#This Row],[_LeafProgress]]</f>
        <v>0</v>
      </c>
      <c r="FS103" s="45" t="n">
        <f aca="false">IF(NOT(Tasks[[#This Row],[_IsLeaf]]=1),0,IF(Tasks[[#This Row],[Actual Cost]]="",Tasks[[#This Row],[_LeafTotalCost]]*Tasks[[#This Row],[_LeafProgress]],N(Tasks[[#This Row],[Actual Cost]])))</f>
        <v>0</v>
      </c>
      <c r="FT103" s="45" t="str">
        <f aca="false">IF(Tasks[[#This Row],[Task Name]]="","",LEFT(Tasks[[#This Row],[WBS]],FIND(".",Tasks[[#This Row],[WBS]]&amp;".")-1))</f>
        <v/>
      </c>
      <c r="FU103" s="45" t="str">
        <f aca="false">IF(AND(Tasks[[#This Row],[Task Name]]&lt;&gt;"",Tasks[[#This Row],[_Level]]=1),Tasks[[#This Row],[_Row]],"")</f>
        <v/>
      </c>
      <c r="FV103" s="45" t="str">
        <f aca="false">IF(AND(Tasks[[#This Row],[_IsLeaf]]=1,N(Tasks[[#This Row],[Duration]])=0),Tasks[[#This Row],[Planned Finish]]+Tasks[[#This Row],[_Row]]/100000,"")</f>
        <v/>
      </c>
      <c r="FW103" s="45" t="str">
        <f aca="false">IF(AND(Tasks[[#This Row],[_IsLeaf]]=1,Tasks[[#This Row],[_LeafProgress]]&lt;1,OR(N(Tasks[[#This Row],[Finish Var]])&gt;0,Tasks[[#This Row],[Status]]="Late Start")),MAX(0,Tasks[[#This Row],[Finish Var]])+1-Tasks[[#This Row],[_Row]]/1000000,"")</f>
        <v/>
      </c>
      <c r="FX103" s="45" t="str">
        <f aca="false">IF(AND(Tasks[[#This Row],[_IsLeaf]]=1,N(Tasks[[#This Row],[Actual Start]])=0,Tasks[[#This Row],[_ShownFcstStart]]&gt;=StatusDate,Tasks[[#This Row],[_ShownFcstStart]]&lt;=LookaheadEnd),Tasks[[#This Row],[_ShownFcstStart]]+Tasks[[#This Row],[_Row]]/100000,"")</f>
        <v/>
      </c>
      <c r="FY103" s="45" t="str">
        <f aca="false">IF(AND(Tasks[[#This Row],[_IsLeaf]]=1,Tasks[[#This Row],[_LeafProgress]]&lt;1,Tasks[[#This Row],[_ShownFcstFinish]]&gt;=StatusDate,Tasks[[#This Row],[_ShownFcstFinish]]&lt;=LookaheadEnd),Tasks[[#This Row],[_ShownFcstFinish]]+Tasks[[#This Row],[_Row]]/100000,"")</f>
        <v/>
      </c>
      <c r="FZ103" s="45" t="str">
        <f aca="false">IF(Tasks[[#This Row],[_LeafCritical]],Tasks[[#This Row],[_ShownFcstStart]]+Tasks[[#This Row],[_Row]]/100000,"")</f>
        <v/>
      </c>
      <c r="GA103" s="45" t="n">
        <f aca="false">Tasks[[#This Row],[_LeafWork]]*Tasks[[#This Row],[_LeafProgress]]</f>
        <v>0</v>
      </c>
      <c r="GB103" s="74" t="str">
        <f aca="false">IF(AND(Tasks[[#This Row],[_IsLeaf]]=1,Tasks[[#This Row],[_LeafProgress]]&gt;=1),IF(N(Tasks[[#This Row],[Actual Finish]])&gt;0,Tasks[[#This Row],[Actual Finish]],Tasks[[#This Row],[_ShownFcstFinish]]),"")</f>
        <v/>
      </c>
    </row>
    <row r="104" customFormat="false" ht="15" hidden="false" customHeight="false" outlineLevel="0" collapsed="false">
      <c r="A104" s="67" t="str">
        <f aca="false">IF(Tasks[[#This Row],[Task Name]]="","",COUNTA(Tasks[[#Headers],[Task Name]]:Tasks[[#This Row],[Task Name]])-1)</f>
        <v/>
      </c>
      <c r="B104" s="21" t="n">
        <v>99</v>
      </c>
      <c r="C10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21"/>
      <c r="E104" s="22"/>
      <c r="F104" s="21"/>
      <c r="G104" s="22"/>
      <c r="H104" s="22"/>
      <c r="I104" s="22"/>
      <c r="J104" s="7"/>
      <c r="K104" s="7"/>
      <c r="L104" s="22"/>
      <c r="M104" s="58" t="str">
        <f aca="false">IF(Tasks[[#This Row],[Task Name]]="","",IF(Tasks[[#This Row],[_IsSummary]],MIN(INDEX(Tasks[_ShownFcstStart],Tasks[[#This Row],[_Row]]+1):INDEX(Tasks[_ShownFcstStart],Tasks[[#This Row],[_Row]]+Tasks[[#This Row],[_Descendants]])),Tasks[[#This Row],[_ShownFcstStart]]))</f>
        <v/>
      </c>
      <c r="N104" s="58" t="str">
        <f aca="false">IF(Tasks[[#This Row],[Task Name]]="","",IF(Tasks[[#This Row],[_IsSummary]],MAX(INDEX(Tasks[_ShownFcstFinish],Tasks[[#This Row],[_Row]]+1):INDEX(Tasks[_ShownFcstFinish],Tasks[[#This Row],[_Row]]+Tasks[[#This Row],[_Descendants]])),Tasks[[#This Row],[_ShownFcstFinish]]))</f>
        <v/>
      </c>
      <c r="O104" s="20" t="str">
        <f aca="false">IF(Tasks[[#This Row],[Task Name]]="","",IF(Tasks[[#This Row],[Progress]]&gt;=1,"Complete",IF(OR(N(Tasks[[#This Row],[Actual Start]])&gt;0,Tasks[[#This Row],[Progress]]&gt;0),IF(Tasks[[#This Row],[Finish Var]]&gt;0,"Behind","In Progress"),IF(Tasks[[#This Row],[Planned Start]]&lt;StatusDate,"Late Start","Not Started"))))</f>
        <v/>
      </c>
      <c r="P104" s="20" t="str">
        <f aca="false">IF(Tasks[[#This Row],[Task Name]]="","",IF(IF(Tasks[[#This Row],[_IsSummary]],COUNTIF(INDEX(Tasks[_LeafCritical],Tasks[[#This Row],[_Row]]+1):INDEX(Tasks[_LeafCritical],Tasks[[#This Row],[_Row]]+Tasks[[#This Row],[_Descendants]]),TRUE())&gt;0,Tasks[[#This Row],[_LeafCritical]]),"Yes",""))</f>
        <v/>
      </c>
      <c r="Q10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04" s="67" t="str">
        <f aca="false">IF(Tasks[[#This Row],[Task Name]]="","",IF(Tasks[[#This Row],[_Level]]&lt;=OutlineShowLevel,"Yes","No"))</f>
        <v/>
      </c>
      <c r="S104" s="7"/>
      <c r="T104" s="21"/>
      <c r="U104" s="22"/>
      <c r="V104" s="7"/>
      <c r="W104" s="67" t="str">
        <f aca="false">IF(Tasks[[#This Row],[Task Name]]="","",IF(Tasks[[#This Row],[Finish]]&gt;=Tasks[[#This Row],[Planned Finish]],NETWORKDAYS.INTL(Tasks[[#This Row],[Planned Finish]],Tasks[[#This Row],[Finish]],WorkWeek,Holidays)-1,1-NETWORKDAYS.INTL(Tasks[[#This Row],[Finish]],Tasks[[#This Row],[Planned Finish]],WorkWeek,Holidays)))</f>
        <v/>
      </c>
      <c r="X104" s="58" t="str">
        <f aca="false">IF(Tasks[[#This Row],[Task Name]]="","",IF(N(Tasks[[#This Row],[Baseline Start]])&gt;0,Tasks[[#This Row],[Baseline Start]],Tasks[[#This Row],[_CalcStart]]))</f>
        <v/>
      </c>
      <c r="Y104" s="58" t="str">
        <f aca="false">IF(Tasks[[#This Row],[Task Name]]="","",IF(N(Tasks[[#This Row],[Baseline Finish]])&gt;0,Tasks[[#This Row],[Baseline Finish]],Tasks[[#This Row],[_CalcFinish]]))</f>
        <v/>
      </c>
      <c r="Z104" s="67" t="str">
        <f aca="false">IF(Tasks[[#This Row],[Task Name]]="","",IF(Tasks[[#This Row],[Start]]&gt;=Tasks[[#This Row],[Planned Start]],NETWORKDAYS.INTL(Tasks[[#This Row],[Planned Start]],Tasks[[#This Row],[Start]],WorkWeek,Holidays)-1,1-NETWORKDAYS.INTL(Tasks[[#This Row],[Start]],Tasks[[#This Row],[Planned Start]],WorkWeek,Holidays)))</f>
        <v/>
      </c>
      <c r="AA104" s="58" t="str">
        <f aca="false">IF(Tasks[[#This Row],[Task Name]]="","",IF(Tasks[[#This Row],[_IsSummary]],MIN(INDEX(Tasks[_LeafLateStart],Tasks[[#This Row],[_Row]]+1):INDEX(Tasks[_LeafLateStart],Tasks[[#This Row],[_Row]]+Tasks[[#This Row],[_Descendants]])),Tasks[[#This Row],[_LeafLateStart]]))</f>
        <v/>
      </c>
      <c r="AB104" s="58" t="str">
        <f aca="false">IF(Tasks[[#This Row],[Task Name]]="","",IF(Tasks[[#This Row],[_IsSummary]],MAX(INDEX(Tasks[_LeafLateFinish],Tasks[[#This Row],[_Row]]+1):INDEX(Tasks[_LeafLateFinish],Tasks[[#This Row],[_Row]]+Tasks[[#This Row],[_Descendants]])),Tasks[[#This Row],[_LeafLateFinish]]))</f>
        <v/>
      </c>
      <c r="AC104" s="67" t="str">
        <f aca="false">IF(Tasks[[#This Row],[Task Name]]="","",IF(Tasks[[#This Row],[_IsSummary]],MIN(INDEX(Tasks[_LeafTotalSlack],Tasks[[#This Row],[_Row]]+1):INDEX(Tasks[_LeafTotalSlack],Tasks[[#This Row],[_Row]]+Tasks[[#This Row],[_Descendants]])),Tasks[[#This Row],[_LeafTotalSlack]]))</f>
        <v/>
      </c>
      <c r="AD10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0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0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04" s="60"/>
      <c r="AH10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0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04" s="69" t="str">
        <f aca="false">IF(Tasks[[#This Row],[Task Name]]="","",IF(Tasks[[#This Row],[_IsSummary]],SUM(INDEX(Tasks[_LeafTotalWork],Tasks[[#This Row],[_Row]]+1):INDEX(Tasks[_LeafTotalWork],Tasks[[#This Row],[_Row]]+Tasks[[#This Row],[_Descendants]])),Tasks[[#This Row],[_LeafTotalWork]]))</f>
        <v/>
      </c>
      <c r="AK10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04" s="70" t="str">
        <f aca="false">IF(Tasks[[#This Row],[Task Name]]="","",IF(Tasks[[#This Row],[_IsSummary]],SUM(INDEX(Tasks[_LeafTotalCost],Tasks[[#This Row],[_Row]]+1):INDEX(Tasks[_LeafTotalCost],Tasks[[#This Row],[_Row]]+Tasks[[#This Row],[_Descendants]])),Tasks[[#This Row],[_LeafTotalCost]]))</f>
        <v/>
      </c>
      <c r="AM104" s="71"/>
      <c r="AN104" s="20" t="str">
        <f aca="false">IF(OR(Tasks[[#This Row],[Task Name]]="",Tasks[[#This Row],[Baseline Duration]]=""),"",Tasks[[#This Row],[BL Source Duration]]-N(Tasks[[#This Row],[Baseline Duration]]))</f>
        <v/>
      </c>
      <c r="AO104" s="69" t="str">
        <f aca="false">IF(OR(Tasks[[#This Row],[Task Name]]="",Tasks[[#This Row],[Baseline Work]]=""),"",Tasks[[#This Row],[Work]]-N(Tasks[[#This Row],[Baseline Work]]))</f>
        <v/>
      </c>
      <c r="AP104" s="70" t="str">
        <f aca="false">IF(OR(Tasks[[#This Row],[Task Name]]="",Tasks[[#This Row],[Baseline Cost]]=""),"",Tasks[[#This Row],[Cost]]-N(Tasks[[#This Row],[Baseline Cost]]))</f>
        <v/>
      </c>
      <c r="AQ104" s="58" t="str">
        <f aca="false">IF(Tasks[[#This Row],[Task Name]]="","",Tasks[[#This Row],[Start]])</f>
        <v/>
      </c>
      <c r="AR104" s="58" t="str">
        <f aca="false">IF(Tasks[[#This Row],[Task Name]]="","",Tasks[[#This Row],[Finish]])</f>
        <v/>
      </c>
      <c r="AS104" s="67" t="str">
        <f aca="false">IF(Tasks[[#This Row],[Task Name]]="","",IF(Tasks[[#This Row],[_IsSummary]],NETWORKDAYS.INTL(Tasks[[#This Row],[Start]],Tasks[[#This Row],[Finish]],WorkWeek,Holidays),N(Tasks[[#This Row],[Duration]])))</f>
        <v/>
      </c>
      <c r="AT104" s="69" t="str">
        <f aca="false">IF(Tasks[[#This Row],[Task Name]]="","",Tasks[[#This Row],[Work]])</f>
        <v/>
      </c>
      <c r="AU104" s="70" t="str">
        <f aca="false">IF(Tasks[[#This Row],[Task Name]]="","",Tasks[[#This Row],[Cost]])</f>
        <v/>
      </c>
      <c r="AV104" s="7"/>
      <c r="AW104" s="7"/>
      <c r="AX104" s="21"/>
      <c r="AY104" s="72"/>
      <c r="AZ104" s="71"/>
      <c r="BA104" s="70" t="str">
        <f aca="false">IF(Tasks[[#This Row],[Task Name]]="","",IF(Tasks[[#This Row],[_IsSummary]],SUM(INDEX(Tasks[_LeafEV],Tasks[[#This Row],[_Row]]+1):INDEX(Tasks[_LeafEV],Tasks[[#This Row],[_Row]]+Tasks[[#This Row],[_Descendants]])),Tasks[[#This Row],[_LeafEV]]))</f>
        <v/>
      </c>
      <c r="BB104" s="70" t="str">
        <f aca="false">IF(Tasks[[#This Row],[Task Name]]="","",IF(Tasks[[#This Row],[_IsSummary]],SUM(INDEX(Tasks[_LeafBudget],Tasks[[#This Row],[_Row]]+1):INDEX(Tasks[_LeafBudget],Tasks[[#This Row],[_Row]]+Tasks[[#This Row],[_Descendants]])),Tasks[[#This Row],[_LeafBudget]]))</f>
        <v/>
      </c>
      <c r="BC104" s="70" t="str">
        <f aca="false">IF(Tasks[[#This Row],[Task Name]]="","",IF(Tasks[[#This Row],[_IsSummary]],SUM(INDEX(Tasks[_LeafPV],Tasks[[#This Row],[_Row]]+1):INDEX(Tasks[_LeafPV],Tasks[[#This Row],[_Row]]+Tasks[[#This Row],[_Descendants]])),Tasks[[#This Row],[_LeafPV]]))</f>
        <v/>
      </c>
      <c r="BD104" s="70" t="str">
        <f aca="false">IF(Tasks[[#This Row],[Task Name]]="","",IF(Tasks[[#This Row],[_IsSummary]],SUM(INDEX(Tasks[_LeafAC],Tasks[[#This Row],[_Row]]+1):INDEX(Tasks[_LeafAC],Tasks[[#This Row],[_Row]]+Tasks[[#This Row],[_Descendants]])),Tasks[[#This Row],[_LeafAC]]))</f>
        <v/>
      </c>
      <c r="BE104" s="45" t="str">
        <f aca="false">IF(Tasks[[#This Row],[Task Name]]="","",MAX(1,N(Tasks[[#This Row],[Level]])))</f>
        <v/>
      </c>
      <c r="BF104" s="45" t="n">
        <f aca="false">ROW()-ROW(Tasks[[#Headers],[ID]])</f>
        <v>99</v>
      </c>
      <c r="BG104" s="45" t="n">
        <f aca="false">IF(OR(Tasks[[#This Row],[Task Name]]="",Tasks[[#This Row],[_Level]]&lt;=1),0,IFERROR(LOOKUP(2,1/(Tasks[[#Headers],[_Level]]:Tasks[[#This Row],[_Level]]=Tasks[[#This Row],[_Level]]-1),ROW(Tasks[[#Headers],[_Level]]:Tasks[[#This Row],[_Level]])),0))</f>
        <v>0</v>
      </c>
      <c r="BH104" s="45" t="n">
        <f aca="false">IFERROR(N(INDEX(Tasks[_Level],Tasks[[#This Row],[_Row]]+1)),0)</f>
        <v>0</v>
      </c>
      <c r="BI104" s="73" t="b">
        <f aca="false">AND(Tasks[[#This Row],[Task Name]]&lt;&gt;"",Tasks[[#This Row],[_NextLevel]]&gt;Tasks[[#This Row],[_Level]])</f>
        <v>0</v>
      </c>
      <c r="BJ104" s="45" t="n">
        <f aca="false">IF(Tasks[[#This Row],[_IsSummary]],COUNTIF(Tasks[WBS],Tasks[[#This Row],[WBS]]&amp;".*"),0)</f>
        <v>0</v>
      </c>
      <c r="BK104" s="45" t="n">
        <f aca="false">IF(AND(Tasks[[#This Row],[Task Name]]&lt;&gt;"",NOT(Tasks[[#This Row],[_IsSummary]])),1,0)</f>
        <v>0</v>
      </c>
      <c r="BL104" s="45" t="n">
        <f aca="false">IF(N(Tasks[[#This Row],[_Pred1UID]])=0,0,IFERROR(MATCH(Tasks[[#This Row],[_Pred1UID]],Tasks[UID],0),-1))</f>
        <v>0</v>
      </c>
      <c r="BM104" s="45" t="n">
        <f aca="false">IF(N(Tasks[[#This Row],[_Pred2UID]])=0,0,IFERROR(MATCH(Tasks[[#This Row],[_Pred2UID]],Tasks[UID],0),-1))</f>
        <v>0</v>
      </c>
      <c r="BN104" s="45" t="n">
        <f aca="false">IF(N(Tasks[[#This Row],[_Pred3UID]])=0,0,IFERROR(MATCH(Tasks[[#This Row],[_Pred3UID]],Tasks[UID],0),-1))</f>
        <v>0</v>
      </c>
      <c r="BO104" s="45" t="n">
        <f aca="false">IF(N(Tasks[[#This Row],[_Pred4UID]])=0,0,IFERROR(MATCH(Tasks[[#This Row],[_Pred4UID]],Tasks[UID],0),-1))</f>
        <v>0</v>
      </c>
      <c r="BP10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0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04" s="74" t="n">
        <f aca="false">IF(OR(Tasks[[#This Row],[_ConstraintCode]]=2,Tasks[[#This Row],[_ConstraintCode]]=3,Tasks[[#This Row],[_ConstraintCode]]=4,Tasks[[#This Row],[_ConstraintCode]]=6),Tasks[[#This Row],[_ConstraintStart]],0)</f>
        <v>0</v>
      </c>
      <c r="BS104" s="74" t="n">
        <f aca="false">IF(OR(Tasks[[#This Row],[_ConstraintCode]]=2,Tasks[[#This Row],[_ConstraintCode]]=3,Tasks[[#This Row],[_ConstraintCode]]=5,Tasks[[#This Row],[_ConstraintCode]]=7),Tasks[[#This Row],[_ConstraintStart]],2958465)</f>
        <v>2958465</v>
      </c>
      <c r="BT10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04" s="74" t="str">
        <f aca="false">IF(NOT(Tasks[[#This Row],[_IsLeaf]]=1),"",IF(N(Tasks[[#This Row],[Duration]])&lt;=0,Tasks[[#This Row],[_LeafCalcStart]],WORKDAY.INTL(Tasks[[#This Row],[_LeafCalcStart]],Tasks[[#This Row],[Duration]]-1,WorkWeek,Holidays)))</f>
        <v/>
      </c>
      <c r="BV10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0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04" s="45" t="str">
        <f aca="false">IF(Tasks[[#This Row],[Predecessors]]="","",TRIM(MID(SUBSTITUTE(SUBSTITUTE(SUBSTITUTE(UPPER(Tasks[[#This Row],[Predecessors]]),";",",")," ",""),",",REPT(" ",99)),1,99)))</f>
        <v/>
      </c>
      <c r="BY104" s="45" t="str">
        <f aca="false">IF(Tasks[[#This Row],[_Pred1Text]]="","",IFERROR(VALUE(LEFT(Tasks[[#This Row],[_Pred1Text]],MIN(FIND("F",Tasks[[#This Row],[_Pred1Text]]&amp;"F"),FIND("S",Tasks[[#This Row],[_Pred1Text]]&amp;"S"),FIND("+",Tasks[[#This Row],[_Pred1Text]]&amp;"+"),FIND("-",Tasks[[#This Row],[_Pred1Text]]&amp;"-"))-1)),""))</f>
        <v/>
      </c>
      <c r="BZ10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0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04" s="45" t="str">
        <f aca="false">IF(Tasks[[#This Row],[_Pred1Text]]="","",TRIM(MID(SUBSTITUTE(SUBSTITUTE(SUBSTITUTE(UPPER(Tasks[[#This Row],[Predecessors]]),";",",")," ",""),",",REPT(" ",99)),100,99)))</f>
        <v/>
      </c>
      <c r="CC104" s="45" t="str">
        <f aca="false">IF(Tasks[[#This Row],[_Pred2Text]]="","",IFERROR(VALUE(LEFT(Tasks[[#This Row],[_Pred2Text]],MIN(FIND("F",Tasks[[#This Row],[_Pred2Text]]&amp;"F"),FIND("S",Tasks[[#This Row],[_Pred2Text]]&amp;"S"),FIND("+",Tasks[[#This Row],[_Pred2Text]]&amp;"+"),FIND("-",Tasks[[#This Row],[_Pred2Text]]&amp;"-"))-1)),""))</f>
        <v/>
      </c>
      <c r="CD10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0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04" s="45" t="str">
        <f aca="false">IF(Tasks[[#This Row],[_Pred2Text]]="","",TRIM(MID(SUBSTITUTE(SUBSTITUTE(SUBSTITUTE(UPPER(Tasks[[#This Row],[Predecessors]]),";",",")," ",""),",",REPT(" ",99)),199,99)))</f>
        <v/>
      </c>
      <c r="CG104" s="45" t="str">
        <f aca="false">IF(Tasks[[#This Row],[_Pred3Text]]="","",IFERROR(VALUE(LEFT(Tasks[[#This Row],[_Pred3Text]],MIN(FIND("F",Tasks[[#This Row],[_Pred3Text]]&amp;"F"),FIND("S",Tasks[[#This Row],[_Pred3Text]]&amp;"S"),FIND("+",Tasks[[#This Row],[_Pred3Text]]&amp;"+"),FIND("-",Tasks[[#This Row],[_Pred3Text]]&amp;"-"))-1)),""))</f>
        <v/>
      </c>
      <c r="CH10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0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04" s="45" t="str">
        <f aca="false">IF(Tasks[[#This Row],[_Pred3Text]]="","",TRIM(MID(SUBSTITUTE(SUBSTITUTE(SUBSTITUTE(UPPER(Tasks[[#This Row],[Predecessors]]),";",",")," ",""),",",REPT(" ",99)),298,99)))</f>
        <v/>
      </c>
      <c r="CK104" s="45" t="str">
        <f aca="false">IF(Tasks[[#This Row],[_Pred4Text]]="","",IFERROR(VALUE(LEFT(Tasks[[#This Row],[_Pred4Text]],MIN(FIND("F",Tasks[[#This Row],[_Pred4Text]]&amp;"F"),FIND("S",Tasks[[#This Row],[_Pred4Text]]&amp;"S"),FIND("+",Tasks[[#This Row],[_Pred4Text]]&amp;"+"),FIND("-",Tasks[[#This Row],[_Pred4Text]]&amp;"-"))-1)),""))</f>
        <v/>
      </c>
      <c r="CL10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0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04" s="45" t="str">
        <f aca="false">IF(OR(Tasks[[#This Row],[Task Name]]="",Tasks[[#This Row],[Resources]]=""),"",TRIM(MID(SUBSTITUTE(Tasks[[#This Row],[Resources]],",",REPT(" ",99)),1,99)))</f>
        <v/>
      </c>
      <c r="CO104" s="45" t="str">
        <f aca="false">IF(Tasks[[#This Row],[_Res1Text]]="","",TRIM(MID(SUBSTITUTE(Tasks[[#This Row],[Resources]],",",REPT(" ",99)),100,99)))</f>
        <v/>
      </c>
      <c r="CP104" s="45" t="str">
        <f aca="false">IF(Tasks[[#This Row],[_Res2Text]]="","",TRIM(MID(SUBSTITUTE(Tasks[[#This Row],[Resources]],",",REPT(" ",99)),199,99)))</f>
        <v/>
      </c>
      <c r="CQ104" s="45" t="str">
        <f aca="false">IF(Tasks[[#This Row],[_Res3Text]]="","",TRIM(MID(SUBSTITUTE(Tasks[[#This Row],[Resources]],",",REPT(" ",99)),298,99)))</f>
        <v/>
      </c>
      <c r="CR10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0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4" s="45" t="n">
        <f aca="false">IF(NOT(Tasks[[#This Row],[_IsLeaf]]=1),0,(Tasks[[#This Row],[_Resource1]]&lt;&gt;"")+(Tasks[[#This Row],[_Res2]]&lt;&gt;"")+(Tasks[[#This Row],[_Res3]]&lt;&gt;"")+(Tasks[[#This Row],[_Res4]]&lt;&gt;""))</f>
        <v>0</v>
      </c>
      <c r="CU10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0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4" s="45" t="n">
        <f aca="false">IF(OR(NOT(Tasks[[#This Row],[_IsLeaf]]=1),Tasks[[#This Row],[_Res2]]=""),0,IF(ISNA(MATCH(Tasks[[#This Row],[_Res2]],res_Name,0)),0,N(Tasks[[#This Row],[Duration]])*HoursPerDay*IF(Tasks[[#This Row],[_Res2Units]]="",DefaultUnits,Tasks[[#This Row],[_Res2Units]])))</f>
        <v>0</v>
      </c>
      <c r="CX104" s="45" t="n">
        <f aca="false">IF(Tasks[[#This Row],[_Res2Work]]=0,0,Tasks[[#This Row],[_Res2Work]]*IFERROR(INDEX(res_Rate,MATCH(Tasks[[#This Row],[_Res2]],res_Name,0)),0))</f>
        <v>0</v>
      </c>
      <c r="CY104" s="45" t="n">
        <f aca="false">IF(AND(AND(Tasks[[#This Row],[_IsLeaf]]=1,Tasks[[#This Row],[_LeafTotalWork]]&gt;0),Tasks[[#This Row],[_Res2Work]]&gt;0),Tasks[[#This Row],[_Res2Work]]/(Tasks[[#This Row],[_FinishWorkday]]-Tasks[[#This Row],[_StartWorkday]]+1),0)</f>
        <v>0</v>
      </c>
      <c r="CZ104" s="45" t="n">
        <f aca="false">Tasks[[#This Row],[_Res2WorkPerWD]]*MAX(0,Tasks[[#This Row],[_StartWorkday]]-1)</f>
        <v>0</v>
      </c>
      <c r="DA104" s="45" t="n">
        <f aca="false">Tasks[[#This Row],[_Res2Work]]*Tasks[[#This Row],[_LeafProgress]]</f>
        <v>0</v>
      </c>
      <c r="DB104" s="45" t="n">
        <f aca="false">IF(Tasks[[#This Row],[_LeafTotalCost]]=0,0,Tasks[[#This Row],[_LeafAC]]*Tasks[[#This Row],[_Res2Cost]]/Tasks[[#This Row],[_LeafTotalCost]])</f>
        <v>0</v>
      </c>
      <c r="DC10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0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04" s="45" t="n">
        <f aca="false">IF(OR(NOT(Tasks[[#This Row],[_IsLeaf]]=1),Tasks[[#This Row],[_Res3]]=""),0,IF(ISNA(MATCH(Tasks[[#This Row],[_Res3]],res_Name,0)),0,N(Tasks[[#This Row],[Duration]])*HoursPerDay*IF(Tasks[[#This Row],[_Res3Units]]="",DefaultUnits,Tasks[[#This Row],[_Res3Units]])))</f>
        <v>0</v>
      </c>
      <c r="DF104" s="45" t="n">
        <f aca="false">IF(Tasks[[#This Row],[_Res3Work]]=0,0,Tasks[[#This Row],[_Res3Work]]*IFERROR(INDEX(res_Rate,MATCH(Tasks[[#This Row],[_Res3]],res_Name,0)),0))</f>
        <v>0</v>
      </c>
      <c r="DG104" s="45" t="n">
        <f aca="false">IF(AND(AND(Tasks[[#This Row],[_IsLeaf]]=1,Tasks[[#This Row],[_LeafTotalWork]]&gt;0),Tasks[[#This Row],[_Res3Work]]&gt;0),Tasks[[#This Row],[_Res3Work]]/(Tasks[[#This Row],[_FinishWorkday]]-Tasks[[#This Row],[_StartWorkday]]+1),0)</f>
        <v>0</v>
      </c>
      <c r="DH104" s="45" t="n">
        <f aca="false">Tasks[[#This Row],[_Res3WorkPerWD]]*MAX(0,Tasks[[#This Row],[_StartWorkday]]-1)</f>
        <v>0</v>
      </c>
      <c r="DI104" s="45" t="n">
        <f aca="false">Tasks[[#This Row],[_Res3Work]]*Tasks[[#This Row],[_LeafProgress]]</f>
        <v>0</v>
      </c>
      <c r="DJ104" s="45" t="n">
        <f aca="false">IF(Tasks[[#This Row],[_LeafTotalCost]]=0,0,Tasks[[#This Row],[_LeafAC]]*Tasks[[#This Row],[_Res3Cost]]/Tasks[[#This Row],[_LeafTotalCost]])</f>
        <v>0</v>
      </c>
      <c r="DK10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0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04" s="45" t="n">
        <f aca="false">IF(OR(NOT(Tasks[[#This Row],[_IsLeaf]]=1),Tasks[[#This Row],[_Res4]]=""),0,IF(ISNA(MATCH(Tasks[[#This Row],[_Res4]],res_Name,0)),0,N(Tasks[[#This Row],[Duration]])*HoursPerDay*IF(Tasks[[#This Row],[_Res4Units]]="",DefaultUnits,Tasks[[#This Row],[_Res4Units]])))</f>
        <v>0</v>
      </c>
      <c r="DN104" s="45" t="n">
        <f aca="false">IF(Tasks[[#This Row],[_Res4Work]]=0,0,Tasks[[#This Row],[_Res4Work]]*IFERROR(INDEX(res_Rate,MATCH(Tasks[[#This Row],[_Res4]],res_Name,0)),0))</f>
        <v>0</v>
      </c>
      <c r="DO104" s="45" t="n">
        <f aca="false">IF(AND(AND(Tasks[[#This Row],[_IsLeaf]]=1,Tasks[[#This Row],[_LeafTotalWork]]&gt;0),Tasks[[#This Row],[_Res4Work]]&gt;0),Tasks[[#This Row],[_Res4Work]]/(Tasks[[#This Row],[_FinishWorkday]]-Tasks[[#This Row],[_StartWorkday]]+1),0)</f>
        <v>0</v>
      </c>
      <c r="DP104" s="45" t="n">
        <f aca="false">Tasks[[#This Row],[_Res4WorkPerWD]]*MAX(0,Tasks[[#This Row],[_StartWorkday]]-1)</f>
        <v>0</v>
      </c>
      <c r="DQ104" s="45" t="n">
        <f aca="false">Tasks[[#This Row],[_Res4Work]]*Tasks[[#This Row],[_LeafProgress]]</f>
        <v>0</v>
      </c>
      <c r="DR104" s="45" t="n">
        <f aca="false">IF(Tasks[[#This Row],[_LeafTotalCost]]=0,0,Tasks[[#This Row],[_LeafAC]]*Tasks[[#This Row],[_Res4Cost]]/Tasks[[#This Row],[_LeafTotalCost]])</f>
        <v>0</v>
      </c>
      <c r="DS104" s="45" t="n">
        <f aca="false">IF(ISNUMBER(Tasks[[#This Row],[% Complete]]),Tasks[[#This Row],[% Complete]],IF(Tasks[[#This Row],[Stage]]="",0,IFERROR(INDEX(stg_Pct,MATCH(Tasks[[#This Row],[Stage]],stg_Name,0)),0)))</f>
        <v>0</v>
      </c>
      <c r="DT104" s="45" t="n">
        <f aca="false">IF(NOT(Tasks[[#This Row],[_IsLeaf]]=1),0,IF(N(Tasks[[#This Row],[Actual Finish]])&gt;0,1,MIN(1,Tasks[[#This Row],[_Pct]])))</f>
        <v>0</v>
      </c>
      <c r="DU104" s="45" t="n">
        <f aca="false">IF(OR(NOT(Tasks[[#This Row],[_IsLeaf]]=1),Tasks[[#This Row],[_Resource1]]=""),0,IF(ISNA(MATCH(Tasks[[#This Row],[_Resource1]],res_Name,0)),0,N(Tasks[[#This Row],[Duration]])*HoursPerDay*IF(Tasks[[#This Row],[_Units1]]="",DefaultUnits,Tasks[[#This Row],[_Units1]])))</f>
        <v>0</v>
      </c>
      <c r="DV104" s="45" t="n">
        <f aca="false">IF(Tasks[[#This Row],[_LeafWork]]=0,0,Tasks[[#This Row],[_LeafWork]]*IFERROR(INDEX(res_Rate,MATCH(Tasks[[#This Row],[_Resource1]],res_Name,0)),0))</f>
        <v>0</v>
      </c>
      <c r="DW104" s="45" t="n">
        <f aca="false">Tasks[[#This Row],[_LeafWork]]+Tasks[[#This Row],[_Res2Work]]+Tasks[[#This Row],[_Res3Work]]+Tasks[[#This Row],[_Res4Work]]</f>
        <v>0</v>
      </c>
      <c r="DX104" s="45" t="n">
        <f aca="false">Tasks[[#This Row],[_LeafCost]]+Tasks[[#This Row],[_Res2Cost]]+Tasks[[#This Row],[_Res3Cost]]+Tasks[[#This Row],[_Res4Cost]]</f>
        <v>0</v>
      </c>
      <c r="DY104" s="45" t="n">
        <f aca="false">IF(Tasks[[#This Row],[_LeafTotalCost]]=0,Tasks[[#This Row],[_LeafAC]],Tasks[[#This Row],[_LeafAC]]*Tasks[[#This Row],[_LeafCost]]/Tasks[[#This Row],[_LeafTotalCost]])</f>
        <v>0</v>
      </c>
      <c r="DZ10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0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0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0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0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0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0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0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04" s="45" t="n">
        <f aca="false">IF(NOT(Tasks[[#This Row],[_IsLeaf]]=1),0,MAX(_xlfn.MAXIFS(Tasks[_Row],Tasks[_Pred1UID],Tasks[[#This Row],[UID]]),_xlfn.MAXIFS(Tasks[_Row],Tasks[_Pred2UID],Tasks[[#This Row],[UID]]),_xlfn.MAXIFS(Tasks[_Row],Tasks[_Pred3UID],Tasks[[#This Row],[UID]]),_xlfn.MAXIFS(Tasks[_Row],Tasks[_Pred4UID],Tasks[[#This Row],[UID]])))</f>
        <v>0</v>
      </c>
      <c r="EI10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0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04" s="74" t="str">
        <f aca="false">IF(NOT(Tasks[[#This Row],[_IsLeaf]]=1),"",IF(N(Tasks[[#This Row],[Duration]])&lt;=0,Tasks[[#This Row],[_LeafLateFinish]],WORKDAY.INTL(Tasks[[#This Row],[_LeafLateFinish]],-(Tasks[[#This Row],[Duration]]-1),WorkWeek,Holidays)))</f>
        <v/>
      </c>
      <c r="EL10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04" s="73" t="b">
        <f aca="false">AND(Tasks[[#This Row],[_IsLeaf]]=1,Tasks[[#This Row],[_LeafProgress]]&lt;1,N(Tasks[[#This Row],[_LeafTotalSlack]])&lt;=CriticalSlackDays)</f>
        <v>0</v>
      </c>
      <c r="EN104" s="45" t="n">
        <f aca="false">IF(AND(Tasks[[#This Row],[_IsLeaf]]=1,Tasks[[#This Row],[_ConstraintCode]]=1,Tasks[[#This Row],[Mode]]&lt;&gt;"Manual",N(Tasks[[#This Row],[Actual Start]])=0),MAX(0,N(Tasks[[#This Row],[Free Slack]])),0)</f>
        <v>0</v>
      </c>
      <c r="EO104" s="74" t="str">
        <f aca="false">IF(NOT(Tasks[[#This Row],[_IsLeaf]]=1),"",IF(Tasks[[#This Row],[_AlapShift]]=0,Tasks[[#This Row],[_LeafCalcStart]],WORKDAY.INTL(Tasks[[#This Row],[_LeafCalcStart]],Tasks[[#This Row],[_AlapShift]],WorkWeek,Holidays)))</f>
        <v/>
      </c>
      <c r="EP104" s="74" t="str">
        <f aca="false">IF(NOT(Tasks[[#This Row],[_IsLeaf]]=1),"",IF(Tasks[[#This Row],[_AlapShift]]=0,Tasks[[#This Row],[_LeafCalcFinish]],WORKDAY.INTL(Tasks[[#This Row],[_LeafCalcFinish]],Tasks[[#This Row],[_AlapShift]],WorkWeek,Holidays)))</f>
        <v/>
      </c>
      <c r="EQ104" s="74" t="str">
        <f aca="false">IF(NOT(Tasks[[#This Row],[_IsLeaf]]=1),"",IF(Tasks[[#This Row],[_AlapShift]]=0,Tasks[[#This Row],[_LeafFcstStart]],WORKDAY.INTL(Tasks[[#This Row],[_LeafFcstStart]],Tasks[[#This Row],[_AlapShift]],WorkWeek,Holidays)))</f>
        <v/>
      </c>
      <c r="ER104" s="74" t="str">
        <f aca="false">IF(NOT(Tasks[[#This Row],[_IsLeaf]]=1),"",IF(Tasks[[#This Row],[_AlapShift]]=0,Tasks[[#This Row],[_LeafFcstFinish]],WORKDAY.INTL(Tasks[[#This Row],[_LeafFcstFinish]],Tasks[[#This Row],[_AlapShift]],WorkWeek,Holidays)))</f>
        <v/>
      </c>
      <c r="ES104" s="74" t="str">
        <f aca="false">IF(Tasks[[#This Row],[Task Name]]="","",IF(Tasks[[#This Row],[_IsSummary]],MIN(INDEX(Tasks[_ShownCalcStart],Tasks[[#This Row],[_Row]]+1):INDEX(Tasks[_ShownCalcStart],Tasks[[#This Row],[_Row]]+Tasks[[#This Row],[_Descendants]])),Tasks[[#This Row],[_ShownCalcStart]]))</f>
        <v/>
      </c>
      <c r="ET104" s="74" t="str">
        <f aca="false">IF(Tasks[[#This Row],[Task Name]]="","",IF(Tasks[[#This Row],[_IsSummary]],MAX(INDEX(Tasks[_ShownCalcFinish],Tasks[[#This Row],[_Row]]+1):INDEX(Tasks[_ShownCalcFinish],Tasks[[#This Row],[_Row]]+Tasks[[#This Row],[_Descendants]])),Tasks[[#This Row],[_ShownCalcFinish]]))</f>
        <v/>
      </c>
      <c r="EU10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0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0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0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0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0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0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0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0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0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0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0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04" s="45" t="n">
        <f aca="false">IF(AND(Tasks[[#This Row],[_IsLeaf]]=1,Tasks[[#This Row],[_LeafTotalWork]]&gt;0),NETWORKDAYS.INTL(ProjectStart,Tasks[[#This Row],[_ShownFcstStart]],WorkWeek,Holidays),0)</f>
        <v>0</v>
      </c>
      <c r="FH104" s="45" t="n">
        <f aca="false">IF(AND(Tasks[[#This Row],[_IsLeaf]]=1,Tasks[[#This Row],[_LeafTotalWork]]&gt;0),MAX(Tasks[[#This Row],[_StartWorkday]],NETWORKDAYS.INTL(ProjectStart,Tasks[[#This Row],[_ShownFcstFinish]],WorkWeek,Holidays)),0)</f>
        <v>0</v>
      </c>
      <c r="FI104" s="45" t="n">
        <f aca="false">IF(AND(Tasks[[#This Row],[_IsLeaf]]=1,Tasks[[#This Row],[_LeafTotalWork]]&gt;0),Tasks[[#This Row],[_LeafWork]]/(Tasks[[#This Row],[_FinishWorkday]]-Tasks[[#This Row],[_StartWorkday]]+1),0)</f>
        <v>0</v>
      </c>
      <c r="FJ104" s="45" t="n">
        <f aca="false">Tasks[[#This Row],[_WorkPerWorkday]]*(Tasks[[#This Row],[_StartWorkday]]-1)</f>
        <v>-0</v>
      </c>
      <c r="FK104" s="45" t="n">
        <f aca="false">IF(Tasks[[#This Row],[_IsLeaf]]=1,MAX(N(Tasks[[#This Row],[Duration]]),0.1),0)</f>
        <v>0</v>
      </c>
      <c r="FL104" s="45" t="n">
        <f aca="false">Tasks[[#This Row],[_WeightDur]]*Tasks[[#This Row],[_LeafProgress]]</f>
        <v>0</v>
      </c>
      <c r="FM10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04" s="45" t="str">
        <f aca="false">IF(AND(Tasks[[#This Row],[_IsLeaf]]=1,N(Tasks[[#This Row],[Duration]])=0,Tasks[[#This Row],[_LeafProgress]]&lt;1),Tasks[[#This Row],[_ShownFcstFinish]]+Tasks[[#This Row],[_Row]]/100000,"")</f>
        <v/>
      </c>
      <c r="FO10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04" s="45" t="n">
        <f aca="false">IF(NOT(Tasks[[#This Row],[_IsLeaf]]=1),0,IF(Tasks[[#This Row],[Baseline Cost]]="",Tasks[[#This Row],[_LeafTotalCost]],N(Tasks[[#This Row],[Baseline Cost]])))</f>
        <v>0</v>
      </c>
      <c r="FQ104" s="45" t="n">
        <f aca="false">Tasks[[#This Row],[_LeafBudget]]*Tasks[[#This Row],[_PlannedPct]]</f>
        <v>0</v>
      </c>
      <c r="FR104" s="45" t="n">
        <f aca="false">Tasks[[#This Row],[_LeafBudget]]*Tasks[[#This Row],[_LeafProgress]]</f>
        <v>0</v>
      </c>
      <c r="FS104" s="45" t="n">
        <f aca="false">IF(NOT(Tasks[[#This Row],[_IsLeaf]]=1),0,IF(Tasks[[#This Row],[Actual Cost]]="",Tasks[[#This Row],[_LeafTotalCost]]*Tasks[[#This Row],[_LeafProgress]],N(Tasks[[#This Row],[Actual Cost]])))</f>
        <v>0</v>
      </c>
      <c r="FT104" s="45" t="str">
        <f aca="false">IF(Tasks[[#This Row],[Task Name]]="","",LEFT(Tasks[[#This Row],[WBS]],FIND(".",Tasks[[#This Row],[WBS]]&amp;".")-1))</f>
        <v/>
      </c>
      <c r="FU104" s="45" t="str">
        <f aca="false">IF(AND(Tasks[[#This Row],[Task Name]]&lt;&gt;"",Tasks[[#This Row],[_Level]]=1),Tasks[[#This Row],[_Row]],"")</f>
        <v/>
      </c>
      <c r="FV104" s="45" t="str">
        <f aca="false">IF(AND(Tasks[[#This Row],[_IsLeaf]]=1,N(Tasks[[#This Row],[Duration]])=0),Tasks[[#This Row],[Planned Finish]]+Tasks[[#This Row],[_Row]]/100000,"")</f>
        <v/>
      </c>
      <c r="FW104" s="45" t="str">
        <f aca="false">IF(AND(Tasks[[#This Row],[_IsLeaf]]=1,Tasks[[#This Row],[_LeafProgress]]&lt;1,OR(N(Tasks[[#This Row],[Finish Var]])&gt;0,Tasks[[#This Row],[Status]]="Late Start")),MAX(0,Tasks[[#This Row],[Finish Var]])+1-Tasks[[#This Row],[_Row]]/1000000,"")</f>
        <v/>
      </c>
      <c r="FX104" s="45" t="str">
        <f aca="false">IF(AND(Tasks[[#This Row],[_IsLeaf]]=1,N(Tasks[[#This Row],[Actual Start]])=0,Tasks[[#This Row],[_ShownFcstStart]]&gt;=StatusDate,Tasks[[#This Row],[_ShownFcstStart]]&lt;=LookaheadEnd),Tasks[[#This Row],[_ShownFcstStart]]+Tasks[[#This Row],[_Row]]/100000,"")</f>
        <v/>
      </c>
      <c r="FY104" s="45" t="str">
        <f aca="false">IF(AND(Tasks[[#This Row],[_IsLeaf]]=1,Tasks[[#This Row],[_LeafProgress]]&lt;1,Tasks[[#This Row],[_ShownFcstFinish]]&gt;=StatusDate,Tasks[[#This Row],[_ShownFcstFinish]]&lt;=LookaheadEnd),Tasks[[#This Row],[_ShownFcstFinish]]+Tasks[[#This Row],[_Row]]/100000,"")</f>
        <v/>
      </c>
      <c r="FZ104" s="45" t="str">
        <f aca="false">IF(Tasks[[#This Row],[_LeafCritical]],Tasks[[#This Row],[_ShownFcstStart]]+Tasks[[#This Row],[_Row]]/100000,"")</f>
        <v/>
      </c>
      <c r="GA104" s="45" t="n">
        <f aca="false">Tasks[[#This Row],[_LeafWork]]*Tasks[[#This Row],[_LeafProgress]]</f>
        <v>0</v>
      </c>
      <c r="GB104" s="74" t="str">
        <f aca="false">IF(AND(Tasks[[#This Row],[_IsLeaf]]=1,Tasks[[#This Row],[_LeafProgress]]&gt;=1),IF(N(Tasks[[#This Row],[Actual Finish]])&gt;0,Tasks[[#This Row],[Actual Finish]],Tasks[[#This Row],[_ShownFcstFinish]]),"")</f>
        <v/>
      </c>
    </row>
    <row r="105" customFormat="false" ht="15" hidden="false" customHeight="false" outlineLevel="0" collapsed="false">
      <c r="A105" s="67" t="str">
        <f aca="false">IF(Tasks[[#This Row],[Task Name]]="","",COUNTA(Tasks[[#Headers],[Task Name]]:Tasks[[#This Row],[Task Name]])-1)</f>
        <v/>
      </c>
      <c r="B105" s="21" t="n">
        <v>100</v>
      </c>
      <c r="C10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21"/>
      <c r="E105" s="22"/>
      <c r="F105" s="21"/>
      <c r="G105" s="22"/>
      <c r="H105" s="22"/>
      <c r="I105" s="22"/>
      <c r="J105" s="7"/>
      <c r="K105" s="7"/>
      <c r="L105" s="22"/>
      <c r="M105" s="58" t="str">
        <f aca="false">IF(Tasks[[#This Row],[Task Name]]="","",IF(Tasks[[#This Row],[_IsSummary]],MIN(INDEX(Tasks[_ShownFcstStart],Tasks[[#This Row],[_Row]]+1):INDEX(Tasks[_ShownFcstStart],Tasks[[#This Row],[_Row]]+Tasks[[#This Row],[_Descendants]])),Tasks[[#This Row],[_ShownFcstStart]]))</f>
        <v/>
      </c>
      <c r="N105" s="58" t="str">
        <f aca="false">IF(Tasks[[#This Row],[Task Name]]="","",IF(Tasks[[#This Row],[_IsSummary]],MAX(INDEX(Tasks[_ShownFcstFinish],Tasks[[#This Row],[_Row]]+1):INDEX(Tasks[_ShownFcstFinish],Tasks[[#This Row],[_Row]]+Tasks[[#This Row],[_Descendants]])),Tasks[[#This Row],[_ShownFcstFinish]]))</f>
        <v/>
      </c>
      <c r="O105" s="20" t="str">
        <f aca="false">IF(Tasks[[#This Row],[Task Name]]="","",IF(Tasks[[#This Row],[Progress]]&gt;=1,"Complete",IF(OR(N(Tasks[[#This Row],[Actual Start]])&gt;0,Tasks[[#This Row],[Progress]]&gt;0),IF(Tasks[[#This Row],[Finish Var]]&gt;0,"Behind","In Progress"),IF(Tasks[[#This Row],[Planned Start]]&lt;StatusDate,"Late Start","Not Started"))))</f>
        <v/>
      </c>
      <c r="P105" s="20" t="str">
        <f aca="false">IF(Tasks[[#This Row],[Task Name]]="","",IF(IF(Tasks[[#This Row],[_IsSummary]],COUNTIF(INDEX(Tasks[_LeafCritical],Tasks[[#This Row],[_Row]]+1):INDEX(Tasks[_LeafCritical],Tasks[[#This Row],[_Row]]+Tasks[[#This Row],[_Descendants]]),TRUE())&gt;0,Tasks[[#This Row],[_LeafCritical]]),"Yes",""))</f>
        <v/>
      </c>
      <c r="Q10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05" s="67" t="str">
        <f aca="false">IF(Tasks[[#This Row],[Task Name]]="","",IF(Tasks[[#This Row],[_Level]]&lt;=OutlineShowLevel,"Yes","No"))</f>
        <v/>
      </c>
      <c r="S105" s="7"/>
      <c r="T105" s="21"/>
      <c r="U105" s="22"/>
      <c r="V105" s="7"/>
      <c r="W105" s="67" t="str">
        <f aca="false">IF(Tasks[[#This Row],[Task Name]]="","",IF(Tasks[[#This Row],[Finish]]&gt;=Tasks[[#This Row],[Planned Finish]],NETWORKDAYS.INTL(Tasks[[#This Row],[Planned Finish]],Tasks[[#This Row],[Finish]],WorkWeek,Holidays)-1,1-NETWORKDAYS.INTL(Tasks[[#This Row],[Finish]],Tasks[[#This Row],[Planned Finish]],WorkWeek,Holidays)))</f>
        <v/>
      </c>
      <c r="X105" s="58" t="str">
        <f aca="false">IF(Tasks[[#This Row],[Task Name]]="","",IF(N(Tasks[[#This Row],[Baseline Start]])&gt;0,Tasks[[#This Row],[Baseline Start]],Tasks[[#This Row],[_CalcStart]]))</f>
        <v/>
      </c>
      <c r="Y105" s="58" t="str">
        <f aca="false">IF(Tasks[[#This Row],[Task Name]]="","",IF(N(Tasks[[#This Row],[Baseline Finish]])&gt;0,Tasks[[#This Row],[Baseline Finish]],Tasks[[#This Row],[_CalcFinish]]))</f>
        <v/>
      </c>
      <c r="Z105" s="67" t="str">
        <f aca="false">IF(Tasks[[#This Row],[Task Name]]="","",IF(Tasks[[#This Row],[Start]]&gt;=Tasks[[#This Row],[Planned Start]],NETWORKDAYS.INTL(Tasks[[#This Row],[Planned Start]],Tasks[[#This Row],[Start]],WorkWeek,Holidays)-1,1-NETWORKDAYS.INTL(Tasks[[#This Row],[Start]],Tasks[[#This Row],[Planned Start]],WorkWeek,Holidays)))</f>
        <v/>
      </c>
      <c r="AA105" s="58" t="str">
        <f aca="false">IF(Tasks[[#This Row],[Task Name]]="","",IF(Tasks[[#This Row],[_IsSummary]],MIN(INDEX(Tasks[_LeafLateStart],Tasks[[#This Row],[_Row]]+1):INDEX(Tasks[_LeafLateStart],Tasks[[#This Row],[_Row]]+Tasks[[#This Row],[_Descendants]])),Tasks[[#This Row],[_LeafLateStart]]))</f>
        <v/>
      </c>
      <c r="AB105" s="58" t="str">
        <f aca="false">IF(Tasks[[#This Row],[Task Name]]="","",IF(Tasks[[#This Row],[_IsSummary]],MAX(INDEX(Tasks[_LeafLateFinish],Tasks[[#This Row],[_Row]]+1):INDEX(Tasks[_LeafLateFinish],Tasks[[#This Row],[_Row]]+Tasks[[#This Row],[_Descendants]])),Tasks[[#This Row],[_LeafLateFinish]]))</f>
        <v/>
      </c>
      <c r="AC105" s="67" t="str">
        <f aca="false">IF(Tasks[[#This Row],[Task Name]]="","",IF(Tasks[[#This Row],[_IsSummary]],MIN(INDEX(Tasks[_LeafTotalSlack],Tasks[[#This Row],[_Row]]+1):INDEX(Tasks[_LeafTotalSlack],Tasks[[#This Row],[_Row]]+Tasks[[#This Row],[_Descendants]])),Tasks[[#This Row],[_LeafTotalSlack]]))</f>
        <v/>
      </c>
      <c r="AD10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0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0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05" s="60"/>
      <c r="AH10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0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05" s="69" t="str">
        <f aca="false">IF(Tasks[[#This Row],[Task Name]]="","",IF(Tasks[[#This Row],[_IsSummary]],SUM(INDEX(Tasks[_LeafTotalWork],Tasks[[#This Row],[_Row]]+1):INDEX(Tasks[_LeafTotalWork],Tasks[[#This Row],[_Row]]+Tasks[[#This Row],[_Descendants]])),Tasks[[#This Row],[_LeafTotalWork]]))</f>
        <v/>
      </c>
      <c r="AK10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05" s="70" t="str">
        <f aca="false">IF(Tasks[[#This Row],[Task Name]]="","",IF(Tasks[[#This Row],[_IsSummary]],SUM(INDEX(Tasks[_LeafTotalCost],Tasks[[#This Row],[_Row]]+1):INDEX(Tasks[_LeafTotalCost],Tasks[[#This Row],[_Row]]+Tasks[[#This Row],[_Descendants]])),Tasks[[#This Row],[_LeafTotalCost]]))</f>
        <v/>
      </c>
      <c r="AM105" s="71"/>
      <c r="AN105" s="20" t="str">
        <f aca="false">IF(OR(Tasks[[#This Row],[Task Name]]="",Tasks[[#This Row],[Baseline Duration]]=""),"",Tasks[[#This Row],[BL Source Duration]]-N(Tasks[[#This Row],[Baseline Duration]]))</f>
        <v/>
      </c>
      <c r="AO105" s="69" t="str">
        <f aca="false">IF(OR(Tasks[[#This Row],[Task Name]]="",Tasks[[#This Row],[Baseline Work]]=""),"",Tasks[[#This Row],[Work]]-N(Tasks[[#This Row],[Baseline Work]]))</f>
        <v/>
      </c>
      <c r="AP105" s="70" t="str">
        <f aca="false">IF(OR(Tasks[[#This Row],[Task Name]]="",Tasks[[#This Row],[Baseline Cost]]=""),"",Tasks[[#This Row],[Cost]]-N(Tasks[[#This Row],[Baseline Cost]]))</f>
        <v/>
      </c>
      <c r="AQ105" s="58" t="str">
        <f aca="false">IF(Tasks[[#This Row],[Task Name]]="","",Tasks[[#This Row],[Start]])</f>
        <v/>
      </c>
      <c r="AR105" s="58" t="str">
        <f aca="false">IF(Tasks[[#This Row],[Task Name]]="","",Tasks[[#This Row],[Finish]])</f>
        <v/>
      </c>
      <c r="AS105" s="67" t="str">
        <f aca="false">IF(Tasks[[#This Row],[Task Name]]="","",IF(Tasks[[#This Row],[_IsSummary]],NETWORKDAYS.INTL(Tasks[[#This Row],[Start]],Tasks[[#This Row],[Finish]],WorkWeek,Holidays),N(Tasks[[#This Row],[Duration]])))</f>
        <v/>
      </c>
      <c r="AT105" s="69" t="str">
        <f aca="false">IF(Tasks[[#This Row],[Task Name]]="","",Tasks[[#This Row],[Work]])</f>
        <v/>
      </c>
      <c r="AU105" s="70" t="str">
        <f aca="false">IF(Tasks[[#This Row],[Task Name]]="","",Tasks[[#This Row],[Cost]])</f>
        <v/>
      </c>
      <c r="AV105" s="7"/>
      <c r="AW105" s="7"/>
      <c r="AX105" s="21"/>
      <c r="AY105" s="72"/>
      <c r="AZ105" s="71"/>
      <c r="BA105" s="70" t="str">
        <f aca="false">IF(Tasks[[#This Row],[Task Name]]="","",IF(Tasks[[#This Row],[_IsSummary]],SUM(INDEX(Tasks[_LeafEV],Tasks[[#This Row],[_Row]]+1):INDEX(Tasks[_LeafEV],Tasks[[#This Row],[_Row]]+Tasks[[#This Row],[_Descendants]])),Tasks[[#This Row],[_LeafEV]]))</f>
        <v/>
      </c>
      <c r="BB105" s="70" t="str">
        <f aca="false">IF(Tasks[[#This Row],[Task Name]]="","",IF(Tasks[[#This Row],[_IsSummary]],SUM(INDEX(Tasks[_LeafBudget],Tasks[[#This Row],[_Row]]+1):INDEX(Tasks[_LeafBudget],Tasks[[#This Row],[_Row]]+Tasks[[#This Row],[_Descendants]])),Tasks[[#This Row],[_LeafBudget]]))</f>
        <v/>
      </c>
      <c r="BC105" s="70" t="str">
        <f aca="false">IF(Tasks[[#This Row],[Task Name]]="","",IF(Tasks[[#This Row],[_IsSummary]],SUM(INDEX(Tasks[_LeafPV],Tasks[[#This Row],[_Row]]+1):INDEX(Tasks[_LeafPV],Tasks[[#This Row],[_Row]]+Tasks[[#This Row],[_Descendants]])),Tasks[[#This Row],[_LeafPV]]))</f>
        <v/>
      </c>
      <c r="BD105" s="70" t="str">
        <f aca="false">IF(Tasks[[#This Row],[Task Name]]="","",IF(Tasks[[#This Row],[_IsSummary]],SUM(INDEX(Tasks[_LeafAC],Tasks[[#This Row],[_Row]]+1):INDEX(Tasks[_LeafAC],Tasks[[#This Row],[_Row]]+Tasks[[#This Row],[_Descendants]])),Tasks[[#This Row],[_LeafAC]]))</f>
        <v/>
      </c>
      <c r="BE105" s="45" t="str">
        <f aca="false">IF(Tasks[[#This Row],[Task Name]]="","",MAX(1,N(Tasks[[#This Row],[Level]])))</f>
        <v/>
      </c>
      <c r="BF105" s="45" t="n">
        <f aca="false">ROW()-ROW(Tasks[[#Headers],[ID]])</f>
        <v>100</v>
      </c>
      <c r="BG105" s="45" t="n">
        <f aca="false">IF(OR(Tasks[[#This Row],[Task Name]]="",Tasks[[#This Row],[_Level]]&lt;=1),0,IFERROR(LOOKUP(2,1/(Tasks[[#Headers],[_Level]]:Tasks[[#This Row],[_Level]]=Tasks[[#This Row],[_Level]]-1),ROW(Tasks[[#Headers],[_Level]]:Tasks[[#This Row],[_Level]])),0))</f>
        <v>0</v>
      </c>
      <c r="BH105" s="45" t="n">
        <f aca="false">IFERROR(N(INDEX(Tasks[_Level],Tasks[[#This Row],[_Row]]+1)),0)</f>
        <v>0</v>
      </c>
      <c r="BI105" s="73" t="b">
        <f aca="false">AND(Tasks[[#This Row],[Task Name]]&lt;&gt;"",Tasks[[#This Row],[_NextLevel]]&gt;Tasks[[#This Row],[_Level]])</f>
        <v>0</v>
      </c>
      <c r="BJ105" s="45" t="n">
        <f aca="false">IF(Tasks[[#This Row],[_IsSummary]],COUNTIF(Tasks[WBS],Tasks[[#This Row],[WBS]]&amp;".*"),0)</f>
        <v>0</v>
      </c>
      <c r="BK105" s="45" t="n">
        <f aca="false">IF(AND(Tasks[[#This Row],[Task Name]]&lt;&gt;"",NOT(Tasks[[#This Row],[_IsSummary]])),1,0)</f>
        <v>0</v>
      </c>
      <c r="BL105" s="45" t="n">
        <f aca="false">IF(N(Tasks[[#This Row],[_Pred1UID]])=0,0,IFERROR(MATCH(Tasks[[#This Row],[_Pred1UID]],Tasks[UID],0),-1))</f>
        <v>0</v>
      </c>
      <c r="BM105" s="45" t="n">
        <f aca="false">IF(N(Tasks[[#This Row],[_Pred2UID]])=0,0,IFERROR(MATCH(Tasks[[#This Row],[_Pred2UID]],Tasks[UID],0),-1))</f>
        <v>0</v>
      </c>
      <c r="BN105" s="45" t="n">
        <f aca="false">IF(N(Tasks[[#This Row],[_Pred3UID]])=0,0,IFERROR(MATCH(Tasks[[#This Row],[_Pred3UID]],Tasks[UID],0),-1))</f>
        <v>0</v>
      </c>
      <c r="BO105" s="45" t="n">
        <f aca="false">IF(N(Tasks[[#This Row],[_Pred4UID]])=0,0,IFERROR(MATCH(Tasks[[#This Row],[_Pred4UID]],Tasks[UID],0),-1))</f>
        <v>0</v>
      </c>
      <c r="BP10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0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05" s="74" t="n">
        <f aca="false">IF(OR(Tasks[[#This Row],[_ConstraintCode]]=2,Tasks[[#This Row],[_ConstraintCode]]=3,Tasks[[#This Row],[_ConstraintCode]]=4,Tasks[[#This Row],[_ConstraintCode]]=6),Tasks[[#This Row],[_ConstraintStart]],0)</f>
        <v>0</v>
      </c>
      <c r="BS105" s="74" t="n">
        <f aca="false">IF(OR(Tasks[[#This Row],[_ConstraintCode]]=2,Tasks[[#This Row],[_ConstraintCode]]=3,Tasks[[#This Row],[_ConstraintCode]]=5,Tasks[[#This Row],[_ConstraintCode]]=7),Tasks[[#This Row],[_ConstraintStart]],2958465)</f>
        <v>2958465</v>
      </c>
      <c r="BT10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05" s="74" t="str">
        <f aca="false">IF(NOT(Tasks[[#This Row],[_IsLeaf]]=1),"",IF(N(Tasks[[#This Row],[Duration]])&lt;=0,Tasks[[#This Row],[_LeafCalcStart]],WORKDAY.INTL(Tasks[[#This Row],[_LeafCalcStart]],Tasks[[#This Row],[Duration]]-1,WorkWeek,Holidays)))</f>
        <v/>
      </c>
      <c r="BV10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0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05" s="45" t="str">
        <f aca="false">IF(Tasks[[#This Row],[Predecessors]]="","",TRIM(MID(SUBSTITUTE(SUBSTITUTE(SUBSTITUTE(UPPER(Tasks[[#This Row],[Predecessors]]),";",",")," ",""),",",REPT(" ",99)),1,99)))</f>
        <v/>
      </c>
      <c r="BY105" s="45" t="str">
        <f aca="false">IF(Tasks[[#This Row],[_Pred1Text]]="","",IFERROR(VALUE(LEFT(Tasks[[#This Row],[_Pred1Text]],MIN(FIND("F",Tasks[[#This Row],[_Pred1Text]]&amp;"F"),FIND("S",Tasks[[#This Row],[_Pred1Text]]&amp;"S"),FIND("+",Tasks[[#This Row],[_Pred1Text]]&amp;"+"),FIND("-",Tasks[[#This Row],[_Pred1Text]]&amp;"-"))-1)),""))</f>
        <v/>
      </c>
      <c r="BZ10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0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05" s="45" t="str">
        <f aca="false">IF(Tasks[[#This Row],[_Pred1Text]]="","",TRIM(MID(SUBSTITUTE(SUBSTITUTE(SUBSTITUTE(UPPER(Tasks[[#This Row],[Predecessors]]),";",",")," ",""),",",REPT(" ",99)),100,99)))</f>
        <v/>
      </c>
      <c r="CC105" s="45" t="str">
        <f aca="false">IF(Tasks[[#This Row],[_Pred2Text]]="","",IFERROR(VALUE(LEFT(Tasks[[#This Row],[_Pred2Text]],MIN(FIND("F",Tasks[[#This Row],[_Pred2Text]]&amp;"F"),FIND("S",Tasks[[#This Row],[_Pred2Text]]&amp;"S"),FIND("+",Tasks[[#This Row],[_Pred2Text]]&amp;"+"),FIND("-",Tasks[[#This Row],[_Pred2Text]]&amp;"-"))-1)),""))</f>
        <v/>
      </c>
      <c r="CD10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0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05" s="45" t="str">
        <f aca="false">IF(Tasks[[#This Row],[_Pred2Text]]="","",TRIM(MID(SUBSTITUTE(SUBSTITUTE(SUBSTITUTE(UPPER(Tasks[[#This Row],[Predecessors]]),";",",")," ",""),",",REPT(" ",99)),199,99)))</f>
        <v/>
      </c>
      <c r="CG105" s="45" t="str">
        <f aca="false">IF(Tasks[[#This Row],[_Pred3Text]]="","",IFERROR(VALUE(LEFT(Tasks[[#This Row],[_Pred3Text]],MIN(FIND("F",Tasks[[#This Row],[_Pred3Text]]&amp;"F"),FIND("S",Tasks[[#This Row],[_Pred3Text]]&amp;"S"),FIND("+",Tasks[[#This Row],[_Pred3Text]]&amp;"+"),FIND("-",Tasks[[#This Row],[_Pred3Text]]&amp;"-"))-1)),""))</f>
        <v/>
      </c>
      <c r="CH10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0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05" s="45" t="str">
        <f aca="false">IF(Tasks[[#This Row],[_Pred3Text]]="","",TRIM(MID(SUBSTITUTE(SUBSTITUTE(SUBSTITUTE(UPPER(Tasks[[#This Row],[Predecessors]]),";",",")," ",""),",",REPT(" ",99)),298,99)))</f>
        <v/>
      </c>
      <c r="CK105" s="45" t="str">
        <f aca="false">IF(Tasks[[#This Row],[_Pred4Text]]="","",IFERROR(VALUE(LEFT(Tasks[[#This Row],[_Pred4Text]],MIN(FIND("F",Tasks[[#This Row],[_Pred4Text]]&amp;"F"),FIND("S",Tasks[[#This Row],[_Pred4Text]]&amp;"S"),FIND("+",Tasks[[#This Row],[_Pred4Text]]&amp;"+"),FIND("-",Tasks[[#This Row],[_Pred4Text]]&amp;"-"))-1)),""))</f>
        <v/>
      </c>
      <c r="CL10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0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05" s="45" t="str">
        <f aca="false">IF(OR(Tasks[[#This Row],[Task Name]]="",Tasks[[#This Row],[Resources]]=""),"",TRIM(MID(SUBSTITUTE(Tasks[[#This Row],[Resources]],",",REPT(" ",99)),1,99)))</f>
        <v/>
      </c>
      <c r="CO105" s="45" t="str">
        <f aca="false">IF(Tasks[[#This Row],[_Res1Text]]="","",TRIM(MID(SUBSTITUTE(Tasks[[#This Row],[Resources]],",",REPT(" ",99)),100,99)))</f>
        <v/>
      </c>
      <c r="CP105" s="45" t="str">
        <f aca="false">IF(Tasks[[#This Row],[_Res2Text]]="","",TRIM(MID(SUBSTITUTE(Tasks[[#This Row],[Resources]],",",REPT(" ",99)),199,99)))</f>
        <v/>
      </c>
      <c r="CQ105" s="45" t="str">
        <f aca="false">IF(Tasks[[#This Row],[_Res3Text]]="","",TRIM(MID(SUBSTITUTE(Tasks[[#This Row],[Resources]],",",REPT(" ",99)),298,99)))</f>
        <v/>
      </c>
      <c r="CR10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0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5" s="45" t="n">
        <f aca="false">IF(NOT(Tasks[[#This Row],[_IsLeaf]]=1),0,(Tasks[[#This Row],[_Resource1]]&lt;&gt;"")+(Tasks[[#This Row],[_Res2]]&lt;&gt;"")+(Tasks[[#This Row],[_Res3]]&lt;&gt;"")+(Tasks[[#This Row],[_Res4]]&lt;&gt;""))</f>
        <v>0</v>
      </c>
      <c r="CU10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0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5" s="45" t="n">
        <f aca="false">IF(OR(NOT(Tasks[[#This Row],[_IsLeaf]]=1),Tasks[[#This Row],[_Res2]]=""),0,IF(ISNA(MATCH(Tasks[[#This Row],[_Res2]],res_Name,0)),0,N(Tasks[[#This Row],[Duration]])*HoursPerDay*IF(Tasks[[#This Row],[_Res2Units]]="",DefaultUnits,Tasks[[#This Row],[_Res2Units]])))</f>
        <v>0</v>
      </c>
      <c r="CX105" s="45" t="n">
        <f aca="false">IF(Tasks[[#This Row],[_Res2Work]]=0,0,Tasks[[#This Row],[_Res2Work]]*IFERROR(INDEX(res_Rate,MATCH(Tasks[[#This Row],[_Res2]],res_Name,0)),0))</f>
        <v>0</v>
      </c>
      <c r="CY105" s="45" t="n">
        <f aca="false">IF(AND(AND(Tasks[[#This Row],[_IsLeaf]]=1,Tasks[[#This Row],[_LeafTotalWork]]&gt;0),Tasks[[#This Row],[_Res2Work]]&gt;0),Tasks[[#This Row],[_Res2Work]]/(Tasks[[#This Row],[_FinishWorkday]]-Tasks[[#This Row],[_StartWorkday]]+1),0)</f>
        <v>0</v>
      </c>
      <c r="CZ105" s="45" t="n">
        <f aca="false">Tasks[[#This Row],[_Res2WorkPerWD]]*MAX(0,Tasks[[#This Row],[_StartWorkday]]-1)</f>
        <v>0</v>
      </c>
      <c r="DA105" s="45" t="n">
        <f aca="false">Tasks[[#This Row],[_Res2Work]]*Tasks[[#This Row],[_LeafProgress]]</f>
        <v>0</v>
      </c>
      <c r="DB105" s="45" t="n">
        <f aca="false">IF(Tasks[[#This Row],[_LeafTotalCost]]=0,0,Tasks[[#This Row],[_LeafAC]]*Tasks[[#This Row],[_Res2Cost]]/Tasks[[#This Row],[_LeafTotalCost]])</f>
        <v>0</v>
      </c>
      <c r="DC10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0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05" s="45" t="n">
        <f aca="false">IF(OR(NOT(Tasks[[#This Row],[_IsLeaf]]=1),Tasks[[#This Row],[_Res3]]=""),0,IF(ISNA(MATCH(Tasks[[#This Row],[_Res3]],res_Name,0)),0,N(Tasks[[#This Row],[Duration]])*HoursPerDay*IF(Tasks[[#This Row],[_Res3Units]]="",DefaultUnits,Tasks[[#This Row],[_Res3Units]])))</f>
        <v>0</v>
      </c>
      <c r="DF105" s="45" t="n">
        <f aca="false">IF(Tasks[[#This Row],[_Res3Work]]=0,0,Tasks[[#This Row],[_Res3Work]]*IFERROR(INDEX(res_Rate,MATCH(Tasks[[#This Row],[_Res3]],res_Name,0)),0))</f>
        <v>0</v>
      </c>
      <c r="DG105" s="45" t="n">
        <f aca="false">IF(AND(AND(Tasks[[#This Row],[_IsLeaf]]=1,Tasks[[#This Row],[_LeafTotalWork]]&gt;0),Tasks[[#This Row],[_Res3Work]]&gt;0),Tasks[[#This Row],[_Res3Work]]/(Tasks[[#This Row],[_FinishWorkday]]-Tasks[[#This Row],[_StartWorkday]]+1),0)</f>
        <v>0</v>
      </c>
      <c r="DH105" s="45" t="n">
        <f aca="false">Tasks[[#This Row],[_Res3WorkPerWD]]*MAX(0,Tasks[[#This Row],[_StartWorkday]]-1)</f>
        <v>0</v>
      </c>
      <c r="DI105" s="45" t="n">
        <f aca="false">Tasks[[#This Row],[_Res3Work]]*Tasks[[#This Row],[_LeafProgress]]</f>
        <v>0</v>
      </c>
      <c r="DJ105" s="45" t="n">
        <f aca="false">IF(Tasks[[#This Row],[_LeafTotalCost]]=0,0,Tasks[[#This Row],[_LeafAC]]*Tasks[[#This Row],[_Res3Cost]]/Tasks[[#This Row],[_LeafTotalCost]])</f>
        <v>0</v>
      </c>
      <c r="DK10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0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05" s="45" t="n">
        <f aca="false">IF(OR(NOT(Tasks[[#This Row],[_IsLeaf]]=1),Tasks[[#This Row],[_Res4]]=""),0,IF(ISNA(MATCH(Tasks[[#This Row],[_Res4]],res_Name,0)),0,N(Tasks[[#This Row],[Duration]])*HoursPerDay*IF(Tasks[[#This Row],[_Res4Units]]="",DefaultUnits,Tasks[[#This Row],[_Res4Units]])))</f>
        <v>0</v>
      </c>
      <c r="DN105" s="45" t="n">
        <f aca="false">IF(Tasks[[#This Row],[_Res4Work]]=0,0,Tasks[[#This Row],[_Res4Work]]*IFERROR(INDEX(res_Rate,MATCH(Tasks[[#This Row],[_Res4]],res_Name,0)),0))</f>
        <v>0</v>
      </c>
      <c r="DO105" s="45" t="n">
        <f aca="false">IF(AND(AND(Tasks[[#This Row],[_IsLeaf]]=1,Tasks[[#This Row],[_LeafTotalWork]]&gt;0),Tasks[[#This Row],[_Res4Work]]&gt;0),Tasks[[#This Row],[_Res4Work]]/(Tasks[[#This Row],[_FinishWorkday]]-Tasks[[#This Row],[_StartWorkday]]+1),0)</f>
        <v>0</v>
      </c>
      <c r="DP105" s="45" t="n">
        <f aca="false">Tasks[[#This Row],[_Res4WorkPerWD]]*MAX(0,Tasks[[#This Row],[_StartWorkday]]-1)</f>
        <v>0</v>
      </c>
      <c r="DQ105" s="45" t="n">
        <f aca="false">Tasks[[#This Row],[_Res4Work]]*Tasks[[#This Row],[_LeafProgress]]</f>
        <v>0</v>
      </c>
      <c r="DR105" s="45" t="n">
        <f aca="false">IF(Tasks[[#This Row],[_LeafTotalCost]]=0,0,Tasks[[#This Row],[_LeafAC]]*Tasks[[#This Row],[_Res4Cost]]/Tasks[[#This Row],[_LeafTotalCost]])</f>
        <v>0</v>
      </c>
      <c r="DS105" s="45" t="n">
        <f aca="false">IF(ISNUMBER(Tasks[[#This Row],[% Complete]]),Tasks[[#This Row],[% Complete]],IF(Tasks[[#This Row],[Stage]]="",0,IFERROR(INDEX(stg_Pct,MATCH(Tasks[[#This Row],[Stage]],stg_Name,0)),0)))</f>
        <v>0</v>
      </c>
      <c r="DT105" s="45" t="n">
        <f aca="false">IF(NOT(Tasks[[#This Row],[_IsLeaf]]=1),0,IF(N(Tasks[[#This Row],[Actual Finish]])&gt;0,1,MIN(1,Tasks[[#This Row],[_Pct]])))</f>
        <v>0</v>
      </c>
      <c r="DU105" s="45" t="n">
        <f aca="false">IF(OR(NOT(Tasks[[#This Row],[_IsLeaf]]=1),Tasks[[#This Row],[_Resource1]]=""),0,IF(ISNA(MATCH(Tasks[[#This Row],[_Resource1]],res_Name,0)),0,N(Tasks[[#This Row],[Duration]])*HoursPerDay*IF(Tasks[[#This Row],[_Units1]]="",DefaultUnits,Tasks[[#This Row],[_Units1]])))</f>
        <v>0</v>
      </c>
      <c r="DV105" s="45" t="n">
        <f aca="false">IF(Tasks[[#This Row],[_LeafWork]]=0,0,Tasks[[#This Row],[_LeafWork]]*IFERROR(INDEX(res_Rate,MATCH(Tasks[[#This Row],[_Resource1]],res_Name,0)),0))</f>
        <v>0</v>
      </c>
      <c r="DW105" s="45" t="n">
        <f aca="false">Tasks[[#This Row],[_LeafWork]]+Tasks[[#This Row],[_Res2Work]]+Tasks[[#This Row],[_Res3Work]]+Tasks[[#This Row],[_Res4Work]]</f>
        <v>0</v>
      </c>
      <c r="DX105" s="45" t="n">
        <f aca="false">Tasks[[#This Row],[_LeafCost]]+Tasks[[#This Row],[_Res2Cost]]+Tasks[[#This Row],[_Res3Cost]]+Tasks[[#This Row],[_Res4Cost]]</f>
        <v>0</v>
      </c>
      <c r="DY105" s="45" t="n">
        <f aca="false">IF(Tasks[[#This Row],[_LeafTotalCost]]=0,Tasks[[#This Row],[_LeafAC]],Tasks[[#This Row],[_LeafAC]]*Tasks[[#This Row],[_LeafCost]]/Tasks[[#This Row],[_LeafTotalCost]])</f>
        <v>0</v>
      </c>
      <c r="DZ10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0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0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0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0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0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0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0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05" s="45" t="n">
        <f aca="false">IF(NOT(Tasks[[#This Row],[_IsLeaf]]=1),0,MAX(_xlfn.MAXIFS(Tasks[_Row],Tasks[_Pred1UID],Tasks[[#This Row],[UID]]),_xlfn.MAXIFS(Tasks[_Row],Tasks[_Pred2UID],Tasks[[#This Row],[UID]]),_xlfn.MAXIFS(Tasks[_Row],Tasks[_Pred3UID],Tasks[[#This Row],[UID]]),_xlfn.MAXIFS(Tasks[_Row],Tasks[_Pred4UID],Tasks[[#This Row],[UID]])))</f>
        <v>0</v>
      </c>
      <c r="EI10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0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05" s="74" t="str">
        <f aca="false">IF(NOT(Tasks[[#This Row],[_IsLeaf]]=1),"",IF(N(Tasks[[#This Row],[Duration]])&lt;=0,Tasks[[#This Row],[_LeafLateFinish]],WORKDAY.INTL(Tasks[[#This Row],[_LeafLateFinish]],-(Tasks[[#This Row],[Duration]]-1),WorkWeek,Holidays)))</f>
        <v/>
      </c>
      <c r="EL10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05" s="73" t="b">
        <f aca="false">AND(Tasks[[#This Row],[_IsLeaf]]=1,Tasks[[#This Row],[_LeafProgress]]&lt;1,N(Tasks[[#This Row],[_LeafTotalSlack]])&lt;=CriticalSlackDays)</f>
        <v>0</v>
      </c>
      <c r="EN105" s="45" t="n">
        <f aca="false">IF(AND(Tasks[[#This Row],[_IsLeaf]]=1,Tasks[[#This Row],[_ConstraintCode]]=1,Tasks[[#This Row],[Mode]]&lt;&gt;"Manual",N(Tasks[[#This Row],[Actual Start]])=0),MAX(0,N(Tasks[[#This Row],[Free Slack]])),0)</f>
        <v>0</v>
      </c>
      <c r="EO105" s="74" t="str">
        <f aca="false">IF(NOT(Tasks[[#This Row],[_IsLeaf]]=1),"",IF(Tasks[[#This Row],[_AlapShift]]=0,Tasks[[#This Row],[_LeafCalcStart]],WORKDAY.INTL(Tasks[[#This Row],[_LeafCalcStart]],Tasks[[#This Row],[_AlapShift]],WorkWeek,Holidays)))</f>
        <v/>
      </c>
      <c r="EP105" s="74" t="str">
        <f aca="false">IF(NOT(Tasks[[#This Row],[_IsLeaf]]=1),"",IF(Tasks[[#This Row],[_AlapShift]]=0,Tasks[[#This Row],[_LeafCalcFinish]],WORKDAY.INTL(Tasks[[#This Row],[_LeafCalcFinish]],Tasks[[#This Row],[_AlapShift]],WorkWeek,Holidays)))</f>
        <v/>
      </c>
      <c r="EQ105" s="74" t="str">
        <f aca="false">IF(NOT(Tasks[[#This Row],[_IsLeaf]]=1),"",IF(Tasks[[#This Row],[_AlapShift]]=0,Tasks[[#This Row],[_LeafFcstStart]],WORKDAY.INTL(Tasks[[#This Row],[_LeafFcstStart]],Tasks[[#This Row],[_AlapShift]],WorkWeek,Holidays)))</f>
        <v/>
      </c>
      <c r="ER105" s="74" t="str">
        <f aca="false">IF(NOT(Tasks[[#This Row],[_IsLeaf]]=1),"",IF(Tasks[[#This Row],[_AlapShift]]=0,Tasks[[#This Row],[_LeafFcstFinish]],WORKDAY.INTL(Tasks[[#This Row],[_LeafFcstFinish]],Tasks[[#This Row],[_AlapShift]],WorkWeek,Holidays)))</f>
        <v/>
      </c>
      <c r="ES105" s="74" t="str">
        <f aca="false">IF(Tasks[[#This Row],[Task Name]]="","",IF(Tasks[[#This Row],[_IsSummary]],MIN(INDEX(Tasks[_ShownCalcStart],Tasks[[#This Row],[_Row]]+1):INDEX(Tasks[_ShownCalcStart],Tasks[[#This Row],[_Row]]+Tasks[[#This Row],[_Descendants]])),Tasks[[#This Row],[_ShownCalcStart]]))</f>
        <v/>
      </c>
      <c r="ET105" s="74" t="str">
        <f aca="false">IF(Tasks[[#This Row],[Task Name]]="","",IF(Tasks[[#This Row],[_IsSummary]],MAX(INDEX(Tasks[_ShownCalcFinish],Tasks[[#This Row],[_Row]]+1):INDEX(Tasks[_ShownCalcFinish],Tasks[[#This Row],[_Row]]+Tasks[[#This Row],[_Descendants]])),Tasks[[#This Row],[_ShownCalcFinish]]))</f>
        <v/>
      </c>
      <c r="EU10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0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0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0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0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0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0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0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0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0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0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0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05" s="45" t="n">
        <f aca="false">IF(AND(Tasks[[#This Row],[_IsLeaf]]=1,Tasks[[#This Row],[_LeafTotalWork]]&gt;0),NETWORKDAYS.INTL(ProjectStart,Tasks[[#This Row],[_ShownFcstStart]],WorkWeek,Holidays),0)</f>
        <v>0</v>
      </c>
      <c r="FH105" s="45" t="n">
        <f aca="false">IF(AND(Tasks[[#This Row],[_IsLeaf]]=1,Tasks[[#This Row],[_LeafTotalWork]]&gt;0),MAX(Tasks[[#This Row],[_StartWorkday]],NETWORKDAYS.INTL(ProjectStart,Tasks[[#This Row],[_ShownFcstFinish]],WorkWeek,Holidays)),0)</f>
        <v>0</v>
      </c>
      <c r="FI105" s="45" t="n">
        <f aca="false">IF(AND(Tasks[[#This Row],[_IsLeaf]]=1,Tasks[[#This Row],[_LeafTotalWork]]&gt;0),Tasks[[#This Row],[_LeafWork]]/(Tasks[[#This Row],[_FinishWorkday]]-Tasks[[#This Row],[_StartWorkday]]+1),0)</f>
        <v>0</v>
      </c>
      <c r="FJ105" s="45" t="n">
        <f aca="false">Tasks[[#This Row],[_WorkPerWorkday]]*(Tasks[[#This Row],[_StartWorkday]]-1)</f>
        <v>-0</v>
      </c>
      <c r="FK105" s="45" t="n">
        <f aca="false">IF(Tasks[[#This Row],[_IsLeaf]]=1,MAX(N(Tasks[[#This Row],[Duration]]),0.1),0)</f>
        <v>0</v>
      </c>
      <c r="FL105" s="45" t="n">
        <f aca="false">Tasks[[#This Row],[_WeightDur]]*Tasks[[#This Row],[_LeafProgress]]</f>
        <v>0</v>
      </c>
      <c r="FM10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05" s="45" t="str">
        <f aca="false">IF(AND(Tasks[[#This Row],[_IsLeaf]]=1,N(Tasks[[#This Row],[Duration]])=0,Tasks[[#This Row],[_LeafProgress]]&lt;1),Tasks[[#This Row],[_ShownFcstFinish]]+Tasks[[#This Row],[_Row]]/100000,"")</f>
        <v/>
      </c>
      <c r="FO10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05" s="45" t="n">
        <f aca="false">IF(NOT(Tasks[[#This Row],[_IsLeaf]]=1),0,IF(Tasks[[#This Row],[Baseline Cost]]="",Tasks[[#This Row],[_LeafTotalCost]],N(Tasks[[#This Row],[Baseline Cost]])))</f>
        <v>0</v>
      </c>
      <c r="FQ105" s="45" t="n">
        <f aca="false">Tasks[[#This Row],[_LeafBudget]]*Tasks[[#This Row],[_PlannedPct]]</f>
        <v>0</v>
      </c>
      <c r="FR105" s="45" t="n">
        <f aca="false">Tasks[[#This Row],[_LeafBudget]]*Tasks[[#This Row],[_LeafProgress]]</f>
        <v>0</v>
      </c>
      <c r="FS105" s="45" t="n">
        <f aca="false">IF(NOT(Tasks[[#This Row],[_IsLeaf]]=1),0,IF(Tasks[[#This Row],[Actual Cost]]="",Tasks[[#This Row],[_LeafTotalCost]]*Tasks[[#This Row],[_LeafProgress]],N(Tasks[[#This Row],[Actual Cost]])))</f>
        <v>0</v>
      </c>
      <c r="FT105" s="45" t="str">
        <f aca="false">IF(Tasks[[#This Row],[Task Name]]="","",LEFT(Tasks[[#This Row],[WBS]],FIND(".",Tasks[[#This Row],[WBS]]&amp;".")-1))</f>
        <v/>
      </c>
      <c r="FU105" s="45" t="str">
        <f aca="false">IF(AND(Tasks[[#This Row],[Task Name]]&lt;&gt;"",Tasks[[#This Row],[_Level]]=1),Tasks[[#This Row],[_Row]],"")</f>
        <v/>
      </c>
      <c r="FV105" s="45" t="str">
        <f aca="false">IF(AND(Tasks[[#This Row],[_IsLeaf]]=1,N(Tasks[[#This Row],[Duration]])=0),Tasks[[#This Row],[Planned Finish]]+Tasks[[#This Row],[_Row]]/100000,"")</f>
        <v/>
      </c>
      <c r="FW105" s="45" t="str">
        <f aca="false">IF(AND(Tasks[[#This Row],[_IsLeaf]]=1,Tasks[[#This Row],[_LeafProgress]]&lt;1,OR(N(Tasks[[#This Row],[Finish Var]])&gt;0,Tasks[[#This Row],[Status]]="Late Start")),MAX(0,Tasks[[#This Row],[Finish Var]])+1-Tasks[[#This Row],[_Row]]/1000000,"")</f>
        <v/>
      </c>
      <c r="FX105" s="45" t="str">
        <f aca="false">IF(AND(Tasks[[#This Row],[_IsLeaf]]=1,N(Tasks[[#This Row],[Actual Start]])=0,Tasks[[#This Row],[_ShownFcstStart]]&gt;=StatusDate,Tasks[[#This Row],[_ShownFcstStart]]&lt;=LookaheadEnd),Tasks[[#This Row],[_ShownFcstStart]]+Tasks[[#This Row],[_Row]]/100000,"")</f>
        <v/>
      </c>
      <c r="FY105" s="45" t="str">
        <f aca="false">IF(AND(Tasks[[#This Row],[_IsLeaf]]=1,Tasks[[#This Row],[_LeafProgress]]&lt;1,Tasks[[#This Row],[_ShownFcstFinish]]&gt;=StatusDate,Tasks[[#This Row],[_ShownFcstFinish]]&lt;=LookaheadEnd),Tasks[[#This Row],[_ShownFcstFinish]]+Tasks[[#This Row],[_Row]]/100000,"")</f>
        <v/>
      </c>
      <c r="FZ105" s="45" t="str">
        <f aca="false">IF(Tasks[[#This Row],[_LeafCritical]],Tasks[[#This Row],[_ShownFcstStart]]+Tasks[[#This Row],[_Row]]/100000,"")</f>
        <v/>
      </c>
      <c r="GA105" s="45" t="n">
        <f aca="false">Tasks[[#This Row],[_LeafWork]]*Tasks[[#This Row],[_LeafProgress]]</f>
        <v>0</v>
      </c>
      <c r="GB105" s="74" t="str">
        <f aca="false">IF(AND(Tasks[[#This Row],[_IsLeaf]]=1,Tasks[[#This Row],[_LeafProgress]]&gt;=1),IF(N(Tasks[[#This Row],[Actual Finish]])&gt;0,Tasks[[#This Row],[Actual Finish]],Tasks[[#This Row],[_ShownFcstFinish]]),"")</f>
        <v/>
      </c>
    </row>
    <row r="106" customFormat="false" ht="15" hidden="false" customHeight="false" outlineLevel="0" collapsed="false">
      <c r="A106" s="67" t="str">
        <f aca="false">IF(Tasks[[#This Row],[Task Name]]="","",COUNTA(Tasks[[#Headers],[Task Name]]:Tasks[[#This Row],[Task Name]])-1)</f>
        <v/>
      </c>
      <c r="B106" s="21" t="n">
        <v>101</v>
      </c>
      <c r="C10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21"/>
      <c r="E106" s="22"/>
      <c r="F106" s="21"/>
      <c r="G106" s="22"/>
      <c r="H106" s="22"/>
      <c r="I106" s="22"/>
      <c r="J106" s="7"/>
      <c r="K106" s="7"/>
      <c r="L106" s="22"/>
      <c r="M106" s="58" t="str">
        <f aca="false">IF(Tasks[[#This Row],[Task Name]]="","",IF(Tasks[[#This Row],[_IsSummary]],MIN(INDEX(Tasks[_ShownFcstStart],Tasks[[#This Row],[_Row]]+1):INDEX(Tasks[_ShownFcstStart],Tasks[[#This Row],[_Row]]+Tasks[[#This Row],[_Descendants]])),Tasks[[#This Row],[_ShownFcstStart]]))</f>
        <v/>
      </c>
      <c r="N106" s="58" t="str">
        <f aca="false">IF(Tasks[[#This Row],[Task Name]]="","",IF(Tasks[[#This Row],[_IsSummary]],MAX(INDEX(Tasks[_ShownFcstFinish],Tasks[[#This Row],[_Row]]+1):INDEX(Tasks[_ShownFcstFinish],Tasks[[#This Row],[_Row]]+Tasks[[#This Row],[_Descendants]])),Tasks[[#This Row],[_ShownFcstFinish]]))</f>
        <v/>
      </c>
      <c r="O106" s="20" t="str">
        <f aca="false">IF(Tasks[[#This Row],[Task Name]]="","",IF(Tasks[[#This Row],[Progress]]&gt;=1,"Complete",IF(OR(N(Tasks[[#This Row],[Actual Start]])&gt;0,Tasks[[#This Row],[Progress]]&gt;0),IF(Tasks[[#This Row],[Finish Var]]&gt;0,"Behind","In Progress"),IF(Tasks[[#This Row],[Planned Start]]&lt;StatusDate,"Late Start","Not Started"))))</f>
        <v/>
      </c>
      <c r="P106" s="20" t="str">
        <f aca="false">IF(Tasks[[#This Row],[Task Name]]="","",IF(IF(Tasks[[#This Row],[_IsSummary]],COUNTIF(INDEX(Tasks[_LeafCritical],Tasks[[#This Row],[_Row]]+1):INDEX(Tasks[_LeafCritical],Tasks[[#This Row],[_Row]]+Tasks[[#This Row],[_Descendants]]),TRUE())&gt;0,Tasks[[#This Row],[_LeafCritical]]),"Yes",""))</f>
        <v/>
      </c>
      <c r="Q10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06" s="67" t="str">
        <f aca="false">IF(Tasks[[#This Row],[Task Name]]="","",IF(Tasks[[#This Row],[_Level]]&lt;=OutlineShowLevel,"Yes","No"))</f>
        <v/>
      </c>
      <c r="S106" s="7"/>
      <c r="T106" s="21"/>
      <c r="U106" s="22"/>
      <c r="V106" s="7"/>
      <c r="W106" s="67" t="str">
        <f aca="false">IF(Tasks[[#This Row],[Task Name]]="","",IF(Tasks[[#This Row],[Finish]]&gt;=Tasks[[#This Row],[Planned Finish]],NETWORKDAYS.INTL(Tasks[[#This Row],[Planned Finish]],Tasks[[#This Row],[Finish]],WorkWeek,Holidays)-1,1-NETWORKDAYS.INTL(Tasks[[#This Row],[Finish]],Tasks[[#This Row],[Planned Finish]],WorkWeek,Holidays)))</f>
        <v/>
      </c>
      <c r="X106" s="58" t="str">
        <f aca="false">IF(Tasks[[#This Row],[Task Name]]="","",IF(N(Tasks[[#This Row],[Baseline Start]])&gt;0,Tasks[[#This Row],[Baseline Start]],Tasks[[#This Row],[_CalcStart]]))</f>
        <v/>
      </c>
      <c r="Y106" s="58" t="str">
        <f aca="false">IF(Tasks[[#This Row],[Task Name]]="","",IF(N(Tasks[[#This Row],[Baseline Finish]])&gt;0,Tasks[[#This Row],[Baseline Finish]],Tasks[[#This Row],[_CalcFinish]]))</f>
        <v/>
      </c>
      <c r="Z106" s="67" t="str">
        <f aca="false">IF(Tasks[[#This Row],[Task Name]]="","",IF(Tasks[[#This Row],[Start]]&gt;=Tasks[[#This Row],[Planned Start]],NETWORKDAYS.INTL(Tasks[[#This Row],[Planned Start]],Tasks[[#This Row],[Start]],WorkWeek,Holidays)-1,1-NETWORKDAYS.INTL(Tasks[[#This Row],[Start]],Tasks[[#This Row],[Planned Start]],WorkWeek,Holidays)))</f>
        <v/>
      </c>
      <c r="AA106" s="58" t="str">
        <f aca="false">IF(Tasks[[#This Row],[Task Name]]="","",IF(Tasks[[#This Row],[_IsSummary]],MIN(INDEX(Tasks[_LeafLateStart],Tasks[[#This Row],[_Row]]+1):INDEX(Tasks[_LeafLateStart],Tasks[[#This Row],[_Row]]+Tasks[[#This Row],[_Descendants]])),Tasks[[#This Row],[_LeafLateStart]]))</f>
        <v/>
      </c>
      <c r="AB106" s="58" t="str">
        <f aca="false">IF(Tasks[[#This Row],[Task Name]]="","",IF(Tasks[[#This Row],[_IsSummary]],MAX(INDEX(Tasks[_LeafLateFinish],Tasks[[#This Row],[_Row]]+1):INDEX(Tasks[_LeafLateFinish],Tasks[[#This Row],[_Row]]+Tasks[[#This Row],[_Descendants]])),Tasks[[#This Row],[_LeafLateFinish]]))</f>
        <v/>
      </c>
      <c r="AC106" s="67" t="str">
        <f aca="false">IF(Tasks[[#This Row],[Task Name]]="","",IF(Tasks[[#This Row],[_IsSummary]],MIN(INDEX(Tasks[_LeafTotalSlack],Tasks[[#This Row],[_Row]]+1):INDEX(Tasks[_LeafTotalSlack],Tasks[[#This Row],[_Row]]+Tasks[[#This Row],[_Descendants]])),Tasks[[#This Row],[_LeafTotalSlack]]))</f>
        <v/>
      </c>
      <c r="AD10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0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0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06" s="60"/>
      <c r="AH10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0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06" s="69" t="str">
        <f aca="false">IF(Tasks[[#This Row],[Task Name]]="","",IF(Tasks[[#This Row],[_IsSummary]],SUM(INDEX(Tasks[_LeafTotalWork],Tasks[[#This Row],[_Row]]+1):INDEX(Tasks[_LeafTotalWork],Tasks[[#This Row],[_Row]]+Tasks[[#This Row],[_Descendants]])),Tasks[[#This Row],[_LeafTotalWork]]))</f>
        <v/>
      </c>
      <c r="AK10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06" s="70" t="str">
        <f aca="false">IF(Tasks[[#This Row],[Task Name]]="","",IF(Tasks[[#This Row],[_IsSummary]],SUM(INDEX(Tasks[_LeafTotalCost],Tasks[[#This Row],[_Row]]+1):INDEX(Tasks[_LeafTotalCost],Tasks[[#This Row],[_Row]]+Tasks[[#This Row],[_Descendants]])),Tasks[[#This Row],[_LeafTotalCost]]))</f>
        <v/>
      </c>
      <c r="AM106" s="71"/>
      <c r="AN106" s="20" t="str">
        <f aca="false">IF(OR(Tasks[[#This Row],[Task Name]]="",Tasks[[#This Row],[Baseline Duration]]=""),"",Tasks[[#This Row],[BL Source Duration]]-N(Tasks[[#This Row],[Baseline Duration]]))</f>
        <v/>
      </c>
      <c r="AO106" s="69" t="str">
        <f aca="false">IF(OR(Tasks[[#This Row],[Task Name]]="",Tasks[[#This Row],[Baseline Work]]=""),"",Tasks[[#This Row],[Work]]-N(Tasks[[#This Row],[Baseline Work]]))</f>
        <v/>
      </c>
      <c r="AP106" s="70" t="str">
        <f aca="false">IF(OR(Tasks[[#This Row],[Task Name]]="",Tasks[[#This Row],[Baseline Cost]]=""),"",Tasks[[#This Row],[Cost]]-N(Tasks[[#This Row],[Baseline Cost]]))</f>
        <v/>
      </c>
      <c r="AQ106" s="58" t="str">
        <f aca="false">IF(Tasks[[#This Row],[Task Name]]="","",Tasks[[#This Row],[Start]])</f>
        <v/>
      </c>
      <c r="AR106" s="58" t="str">
        <f aca="false">IF(Tasks[[#This Row],[Task Name]]="","",Tasks[[#This Row],[Finish]])</f>
        <v/>
      </c>
      <c r="AS106" s="67" t="str">
        <f aca="false">IF(Tasks[[#This Row],[Task Name]]="","",IF(Tasks[[#This Row],[_IsSummary]],NETWORKDAYS.INTL(Tasks[[#This Row],[Start]],Tasks[[#This Row],[Finish]],WorkWeek,Holidays),N(Tasks[[#This Row],[Duration]])))</f>
        <v/>
      </c>
      <c r="AT106" s="69" t="str">
        <f aca="false">IF(Tasks[[#This Row],[Task Name]]="","",Tasks[[#This Row],[Work]])</f>
        <v/>
      </c>
      <c r="AU106" s="70" t="str">
        <f aca="false">IF(Tasks[[#This Row],[Task Name]]="","",Tasks[[#This Row],[Cost]])</f>
        <v/>
      </c>
      <c r="AV106" s="7"/>
      <c r="AW106" s="7"/>
      <c r="AX106" s="21"/>
      <c r="AY106" s="72"/>
      <c r="AZ106" s="71"/>
      <c r="BA106" s="70" t="str">
        <f aca="false">IF(Tasks[[#This Row],[Task Name]]="","",IF(Tasks[[#This Row],[_IsSummary]],SUM(INDEX(Tasks[_LeafEV],Tasks[[#This Row],[_Row]]+1):INDEX(Tasks[_LeafEV],Tasks[[#This Row],[_Row]]+Tasks[[#This Row],[_Descendants]])),Tasks[[#This Row],[_LeafEV]]))</f>
        <v/>
      </c>
      <c r="BB106" s="70" t="str">
        <f aca="false">IF(Tasks[[#This Row],[Task Name]]="","",IF(Tasks[[#This Row],[_IsSummary]],SUM(INDEX(Tasks[_LeafBudget],Tasks[[#This Row],[_Row]]+1):INDEX(Tasks[_LeafBudget],Tasks[[#This Row],[_Row]]+Tasks[[#This Row],[_Descendants]])),Tasks[[#This Row],[_LeafBudget]]))</f>
        <v/>
      </c>
      <c r="BC106" s="70" t="str">
        <f aca="false">IF(Tasks[[#This Row],[Task Name]]="","",IF(Tasks[[#This Row],[_IsSummary]],SUM(INDEX(Tasks[_LeafPV],Tasks[[#This Row],[_Row]]+1):INDEX(Tasks[_LeafPV],Tasks[[#This Row],[_Row]]+Tasks[[#This Row],[_Descendants]])),Tasks[[#This Row],[_LeafPV]]))</f>
        <v/>
      </c>
      <c r="BD106" s="70" t="str">
        <f aca="false">IF(Tasks[[#This Row],[Task Name]]="","",IF(Tasks[[#This Row],[_IsSummary]],SUM(INDEX(Tasks[_LeafAC],Tasks[[#This Row],[_Row]]+1):INDEX(Tasks[_LeafAC],Tasks[[#This Row],[_Row]]+Tasks[[#This Row],[_Descendants]])),Tasks[[#This Row],[_LeafAC]]))</f>
        <v/>
      </c>
      <c r="BE106" s="45" t="str">
        <f aca="false">IF(Tasks[[#This Row],[Task Name]]="","",MAX(1,N(Tasks[[#This Row],[Level]])))</f>
        <v/>
      </c>
      <c r="BF106" s="45" t="n">
        <f aca="false">ROW()-ROW(Tasks[[#Headers],[ID]])</f>
        <v>101</v>
      </c>
      <c r="BG106" s="45" t="n">
        <f aca="false">IF(OR(Tasks[[#This Row],[Task Name]]="",Tasks[[#This Row],[_Level]]&lt;=1),0,IFERROR(LOOKUP(2,1/(Tasks[[#Headers],[_Level]]:Tasks[[#This Row],[_Level]]=Tasks[[#This Row],[_Level]]-1),ROW(Tasks[[#Headers],[_Level]]:Tasks[[#This Row],[_Level]])),0))</f>
        <v>0</v>
      </c>
      <c r="BH106" s="45" t="n">
        <f aca="false">IFERROR(N(INDEX(Tasks[_Level],Tasks[[#This Row],[_Row]]+1)),0)</f>
        <v>0</v>
      </c>
      <c r="BI106" s="73" t="b">
        <f aca="false">AND(Tasks[[#This Row],[Task Name]]&lt;&gt;"",Tasks[[#This Row],[_NextLevel]]&gt;Tasks[[#This Row],[_Level]])</f>
        <v>0</v>
      </c>
      <c r="BJ106" s="45" t="n">
        <f aca="false">IF(Tasks[[#This Row],[_IsSummary]],COUNTIF(Tasks[WBS],Tasks[[#This Row],[WBS]]&amp;".*"),0)</f>
        <v>0</v>
      </c>
      <c r="BK106" s="45" t="n">
        <f aca="false">IF(AND(Tasks[[#This Row],[Task Name]]&lt;&gt;"",NOT(Tasks[[#This Row],[_IsSummary]])),1,0)</f>
        <v>0</v>
      </c>
      <c r="BL106" s="45" t="n">
        <f aca="false">IF(N(Tasks[[#This Row],[_Pred1UID]])=0,0,IFERROR(MATCH(Tasks[[#This Row],[_Pred1UID]],Tasks[UID],0),-1))</f>
        <v>0</v>
      </c>
      <c r="BM106" s="45" t="n">
        <f aca="false">IF(N(Tasks[[#This Row],[_Pred2UID]])=0,0,IFERROR(MATCH(Tasks[[#This Row],[_Pred2UID]],Tasks[UID],0),-1))</f>
        <v>0</v>
      </c>
      <c r="BN106" s="45" t="n">
        <f aca="false">IF(N(Tasks[[#This Row],[_Pred3UID]])=0,0,IFERROR(MATCH(Tasks[[#This Row],[_Pred3UID]],Tasks[UID],0),-1))</f>
        <v>0</v>
      </c>
      <c r="BO106" s="45" t="n">
        <f aca="false">IF(N(Tasks[[#This Row],[_Pred4UID]])=0,0,IFERROR(MATCH(Tasks[[#This Row],[_Pred4UID]],Tasks[UID],0),-1))</f>
        <v>0</v>
      </c>
      <c r="BP10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0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06" s="74" t="n">
        <f aca="false">IF(OR(Tasks[[#This Row],[_ConstraintCode]]=2,Tasks[[#This Row],[_ConstraintCode]]=3,Tasks[[#This Row],[_ConstraintCode]]=4,Tasks[[#This Row],[_ConstraintCode]]=6),Tasks[[#This Row],[_ConstraintStart]],0)</f>
        <v>0</v>
      </c>
      <c r="BS106" s="74" t="n">
        <f aca="false">IF(OR(Tasks[[#This Row],[_ConstraintCode]]=2,Tasks[[#This Row],[_ConstraintCode]]=3,Tasks[[#This Row],[_ConstraintCode]]=5,Tasks[[#This Row],[_ConstraintCode]]=7),Tasks[[#This Row],[_ConstraintStart]],2958465)</f>
        <v>2958465</v>
      </c>
      <c r="BT10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06" s="74" t="str">
        <f aca="false">IF(NOT(Tasks[[#This Row],[_IsLeaf]]=1),"",IF(N(Tasks[[#This Row],[Duration]])&lt;=0,Tasks[[#This Row],[_LeafCalcStart]],WORKDAY.INTL(Tasks[[#This Row],[_LeafCalcStart]],Tasks[[#This Row],[Duration]]-1,WorkWeek,Holidays)))</f>
        <v/>
      </c>
      <c r="BV10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0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06" s="45" t="str">
        <f aca="false">IF(Tasks[[#This Row],[Predecessors]]="","",TRIM(MID(SUBSTITUTE(SUBSTITUTE(SUBSTITUTE(UPPER(Tasks[[#This Row],[Predecessors]]),";",",")," ",""),",",REPT(" ",99)),1,99)))</f>
        <v/>
      </c>
      <c r="BY106" s="45" t="str">
        <f aca="false">IF(Tasks[[#This Row],[_Pred1Text]]="","",IFERROR(VALUE(LEFT(Tasks[[#This Row],[_Pred1Text]],MIN(FIND("F",Tasks[[#This Row],[_Pred1Text]]&amp;"F"),FIND("S",Tasks[[#This Row],[_Pred1Text]]&amp;"S"),FIND("+",Tasks[[#This Row],[_Pred1Text]]&amp;"+"),FIND("-",Tasks[[#This Row],[_Pred1Text]]&amp;"-"))-1)),""))</f>
        <v/>
      </c>
      <c r="BZ10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0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06" s="45" t="str">
        <f aca="false">IF(Tasks[[#This Row],[_Pred1Text]]="","",TRIM(MID(SUBSTITUTE(SUBSTITUTE(SUBSTITUTE(UPPER(Tasks[[#This Row],[Predecessors]]),";",",")," ",""),",",REPT(" ",99)),100,99)))</f>
        <v/>
      </c>
      <c r="CC106" s="45" t="str">
        <f aca="false">IF(Tasks[[#This Row],[_Pred2Text]]="","",IFERROR(VALUE(LEFT(Tasks[[#This Row],[_Pred2Text]],MIN(FIND("F",Tasks[[#This Row],[_Pred2Text]]&amp;"F"),FIND("S",Tasks[[#This Row],[_Pred2Text]]&amp;"S"),FIND("+",Tasks[[#This Row],[_Pred2Text]]&amp;"+"),FIND("-",Tasks[[#This Row],[_Pred2Text]]&amp;"-"))-1)),""))</f>
        <v/>
      </c>
      <c r="CD10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0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06" s="45" t="str">
        <f aca="false">IF(Tasks[[#This Row],[_Pred2Text]]="","",TRIM(MID(SUBSTITUTE(SUBSTITUTE(SUBSTITUTE(UPPER(Tasks[[#This Row],[Predecessors]]),";",",")," ",""),",",REPT(" ",99)),199,99)))</f>
        <v/>
      </c>
      <c r="CG106" s="45" t="str">
        <f aca="false">IF(Tasks[[#This Row],[_Pred3Text]]="","",IFERROR(VALUE(LEFT(Tasks[[#This Row],[_Pred3Text]],MIN(FIND("F",Tasks[[#This Row],[_Pred3Text]]&amp;"F"),FIND("S",Tasks[[#This Row],[_Pred3Text]]&amp;"S"),FIND("+",Tasks[[#This Row],[_Pred3Text]]&amp;"+"),FIND("-",Tasks[[#This Row],[_Pred3Text]]&amp;"-"))-1)),""))</f>
        <v/>
      </c>
      <c r="CH10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0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06" s="45" t="str">
        <f aca="false">IF(Tasks[[#This Row],[_Pred3Text]]="","",TRIM(MID(SUBSTITUTE(SUBSTITUTE(SUBSTITUTE(UPPER(Tasks[[#This Row],[Predecessors]]),";",",")," ",""),",",REPT(" ",99)),298,99)))</f>
        <v/>
      </c>
      <c r="CK106" s="45" t="str">
        <f aca="false">IF(Tasks[[#This Row],[_Pred4Text]]="","",IFERROR(VALUE(LEFT(Tasks[[#This Row],[_Pred4Text]],MIN(FIND("F",Tasks[[#This Row],[_Pred4Text]]&amp;"F"),FIND("S",Tasks[[#This Row],[_Pred4Text]]&amp;"S"),FIND("+",Tasks[[#This Row],[_Pred4Text]]&amp;"+"),FIND("-",Tasks[[#This Row],[_Pred4Text]]&amp;"-"))-1)),""))</f>
        <v/>
      </c>
      <c r="CL10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0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06" s="45" t="str">
        <f aca="false">IF(OR(Tasks[[#This Row],[Task Name]]="",Tasks[[#This Row],[Resources]]=""),"",TRIM(MID(SUBSTITUTE(Tasks[[#This Row],[Resources]],",",REPT(" ",99)),1,99)))</f>
        <v/>
      </c>
      <c r="CO106" s="45" t="str">
        <f aca="false">IF(Tasks[[#This Row],[_Res1Text]]="","",TRIM(MID(SUBSTITUTE(Tasks[[#This Row],[Resources]],",",REPT(" ",99)),100,99)))</f>
        <v/>
      </c>
      <c r="CP106" s="45" t="str">
        <f aca="false">IF(Tasks[[#This Row],[_Res2Text]]="","",TRIM(MID(SUBSTITUTE(Tasks[[#This Row],[Resources]],",",REPT(" ",99)),199,99)))</f>
        <v/>
      </c>
      <c r="CQ106" s="45" t="str">
        <f aca="false">IF(Tasks[[#This Row],[_Res3Text]]="","",TRIM(MID(SUBSTITUTE(Tasks[[#This Row],[Resources]],",",REPT(" ",99)),298,99)))</f>
        <v/>
      </c>
      <c r="CR10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0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6" s="45" t="n">
        <f aca="false">IF(NOT(Tasks[[#This Row],[_IsLeaf]]=1),0,(Tasks[[#This Row],[_Resource1]]&lt;&gt;"")+(Tasks[[#This Row],[_Res2]]&lt;&gt;"")+(Tasks[[#This Row],[_Res3]]&lt;&gt;"")+(Tasks[[#This Row],[_Res4]]&lt;&gt;""))</f>
        <v>0</v>
      </c>
      <c r="CU10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0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6" s="45" t="n">
        <f aca="false">IF(OR(NOT(Tasks[[#This Row],[_IsLeaf]]=1),Tasks[[#This Row],[_Res2]]=""),0,IF(ISNA(MATCH(Tasks[[#This Row],[_Res2]],res_Name,0)),0,N(Tasks[[#This Row],[Duration]])*HoursPerDay*IF(Tasks[[#This Row],[_Res2Units]]="",DefaultUnits,Tasks[[#This Row],[_Res2Units]])))</f>
        <v>0</v>
      </c>
      <c r="CX106" s="45" t="n">
        <f aca="false">IF(Tasks[[#This Row],[_Res2Work]]=0,0,Tasks[[#This Row],[_Res2Work]]*IFERROR(INDEX(res_Rate,MATCH(Tasks[[#This Row],[_Res2]],res_Name,0)),0))</f>
        <v>0</v>
      </c>
      <c r="CY106" s="45" t="n">
        <f aca="false">IF(AND(AND(Tasks[[#This Row],[_IsLeaf]]=1,Tasks[[#This Row],[_LeafTotalWork]]&gt;0),Tasks[[#This Row],[_Res2Work]]&gt;0),Tasks[[#This Row],[_Res2Work]]/(Tasks[[#This Row],[_FinishWorkday]]-Tasks[[#This Row],[_StartWorkday]]+1),0)</f>
        <v>0</v>
      </c>
      <c r="CZ106" s="45" t="n">
        <f aca="false">Tasks[[#This Row],[_Res2WorkPerWD]]*MAX(0,Tasks[[#This Row],[_StartWorkday]]-1)</f>
        <v>0</v>
      </c>
      <c r="DA106" s="45" t="n">
        <f aca="false">Tasks[[#This Row],[_Res2Work]]*Tasks[[#This Row],[_LeafProgress]]</f>
        <v>0</v>
      </c>
      <c r="DB106" s="45" t="n">
        <f aca="false">IF(Tasks[[#This Row],[_LeafTotalCost]]=0,0,Tasks[[#This Row],[_LeafAC]]*Tasks[[#This Row],[_Res2Cost]]/Tasks[[#This Row],[_LeafTotalCost]])</f>
        <v>0</v>
      </c>
      <c r="DC10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0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06" s="45" t="n">
        <f aca="false">IF(OR(NOT(Tasks[[#This Row],[_IsLeaf]]=1),Tasks[[#This Row],[_Res3]]=""),0,IF(ISNA(MATCH(Tasks[[#This Row],[_Res3]],res_Name,0)),0,N(Tasks[[#This Row],[Duration]])*HoursPerDay*IF(Tasks[[#This Row],[_Res3Units]]="",DefaultUnits,Tasks[[#This Row],[_Res3Units]])))</f>
        <v>0</v>
      </c>
      <c r="DF106" s="45" t="n">
        <f aca="false">IF(Tasks[[#This Row],[_Res3Work]]=0,0,Tasks[[#This Row],[_Res3Work]]*IFERROR(INDEX(res_Rate,MATCH(Tasks[[#This Row],[_Res3]],res_Name,0)),0))</f>
        <v>0</v>
      </c>
      <c r="DG106" s="45" t="n">
        <f aca="false">IF(AND(AND(Tasks[[#This Row],[_IsLeaf]]=1,Tasks[[#This Row],[_LeafTotalWork]]&gt;0),Tasks[[#This Row],[_Res3Work]]&gt;0),Tasks[[#This Row],[_Res3Work]]/(Tasks[[#This Row],[_FinishWorkday]]-Tasks[[#This Row],[_StartWorkday]]+1),0)</f>
        <v>0</v>
      </c>
      <c r="DH106" s="45" t="n">
        <f aca="false">Tasks[[#This Row],[_Res3WorkPerWD]]*MAX(0,Tasks[[#This Row],[_StartWorkday]]-1)</f>
        <v>0</v>
      </c>
      <c r="DI106" s="45" t="n">
        <f aca="false">Tasks[[#This Row],[_Res3Work]]*Tasks[[#This Row],[_LeafProgress]]</f>
        <v>0</v>
      </c>
      <c r="DJ106" s="45" t="n">
        <f aca="false">IF(Tasks[[#This Row],[_LeafTotalCost]]=0,0,Tasks[[#This Row],[_LeafAC]]*Tasks[[#This Row],[_Res3Cost]]/Tasks[[#This Row],[_LeafTotalCost]])</f>
        <v>0</v>
      </c>
      <c r="DK10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0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06" s="45" t="n">
        <f aca="false">IF(OR(NOT(Tasks[[#This Row],[_IsLeaf]]=1),Tasks[[#This Row],[_Res4]]=""),0,IF(ISNA(MATCH(Tasks[[#This Row],[_Res4]],res_Name,0)),0,N(Tasks[[#This Row],[Duration]])*HoursPerDay*IF(Tasks[[#This Row],[_Res4Units]]="",DefaultUnits,Tasks[[#This Row],[_Res4Units]])))</f>
        <v>0</v>
      </c>
      <c r="DN106" s="45" t="n">
        <f aca="false">IF(Tasks[[#This Row],[_Res4Work]]=0,0,Tasks[[#This Row],[_Res4Work]]*IFERROR(INDEX(res_Rate,MATCH(Tasks[[#This Row],[_Res4]],res_Name,0)),0))</f>
        <v>0</v>
      </c>
      <c r="DO106" s="45" t="n">
        <f aca="false">IF(AND(AND(Tasks[[#This Row],[_IsLeaf]]=1,Tasks[[#This Row],[_LeafTotalWork]]&gt;0),Tasks[[#This Row],[_Res4Work]]&gt;0),Tasks[[#This Row],[_Res4Work]]/(Tasks[[#This Row],[_FinishWorkday]]-Tasks[[#This Row],[_StartWorkday]]+1),0)</f>
        <v>0</v>
      </c>
      <c r="DP106" s="45" t="n">
        <f aca="false">Tasks[[#This Row],[_Res4WorkPerWD]]*MAX(0,Tasks[[#This Row],[_StartWorkday]]-1)</f>
        <v>0</v>
      </c>
      <c r="DQ106" s="45" t="n">
        <f aca="false">Tasks[[#This Row],[_Res4Work]]*Tasks[[#This Row],[_LeafProgress]]</f>
        <v>0</v>
      </c>
      <c r="DR106" s="45" t="n">
        <f aca="false">IF(Tasks[[#This Row],[_LeafTotalCost]]=0,0,Tasks[[#This Row],[_LeafAC]]*Tasks[[#This Row],[_Res4Cost]]/Tasks[[#This Row],[_LeafTotalCost]])</f>
        <v>0</v>
      </c>
      <c r="DS106" s="45" t="n">
        <f aca="false">IF(ISNUMBER(Tasks[[#This Row],[% Complete]]),Tasks[[#This Row],[% Complete]],IF(Tasks[[#This Row],[Stage]]="",0,IFERROR(INDEX(stg_Pct,MATCH(Tasks[[#This Row],[Stage]],stg_Name,0)),0)))</f>
        <v>0</v>
      </c>
      <c r="DT106" s="45" t="n">
        <f aca="false">IF(NOT(Tasks[[#This Row],[_IsLeaf]]=1),0,IF(N(Tasks[[#This Row],[Actual Finish]])&gt;0,1,MIN(1,Tasks[[#This Row],[_Pct]])))</f>
        <v>0</v>
      </c>
      <c r="DU106" s="45" t="n">
        <f aca="false">IF(OR(NOT(Tasks[[#This Row],[_IsLeaf]]=1),Tasks[[#This Row],[_Resource1]]=""),0,IF(ISNA(MATCH(Tasks[[#This Row],[_Resource1]],res_Name,0)),0,N(Tasks[[#This Row],[Duration]])*HoursPerDay*IF(Tasks[[#This Row],[_Units1]]="",DefaultUnits,Tasks[[#This Row],[_Units1]])))</f>
        <v>0</v>
      </c>
      <c r="DV106" s="45" t="n">
        <f aca="false">IF(Tasks[[#This Row],[_LeafWork]]=0,0,Tasks[[#This Row],[_LeafWork]]*IFERROR(INDEX(res_Rate,MATCH(Tasks[[#This Row],[_Resource1]],res_Name,0)),0))</f>
        <v>0</v>
      </c>
      <c r="DW106" s="45" t="n">
        <f aca="false">Tasks[[#This Row],[_LeafWork]]+Tasks[[#This Row],[_Res2Work]]+Tasks[[#This Row],[_Res3Work]]+Tasks[[#This Row],[_Res4Work]]</f>
        <v>0</v>
      </c>
      <c r="DX106" s="45" t="n">
        <f aca="false">Tasks[[#This Row],[_LeafCost]]+Tasks[[#This Row],[_Res2Cost]]+Tasks[[#This Row],[_Res3Cost]]+Tasks[[#This Row],[_Res4Cost]]</f>
        <v>0</v>
      </c>
      <c r="DY106" s="45" t="n">
        <f aca="false">IF(Tasks[[#This Row],[_LeafTotalCost]]=0,Tasks[[#This Row],[_LeafAC]],Tasks[[#This Row],[_LeafAC]]*Tasks[[#This Row],[_LeafCost]]/Tasks[[#This Row],[_LeafTotalCost]])</f>
        <v>0</v>
      </c>
      <c r="DZ10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0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0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0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0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0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0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0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06" s="45" t="n">
        <f aca="false">IF(NOT(Tasks[[#This Row],[_IsLeaf]]=1),0,MAX(_xlfn.MAXIFS(Tasks[_Row],Tasks[_Pred1UID],Tasks[[#This Row],[UID]]),_xlfn.MAXIFS(Tasks[_Row],Tasks[_Pred2UID],Tasks[[#This Row],[UID]]),_xlfn.MAXIFS(Tasks[_Row],Tasks[_Pred3UID],Tasks[[#This Row],[UID]]),_xlfn.MAXIFS(Tasks[_Row],Tasks[_Pred4UID],Tasks[[#This Row],[UID]])))</f>
        <v>0</v>
      </c>
      <c r="EI10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0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06" s="74" t="str">
        <f aca="false">IF(NOT(Tasks[[#This Row],[_IsLeaf]]=1),"",IF(N(Tasks[[#This Row],[Duration]])&lt;=0,Tasks[[#This Row],[_LeafLateFinish]],WORKDAY.INTL(Tasks[[#This Row],[_LeafLateFinish]],-(Tasks[[#This Row],[Duration]]-1),WorkWeek,Holidays)))</f>
        <v/>
      </c>
      <c r="EL10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06" s="73" t="b">
        <f aca="false">AND(Tasks[[#This Row],[_IsLeaf]]=1,Tasks[[#This Row],[_LeafProgress]]&lt;1,N(Tasks[[#This Row],[_LeafTotalSlack]])&lt;=CriticalSlackDays)</f>
        <v>0</v>
      </c>
      <c r="EN106" s="45" t="n">
        <f aca="false">IF(AND(Tasks[[#This Row],[_IsLeaf]]=1,Tasks[[#This Row],[_ConstraintCode]]=1,Tasks[[#This Row],[Mode]]&lt;&gt;"Manual",N(Tasks[[#This Row],[Actual Start]])=0),MAX(0,N(Tasks[[#This Row],[Free Slack]])),0)</f>
        <v>0</v>
      </c>
      <c r="EO106" s="74" t="str">
        <f aca="false">IF(NOT(Tasks[[#This Row],[_IsLeaf]]=1),"",IF(Tasks[[#This Row],[_AlapShift]]=0,Tasks[[#This Row],[_LeafCalcStart]],WORKDAY.INTL(Tasks[[#This Row],[_LeafCalcStart]],Tasks[[#This Row],[_AlapShift]],WorkWeek,Holidays)))</f>
        <v/>
      </c>
      <c r="EP106" s="74" t="str">
        <f aca="false">IF(NOT(Tasks[[#This Row],[_IsLeaf]]=1),"",IF(Tasks[[#This Row],[_AlapShift]]=0,Tasks[[#This Row],[_LeafCalcFinish]],WORKDAY.INTL(Tasks[[#This Row],[_LeafCalcFinish]],Tasks[[#This Row],[_AlapShift]],WorkWeek,Holidays)))</f>
        <v/>
      </c>
      <c r="EQ106" s="74" t="str">
        <f aca="false">IF(NOT(Tasks[[#This Row],[_IsLeaf]]=1),"",IF(Tasks[[#This Row],[_AlapShift]]=0,Tasks[[#This Row],[_LeafFcstStart]],WORKDAY.INTL(Tasks[[#This Row],[_LeafFcstStart]],Tasks[[#This Row],[_AlapShift]],WorkWeek,Holidays)))</f>
        <v/>
      </c>
      <c r="ER106" s="74" t="str">
        <f aca="false">IF(NOT(Tasks[[#This Row],[_IsLeaf]]=1),"",IF(Tasks[[#This Row],[_AlapShift]]=0,Tasks[[#This Row],[_LeafFcstFinish]],WORKDAY.INTL(Tasks[[#This Row],[_LeafFcstFinish]],Tasks[[#This Row],[_AlapShift]],WorkWeek,Holidays)))</f>
        <v/>
      </c>
      <c r="ES106" s="74" t="str">
        <f aca="false">IF(Tasks[[#This Row],[Task Name]]="","",IF(Tasks[[#This Row],[_IsSummary]],MIN(INDEX(Tasks[_ShownCalcStart],Tasks[[#This Row],[_Row]]+1):INDEX(Tasks[_ShownCalcStart],Tasks[[#This Row],[_Row]]+Tasks[[#This Row],[_Descendants]])),Tasks[[#This Row],[_ShownCalcStart]]))</f>
        <v/>
      </c>
      <c r="ET106" s="74" t="str">
        <f aca="false">IF(Tasks[[#This Row],[Task Name]]="","",IF(Tasks[[#This Row],[_IsSummary]],MAX(INDEX(Tasks[_ShownCalcFinish],Tasks[[#This Row],[_Row]]+1):INDEX(Tasks[_ShownCalcFinish],Tasks[[#This Row],[_Row]]+Tasks[[#This Row],[_Descendants]])),Tasks[[#This Row],[_ShownCalcFinish]]))</f>
        <v/>
      </c>
      <c r="EU10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0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0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0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0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0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0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0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0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0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0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0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06" s="45" t="n">
        <f aca="false">IF(AND(Tasks[[#This Row],[_IsLeaf]]=1,Tasks[[#This Row],[_LeafTotalWork]]&gt;0),NETWORKDAYS.INTL(ProjectStart,Tasks[[#This Row],[_ShownFcstStart]],WorkWeek,Holidays),0)</f>
        <v>0</v>
      </c>
      <c r="FH106" s="45" t="n">
        <f aca="false">IF(AND(Tasks[[#This Row],[_IsLeaf]]=1,Tasks[[#This Row],[_LeafTotalWork]]&gt;0),MAX(Tasks[[#This Row],[_StartWorkday]],NETWORKDAYS.INTL(ProjectStart,Tasks[[#This Row],[_ShownFcstFinish]],WorkWeek,Holidays)),0)</f>
        <v>0</v>
      </c>
      <c r="FI106" s="45" t="n">
        <f aca="false">IF(AND(Tasks[[#This Row],[_IsLeaf]]=1,Tasks[[#This Row],[_LeafTotalWork]]&gt;0),Tasks[[#This Row],[_LeafWork]]/(Tasks[[#This Row],[_FinishWorkday]]-Tasks[[#This Row],[_StartWorkday]]+1),0)</f>
        <v>0</v>
      </c>
      <c r="FJ106" s="45" t="n">
        <f aca="false">Tasks[[#This Row],[_WorkPerWorkday]]*(Tasks[[#This Row],[_StartWorkday]]-1)</f>
        <v>-0</v>
      </c>
      <c r="FK106" s="45" t="n">
        <f aca="false">IF(Tasks[[#This Row],[_IsLeaf]]=1,MAX(N(Tasks[[#This Row],[Duration]]),0.1),0)</f>
        <v>0</v>
      </c>
      <c r="FL106" s="45" t="n">
        <f aca="false">Tasks[[#This Row],[_WeightDur]]*Tasks[[#This Row],[_LeafProgress]]</f>
        <v>0</v>
      </c>
      <c r="FM10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06" s="45" t="str">
        <f aca="false">IF(AND(Tasks[[#This Row],[_IsLeaf]]=1,N(Tasks[[#This Row],[Duration]])=0,Tasks[[#This Row],[_LeafProgress]]&lt;1),Tasks[[#This Row],[_ShownFcstFinish]]+Tasks[[#This Row],[_Row]]/100000,"")</f>
        <v/>
      </c>
      <c r="FO10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06" s="45" t="n">
        <f aca="false">IF(NOT(Tasks[[#This Row],[_IsLeaf]]=1),0,IF(Tasks[[#This Row],[Baseline Cost]]="",Tasks[[#This Row],[_LeafTotalCost]],N(Tasks[[#This Row],[Baseline Cost]])))</f>
        <v>0</v>
      </c>
      <c r="FQ106" s="45" t="n">
        <f aca="false">Tasks[[#This Row],[_LeafBudget]]*Tasks[[#This Row],[_PlannedPct]]</f>
        <v>0</v>
      </c>
      <c r="FR106" s="45" t="n">
        <f aca="false">Tasks[[#This Row],[_LeafBudget]]*Tasks[[#This Row],[_LeafProgress]]</f>
        <v>0</v>
      </c>
      <c r="FS106" s="45" t="n">
        <f aca="false">IF(NOT(Tasks[[#This Row],[_IsLeaf]]=1),0,IF(Tasks[[#This Row],[Actual Cost]]="",Tasks[[#This Row],[_LeafTotalCost]]*Tasks[[#This Row],[_LeafProgress]],N(Tasks[[#This Row],[Actual Cost]])))</f>
        <v>0</v>
      </c>
      <c r="FT106" s="45" t="str">
        <f aca="false">IF(Tasks[[#This Row],[Task Name]]="","",LEFT(Tasks[[#This Row],[WBS]],FIND(".",Tasks[[#This Row],[WBS]]&amp;".")-1))</f>
        <v/>
      </c>
      <c r="FU106" s="45" t="str">
        <f aca="false">IF(AND(Tasks[[#This Row],[Task Name]]&lt;&gt;"",Tasks[[#This Row],[_Level]]=1),Tasks[[#This Row],[_Row]],"")</f>
        <v/>
      </c>
      <c r="FV106" s="45" t="str">
        <f aca="false">IF(AND(Tasks[[#This Row],[_IsLeaf]]=1,N(Tasks[[#This Row],[Duration]])=0),Tasks[[#This Row],[Planned Finish]]+Tasks[[#This Row],[_Row]]/100000,"")</f>
        <v/>
      </c>
      <c r="FW106" s="45" t="str">
        <f aca="false">IF(AND(Tasks[[#This Row],[_IsLeaf]]=1,Tasks[[#This Row],[_LeafProgress]]&lt;1,OR(N(Tasks[[#This Row],[Finish Var]])&gt;0,Tasks[[#This Row],[Status]]="Late Start")),MAX(0,Tasks[[#This Row],[Finish Var]])+1-Tasks[[#This Row],[_Row]]/1000000,"")</f>
        <v/>
      </c>
      <c r="FX106" s="45" t="str">
        <f aca="false">IF(AND(Tasks[[#This Row],[_IsLeaf]]=1,N(Tasks[[#This Row],[Actual Start]])=0,Tasks[[#This Row],[_ShownFcstStart]]&gt;=StatusDate,Tasks[[#This Row],[_ShownFcstStart]]&lt;=LookaheadEnd),Tasks[[#This Row],[_ShownFcstStart]]+Tasks[[#This Row],[_Row]]/100000,"")</f>
        <v/>
      </c>
      <c r="FY106" s="45" t="str">
        <f aca="false">IF(AND(Tasks[[#This Row],[_IsLeaf]]=1,Tasks[[#This Row],[_LeafProgress]]&lt;1,Tasks[[#This Row],[_ShownFcstFinish]]&gt;=StatusDate,Tasks[[#This Row],[_ShownFcstFinish]]&lt;=LookaheadEnd),Tasks[[#This Row],[_ShownFcstFinish]]+Tasks[[#This Row],[_Row]]/100000,"")</f>
        <v/>
      </c>
      <c r="FZ106" s="45" t="str">
        <f aca="false">IF(Tasks[[#This Row],[_LeafCritical]],Tasks[[#This Row],[_ShownFcstStart]]+Tasks[[#This Row],[_Row]]/100000,"")</f>
        <v/>
      </c>
      <c r="GA106" s="45" t="n">
        <f aca="false">Tasks[[#This Row],[_LeafWork]]*Tasks[[#This Row],[_LeafProgress]]</f>
        <v>0</v>
      </c>
      <c r="GB106" s="74" t="str">
        <f aca="false">IF(AND(Tasks[[#This Row],[_IsLeaf]]=1,Tasks[[#This Row],[_LeafProgress]]&gt;=1),IF(N(Tasks[[#This Row],[Actual Finish]])&gt;0,Tasks[[#This Row],[Actual Finish]],Tasks[[#This Row],[_ShownFcstFinish]]),"")</f>
        <v/>
      </c>
    </row>
    <row r="107" customFormat="false" ht="15" hidden="false" customHeight="false" outlineLevel="0" collapsed="false">
      <c r="A107" s="67" t="str">
        <f aca="false">IF(Tasks[[#This Row],[Task Name]]="","",COUNTA(Tasks[[#Headers],[Task Name]]:Tasks[[#This Row],[Task Name]])-1)</f>
        <v/>
      </c>
      <c r="B107" s="21" t="n">
        <v>102</v>
      </c>
      <c r="C10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21"/>
      <c r="E107" s="22"/>
      <c r="F107" s="21"/>
      <c r="G107" s="22"/>
      <c r="H107" s="22"/>
      <c r="I107" s="22"/>
      <c r="J107" s="7"/>
      <c r="K107" s="7"/>
      <c r="L107" s="22"/>
      <c r="M107" s="58" t="str">
        <f aca="false">IF(Tasks[[#This Row],[Task Name]]="","",IF(Tasks[[#This Row],[_IsSummary]],MIN(INDEX(Tasks[_ShownFcstStart],Tasks[[#This Row],[_Row]]+1):INDEX(Tasks[_ShownFcstStart],Tasks[[#This Row],[_Row]]+Tasks[[#This Row],[_Descendants]])),Tasks[[#This Row],[_ShownFcstStart]]))</f>
        <v/>
      </c>
      <c r="N107" s="58" t="str">
        <f aca="false">IF(Tasks[[#This Row],[Task Name]]="","",IF(Tasks[[#This Row],[_IsSummary]],MAX(INDEX(Tasks[_ShownFcstFinish],Tasks[[#This Row],[_Row]]+1):INDEX(Tasks[_ShownFcstFinish],Tasks[[#This Row],[_Row]]+Tasks[[#This Row],[_Descendants]])),Tasks[[#This Row],[_ShownFcstFinish]]))</f>
        <v/>
      </c>
      <c r="O107" s="20" t="str">
        <f aca="false">IF(Tasks[[#This Row],[Task Name]]="","",IF(Tasks[[#This Row],[Progress]]&gt;=1,"Complete",IF(OR(N(Tasks[[#This Row],[Actual Start]])&gt;0,Tasks[[#This Row],[Progress]]&gt;0),IF(Tasks[[#This Row],[Finish Var]]&gt;0,"Behind","In Progress"),IF(Tasks[[#This Row],[Planned Start]]&lt;StatusDate,"Late Start","Not Started"))))</f>
        <v/>
      </c>
      <c r="P107" s="20" t="str">
        <f aca="false">IF(Tasks[[#This Row],[Task Name]]="","",IF(IF(Tasks[[#This Row],[_IsSummary]],COUNTIF(INDEX(Tasks[_LeafCritical],Tasks[[#This Row],[_Row]]+1):INDEX(Tasks[_LeafCritical],Tasks[[#This Row],[_Row]]+Tasks[[#This Row],[_Descendants]]),TRUE())&gt;0,Tasks[[#This Row],[_LeafCritical]]),"Yes",""))</f>
        <v/>
      </c>
      <c r="Q10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07" s="67" t="str">
        <f aca="false">IF(Tasks[[#This Row],[Task Name]]="","",IF(Tasks[[#This Row],[_Level]]&lt;=OutlineShowLevel,"Yes","No"))</f>
        <v/>
      </c>
      <c r="S107" s="7"/>
      <c r="T107" s="21"/>
      <c r="U107" s="22"/>
      <c r="V107" s="7"/>
      <c r="W107" s="67" t="str">
        <f aca="false">IF(Tasks[[#This Row],[Task Name]]="","",IF(Tasks[[#This Row],[Finish]]&gt;=Tasks[[#This Row],[Planned Finish]],NETWORKDAYS.INTL(Tasks[[#This Row],[Planned Finish]],Tasks[[#This Row],[Finish]],WorkWeek,Holidays)-1,1-NETWORKDAYS.INTL(Tasks[[#This Row],[Finish]],Tasks[[#This Row],[Planned Finish]],WorkWeek,Holidays)))</f>
        <v/>
      </c>
      <c r="X107" s="58" t="str">
        <f aca="false">IF(Tasks[[#This Row],[Task Name]]="","",IF(N(Tasks[[#This Row],[Baseline Start]])&gt;0,Tasks[[#This Row],[Baseline Start]],Tasks[[#This Row],[_CalcStart]]))</f>
        <v/>
      </c>
      <c r="Y107" s="58" t="str">
        <f aca="false">IF(Tasks[[#This Row],[Task Name]]="","",IF(N(Tasks[[#This Row],[Baseline Finish]])&gt;0,Tasks[[#This Row],[Baseline Finish]],Tasks[[#This Row],[_CalcFinish]]))</f>
        <v/>
      </c>
      <c r="Z107" s="67" t="str">
        <f aca="false">IF(Tasks[[#This Row],[Task Name]]="","",IF(Tasks[[#This Row],[Start]]&gt;=Tasks[[#This Row],[Planned Start]],NETWORKDAYS.INTL(Tasks[[#This Row],[Planned Start]],Tasks[[#This Row],[Start]],WorkWeek,Holidays)-1,1-NETWORKDAYS.INTL(Tasks[[#This Row],[Start]],Tasks[[#This Row],[Planned Start]],WorkWeek,Holidays)))</f>
        <v/>
      </c>
      <c r="AA107" s="58" t="str">
        <f aca="false">IF(Tasks[[#This Row],[Task Name]]="","",IF(Tasks[[#This Row],[_IsSummary]],MIN(INDEX(Tasks[_LeafLateStart],Tasks[[#This Row],[_Row]]+1):INDEX(Tasks[_LeafLateStart],Tasks[[#This Row],[_Row]]+Tasks[[#This Row],[_Descendants]])),Tasks[[#This Row],[_LeafLateStart]]))</f>
        <v/>
      </c>
      <c r="AB107" s="58" t="str">
        <f aca="false">IF(Tasks[[#This Row],[Task Name]]="","",IF(Tasks[[#This Row],[_IsSummary]],MAX(INDEX(Tasks[_LeafLateFinish],Tasks[[#This Row],[_Row]]+1):INDEX(Tasks[_LeafLateFinish],Tasks[[#This Row],[_Row]]+Tasks[[#This Row],[_Descendants]])),Tasks[[#This Row],[_LeafLateFinish]]))</f>
        <v/>
      </c>
      <c r="AC107" s="67" t="str">
        <f aca="false">IF(Tasks[[#This Row],[Task Name]]="","",IF(Tasks[[#This Row],[_IsSummary]],MIN(INDEX(Tasks[_LeafTotalSlack],Tasks[[#This Row],[_Row]]+1):INDEX(Tasks[_LeafTotalSlack],Tasks[[#This Row],[_Row]]+Tasks[[#This Row],[_Descendants]])),Tasks[[#This Row],[_LeafTotalSlack]]))</f>
        <v/>
      </c>
      <c r="AD10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0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0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07" s="60"/>
      <c r="AH10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0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07" s="69" t="str">
        <f aca="false">IF(Tasks[[#This Row],[Task Name]]="","",IF(Tasks[[#This Row],[_IsSummary]],SUM(INDEX(Tasks[_LeafTotalWork],Tasks[[#This Row],[_Row]]+1):INDEX(Tasks[_LeafTotalWork],Tasks[[#This Row],[_Row]]+Tasks[[#This Row],[_Descendants]])),Tasks[[#This Row],[_LeafTotalWork]]))</f>
        <v/>
      </c>
      <c r="AK10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07" s="70" t="str">
        <f aca="false">IF(Tasks[[#This Row],[Task Name]]="","",IF(Tasks[[#This Row],[_IsSummary]],SUM(INDEX(Tasks[_LeafTotalCost],Tasks[[#This Row],[_Row]]+1):INDEX(Tasks[_LeafTotalCost],Tasks[[#This Row],[_Row]]+Tasks[[#This Row],[_Descendants]])),Tasks[[#This Row],[_LeafTotalCost]]))</f>
        <v/>
      </c>
      <c r="AM107" s="71"/>
      <c r="AN107" s="20" t="str">
        <f aca="false">IF(OR(Tasks[[#This Row],[Task Name]]="",Tasks[[#This Row],[Baseline Duration]]=""),"",Tasks[[#This Row],[BL Source Duration]]-N(Tasks[[#This Row],[Baseline Duration]]))</f>
        <v/>
      </c>
      <c r="AO107" s="69" t="str">
        <f aca="false">IF(OR(Tasks[[#This Row],[Task Name]]="",Tasks[[#This Row],[Baseline Work]]=""),"",Tasks[[#This Row],[Work]]-N(Tasks[[#This Row],[Baseline Work]]))</f>
        <v/>
      </c>
      <c r="AP107" s="70" t="str">
        <f aca="false">IF(OR(Tasks[[#This Row],[Task Name]]="",Tasks[[#This Row],[Baseline Cost]]=""),"",Tasks[[#This Row],[Cost]]-N(Tasks[[#This Row],[Baseline Cost]]))</f>
        <v/>
      </c>
      <c r="AQ107" s="58" t="str">
        <f aca="false">IF(Tasks[[#This Row],[Task Name]]="","",Tasks[[#This Row],[Start]])</f>
        <v/>
      </c>
      <c r="AR107" s="58" t="str">
        <f aca="false">IF(Tasks[[#This Row],[Task Name]]="","",Tasks[[#This Row],[Finish]])</f>
        <v/>
      </c>
      <c r="AS107" s="67" t="str">
        <f aca="false">IF(Tasks[[#This Row],[Task Name]]="","",IF(Tasks[[#This Row],[_IsSummary]],NETWORKDAYS.INTL(Tasks[[#This Row],[Start]],Tasks[[#This Row],[Finish]],WorkWeek,Holidays),N(Tasks[[#This Row],[Duration]])))</f>
        <v/>
      </c>
      <c r="AT107" s="69" t="str">
        <f aca="false">IF(Tasks[[#This Row],[Task Name]]="","",Tasks[[#This Row],[Work]])</f>
        <v/>
      </c>
      <c r="AU107" s="70" t="str">
        <f aca="false">IF(Tasks[[#This Row],[Task Name]]="","",Tasks[[#This Row],[Cost]])</f>
        <v/>
      </c>
      <c r="AV107" s="7"/>
      <c r="AW107" s="7"/>
      <c r="AX107" s="21"/>
      <c r="AY107" s="72"/>
      <c r="AZ107" s="71"/>
      <c r="BA107" s="70" t="str">
        <f aca="false">IF(Tasks[[#This Row],[Task Name]]="","",IF(Tasks[[#This Row],[_IsSummary]],SUM(INDEX(Tasks[_LeafEV],Tasks[[#This Row],[_Row]]+1):INDEX(Tasks[_LeafEV],Tasks[[#This Row],[_Row]]+Tasks[[#This Row],[_Descendants]])),Tasks[[#This Row],[_LeafEV]]))</f>
        <v/>
      </c>
      <c r="BB107" s="70" t="str">
        <f aca="false">IF(Tasks[[#This Row],[Task Name]]="","",IF(Tasks[[#This Row],[_IsSummary]],SUM(INDEX(Tasks[_LeafBudget],Tasks[[#This Row],[_Row]]+1):INDEX(Tasks[_LeafBudget],Tasks[[#This Row],[_Row]]+Tasks[[#This Row],[_Descendants]])),Tasks[[#This Row],[_LeafBudget]]))</f>
        <v/>
      </c>
      <c r="BC107" s="70" t="str">
        <f aca="false">IF(Tasks[[#This Row],[Task Name]]="","",IF(Tasks[[#This Row],[_IsSummary]],SUM(INDEX(Tasks[_LeafPV],Tasks[[#This Row],[_Row]]+1):INDEX(Tasks[_LeafPV],Tasks[[#This Row],[_Row]]+Tasks[[#This Row],[_Descendants]])),Tasks[[#This Row],[_LeafPV]]))</f>
        <v/>
      </c>
      <c r="BD107" s="70" t="str">
        <f aca="false">IF(Tasks[[#This Row],[Task Name]]="","",IF(Tasks[[#This Row],[_IsSummary]],SUM(INDEX(Tasks[_LeafAC],Tasks[[#This Row],[_Row]]+1):INDEX(Tasks[_LeafAC],Tasks[[#This Row],[_Row]]+Tasks[[#This Row],[_Descendants]])),Tasks[[#This Row],[_LeafAC]]))</f>
        <v/>
      </c>
      <c r="BE107" s="45" t="str">
        <f aca="false">IF(Tasks[[#This Row],[Task Name]]="","",MAX(1,N(Tasks[[#This Row],[Level]])))</f>
        <v/>
      </c>
      <c r="BF107" s="45" t="n">
        <f aca="false">ROW()-ROW(Tasks[[#Headers],[ID]])</f>
        <v>102</v>
      </c>
      <c r="BG107" s="45" t="n">
        <f aca="false">IF(OR(Tasks[[#This Row],[Task Name]]="",Tasks[[#This Row],[_Level]]&lt;=1),0,IFERROR(LOOKUP(2,1/(Tasks[[#Headers],[_Level]]:Tasks[[#This Row],[_Level]]=Tasks[[#This Row],[_Level]]-1),ROW(Tasks[[#Headers],[_Level]]:Tasks[[#This Row],[_Level]])),0))</f>
        <v>0</v>
      </c>
      <c r="BH107" s="45" t="n">
        <f aca="false">IFERROR(N(INDEX(Tasks[_Level],Tasks[[#This Row],[_Row]]+1)),0)</f>
        <v>0</v>
      </c>
      <c r="BI107" s="73" t="b">
        <f aca="false">AND(Tasks[[#This Row],[Task Name]]&lt;&gt;"",Tasks[[#This Row],[_NextLevel]]&gt;Tasks[[#This Row],[_Level]])</f>
        <v>0</v>
      </c>
      <c r="BJ107" s="45" t="n">
        <f aca="false">IF(Tasks[[#This Row],[_IsSummary]],COUNTIF(Tasks[WBS],Tasks[[#This Row],[WBS]]&amp;".*"),0)</f>
        <v>0</v>
      </c>
      <c r="BK107" s="45" t="n">
        <f aca="false">IF(AND(Tasks[[#This Row],[Task Name]]&lt;&gt;"",NOT(Tasks[[#This Row],[_IsSummary]])),1,0)</f>
        <v>0</v>
      </c>
      <c r="BL107" s="45" t="n">
        <f aca="false">IF(N(Tasks[[#This Row],[_Pred1UID]])=0,0,IFERROR(MATCH(Tasks[[#This Row],[_Pred1UID]],Tasks[UID],0),-1))</f>
        <v>0</v>
      </c>
      <c r="BM107" s="45" t="n">
        <f aca="false">IF(N(Tasks[[#This Row],[_Pred2UID]])=0,0,IFERROR(MATCH(Tasks[[#This Row],[_Pred2UID]],Tasks[UID],0),-1))</f>
        <v>0</v>
      </c>
      <c r="BN107" s="45" t="n">
        <f aca="false">IF(N(Tasks[[#This Row],[_Pred3UID]])=0,0,IFERROR(MATCH(Tasks[[#This Row],[_Pred3UID]],Tasks[UID],0),-1))</f>
        <v>0</v>
      </c>
      <c r="BO107" s="45" t="n">
        <f aca="false">IF(N(Tasks[[#This Row],[_Pred4UID]])=0,0,IFERROR(MATCH(Tasks[[#This Row],[_Pred4UID]],Tasks[UID],0),-1))</f>
        <v>0</v>
      </c>
      <c r="BP10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0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07" s="74" t="n">
        <f aca="false">IF(OR(Tasks[[#This Row],[_ConstraintCode]]=2,Tasks[[#This Row],[_ConstraintCode]]=3,Tasks[[#This Row],[_ConstraintCode]]=4,Tasks[[#This Row],[_ConstraintCode]]=6),Tasks[[#This Row],[_ConstraintStart]],0)</f>
        <v>0</v>
      </c>
      <c r="BS107" s="74" t="n">
        <f aca="false">IF(OR(Tasks[[#This Row],[_ConstraintCode]]=2,Tasks[[#This Row],[_ConstraintCode]]=3,Tasks[[#This Row],[_ConstraintCode]]=5,Tasks[[#This Row],[_ConstraintCode]]=7),Tasks[[#This Row],[_ConstraintStart]],2958465)</f>
        <v>2958465</v>
      </c>
      <c r="BT10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07" s="74" t="str">
        <f aca="false">IF(NOT(Tasks[[#This Row],[_IsLeaf]]=1),"",IF(N(Tasks[[#This Row],[Duration]])&lt;=0,Tasks[[#This Row],[_LeafCalcStart]],WORKDAY.INTL(Tasks[[#This Row],[_LeafCalcStart]],Tasks[[#This Row],[Duration]]-1,WorkWeek,Holidays)))</f>
        <v/>
      </c>
      <c r="BV10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0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07" s="45" t="str">
        <f aca="false">IF(Tasks[[#This Row],[Predecessors]]="","",TRIM(MID(SUBSTITUTE(SUBSTITUTE(SUBSTITUTE(UPPER(Tasks[[#This Row],[Predecessors]]),";",",")," ",""),",",REPT(" ",99)),1,99)))</f>
        <v/>
      </c>
      <c r="BY107" s="45" t="str">
        <f aca="false">IF(Tasks[[#This Row],[_Pred1Text]]="","",IFERROR(VALUE(LEFT(Tasks[[#This Row],[_Pred1Text]],MIN(FIND("F",Tasks[[#This Row],[_Pred1Text]]&amp;"F"),FIND("S",Tasks[[#This Row],[_Pred1Text]]&amp;"S"),FIND("+",Tasks[[#This Row],[_Pred1Text]]&amp;"+"),FIND("-",Tasks[[#This Row],[_Pred1Text]]&amp;"-"))-1)),""))</f>
        <v/>
      </c>
      <c r="BZ10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0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07" s="45" t="str">
        <f aca="false">IF(Tasks[[#This Row],[_Pred1Text]]="","",TRIM(MID(SUBSTITUTE(SUBSTITUTE(SUBSTITUTE(UPPER(Tasks[[#This Row],[Predecessors]]),";",",")," ",""),",",REPT(" ",99)),100,99)))</f>
        <v/>
      </c>
      <c r="CC107" s="45" t="str">
        <f aca="false">IF(Tasks[[#This Row],[_Pred2Text]]="","",IFERROR(VALUE(LEFT(Tasks[[#This Row],[_Pred2Text]],MIN(FIND("F",Tasks[[#This Row],[_Pred2Text]]&amp;"F"),FIND("S",Tasks[[#This Row],[_Pred2Text]]&amp;"S"),FIND("+",Tasks[[#This Row],[_Pred2Text]]&amp;"+"),FIND("-",Tasks[[#This Row],[_Pred2Text]]&amp;"-"))-1)),""))</f>
        <v/>
      </c>
      <c r="CD10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0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07" s="45" t="str">
        <f aca="false">IF(Tasks[[#This Row],[_Pred2Text]]="","",TRIM(MID(SUBSTITUTE(SUBSTITUTE(SUBSTITUTE(UPPER(Tasks[[#This Row],[Predecessors]]),";",",")," ",""),",",REPT(" ",99)),199,99)))</f>
        <v/>
      </c>
      <c r="CG107" s="45" t="str">
        <f aca="false">IF(Tasks[[#This Row],[_Pred3Text]]="","",IFERROR(VALUE(LEFT(Tasks[[#This Row],[_Pred3Text]],MIN(FIND("F",Tasks[[#This Row],[_Pred3Text]]&amp;"F"),FIND("S",Tasks[[#This Row],[_Pred3Text]]&amp;"S"),FIND("+",Tasks[[#This Row],[_Pred3Text]]&amp;"+"),FIND("-",Tasks[[#This Row],[_Pred3Text]]&amp;"-"))-1)),""))</f>
        <v/>
      </c>
      <c r="CH10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0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07" s="45" t="str">
        <f aca="false">IF(Tasks[[#This Row],[_Pred3Text]]="","",TRIM(MID(SUBSTITUTE(SUBSTITUTE(SUBSTITUTE(UPPER(Tasks[[#This Row],[Predecessors]]),";",",")," ",""),",",REPT(" ",99)),298,99)))</f>
        <v/>
      </c>
      <c r="CK107" s="45" t="str">
        <f aca="false">IF(Tasks[[#This Row],[_Pred4Text]]="","",IFERROR(VALUE(LEFT(Tasks[[#This Row],[_Pred4Text]],MIN(FIND("F",Tasks[[#This Row],[_Pred4Text]]&amp;"F"),FIND("S",Tasks[[#This Row],[_Pred4Text]]&amp;"S"),FIND("+",Tasks[[#This Row],[_Pred4Text]]&amp;"+"),FIND("-",Tasks[[#This Row],[_Pred4Text]]&amp;"-"))-1)),""))</f>
        <v/>
      </c>
      <c r="CL10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0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07" s="45" t="str">
        <f aca="false">IF(OR(Tasks[[#This Row],[Task Name]]="",Tasks[[#This Row],[Resources]]=""),"",TRIM(MID(SUBSTITUTE(Tasks[[#This Row],[Resources]],",",REPT(" ",99)),1,99)))</f>
        <v/>
      </c>
      <c r="CO107" s="45" t="str">
        <f aca="false">IF(Tasks[[#This Row],[_Res1Text]]="","",TRIM(MID(SUBSTITUTE(Tasks[[#This Row],[Resources]],",",REPT(" ",99)),100,99)))</f>
        <v/>
      </c>
      <c r="CP107" s="45" t="str">
        <f aca="false">IF(Tasks[[#This Row],[_Res2Text]]="","",TRIM(MID(SUBSTITUTE(Tasks[[#This Row],[Resources]],",",REPT(" ",99)),199,99)))</f>
        <v/>
      </c>
      <c r="CQ107" s="45" t="str">
        <f aca="false">IF(Tasks[[#This Row],[_Res3Text]]="","",TRIM(MID(SUBSTITUTE(Tasks[[#This Row],[Resources]],",",REPT(" ",99)),298,99)))</f>
        <v/>
      </c>
      <c r="CR10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0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7" s="45" t="n">
        <f aca="false">IF(NOT(Tasks[[#This Row],[_IsLeaf]]=1),0,(Tasks[[#This Row],[_Resource1]]&lt;&gt;"")+(Tasks[[#This Row],[_Res2]]&lt;&gt;"")+(Tasks[[#This Row],[_Res3]]&lt;&gt;"")+(Tasks[[#This Row],[_Res4]]&lt;&gt;""))</f>
        <v>0</v>
      </c>
      <c r="CU10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0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7" s="45" t="n">
        <f aca="false">IF(OR(NOT(Tasks[[#This Row],[_IsLeaf]]=1),Tasks[[#This Row],[_Res2]]=""),0,IF(ISNA(MATCH(Tasks[[#This Row],[_Res2]],res_Name,0)),0,N(Tasks[[#This Row],[Duration]])*HoursPerDay*IF(Tasks[[#This Row],[_Res2Units]]="",DefaultUnits,Tasks[[#This Row],[_Res2Units]])))</f>
        <v>0</v>
      </c>
      <c r="CX107" s="45" t="n">
        <f aca="false">IF(Tasks[[#This Row],[_Res2Work]]=0,0,Tasks[[#This Row],[_Res2Work]]*IFERROR(INDEX(res_Rate,MATCH(Tasks[[#This Row],[_Res2]],res_Name,0)),0))</f>
        <v>0</v>
      </c>
      <c r="CY107" s="45" t="n">
        <f aca="false">IF(AND(AND(Tasks[[#This Row],[_IsLeaf]]=1,Tasks[[#This Row],[_LeafTotalWork]]&gt;0),Tasks[[#This Row],[_Res2Work]]&gt;0),Tasks[[#This Row],[_Res2Work]]/(Tasks[[#This Row],[_FinishWorkday]]-Tasks[[#This Row],[_StartWorkday]]+1),0)</f>
        <v>0</v>
      </c>
      <c r="CZ107" s="45" t="n">
        <f aca="false">Tasks[[#This Row],[_Res2WorkPerWD]]*MAX(0,Tasks[[#This Row],[_StartWorkday]]-1)</f>
        <v>0</v>
      </c>
      <c r="DA107" s="45" t="n">
        <f aca="false">Tasks[[#This Row],[_Res2Work]]*Tasks[[#This Row],[_LeafProgress]]</f>
        <v>0</v>
      </c>
      <c r="DB107" s="45" t="n">
        <f aca="false">IF(Tasks[[#This Row],[_LeafTotalCost]]=0,0,Tasks[[#This Row],[_LeafAC]]*Tasks[[#This Row],[_Res2Cost]]/Tasks[[#This Row],[_LeafTotalCost]])</f>
        <v>0</v>
      </c>
      <c r="DC10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0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07" s="45" t="n">
        <f aca="false">IF(OR(NOT(Tasks[[#This Row],[_IsLeaf]]=1),Tasks[[#This Row],[_Res3]]=""),0,IF(ISNA(MATCH(Tasks[[#This Row],[_Res3]],res_Name,0)),0,N(Tasks[[#This Row],[Duration]])*HoursPerDay*IF(Tasks[[#This Row],[_Res3Units]]="",DefaultUnits,Tasks[[#This Row],[_Res3Units]])))</f>
        <v>0</v>
      </c>
      <c r="DF107" s="45" t="n">
        <f aca="false">IF(Tasks[[#This Row],[_Res3Work]]=0,0,Tasks[[#This Row],[_Res3Work]]*IFERROR(INDEX(res_Rate,MATCH(Tasks[[#This Row],[_Res3]],res_Name,0)),0))</f>
        <v>0</v>
      </c>
      <c r="DG107" s="45" t="n">
        <f aca="false">IF(AND(AND(Tasks[[#This Row],[_IsLeaf]]=1,Tasks[[#This Row],[_LeafTotalWork]]&gt;0),Tasks[[#This Row],[_Res3Work]]&gt;0),Tasks[[#This Row],[_Res3Work]]/(Tasks[[#This Row],[_FinishWorkday]]-Tasks[[#This Row],[_StartWorkday]]+1),0)</f>
        <v>0</v>
      </c>
      <c r="DH107" s="45" t="n">
        <f aca="false">Tasks[[#This Row],[_Res3WorkPerWD]]*MAX(0,Tasks[[#This Row],[_StartWorkday]]-1)</f>
        <v>0</v>
      </c>
      <c r="DI107" s="45" t="n">
        <f aca="false">Tasks[[#This Row],[_Res3Work]]*Tasks[[#This Row],[_LeafProgress]]</f>
        <v>0</v>
      </c>
      <c r="DJ107" s="45" t="n">
        <f aca="false">IF(Tasks[[#This Row],[_LeafTotalCost]]=0,0,Tasks[[#This Row],[_LeafAC]]*Tasks[[#This Row],[_Res3Cost]]/Tasks[[#This Row],[_LeafTotalCost]])</f>
        <v>0</v>
      </c>
      <c r="DK10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0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07" s="45" t="n">
        <f aca="false">IF(OR(NOT(Tasks[[#This Row],[_IsLeaf]]=1),Tasks[[#This Row],[_Res4]]=""),0,IF(ISNA(MATCH(Tasks[[#This Row],[_Res4]],res_Name,0)),0,N(Tasks[[#This Row],[Duration]])*HoursPerDay*IF(Tasks[[#This Row],[_Res4Units]]="",DefaultUnits,Tasks[[#This Row],[_Res4Units]])))</f>
        <v>0</v>
      </c>
      <c r="DN107" s="45" t="n">
        <f aca="false">IF(Tasks[[#This Row],[_Res4Work]]=0,0,Tasks[[#This Row],[_Res4Work]]*IFERROR(INDEX(res_Rate,MATCH(Tasks[[#This Row],[_Res4]],res_Name,0)),0))</f>
        <v>0</v>
      </c>
      <c r="DO107" s="45" t="n">
        <f aca="false">IF(AND(AND(Tasks[[#This Row],[_IsLeaf]]=1,Tasks[[#This Row],[_LeafTotalWork]]&gt;0),Tasks[[#This Row],[_Res4Work]]&gt;0),Tasks[[#This Row],[_Res4Work]]/(Tasks[[#This Row],[_FinishWorkday]]-Tasks[[#This Row],[_StartWorkday]]+1),0)</f>
        <v>0</v>
      </c>
      <c r="DP107" s="45" t="n">
        <f aca="false">Tasks[[#This Row],[_Res4WorkPerWD]]*MAX(0,Tasks[[#This Row],[_StartWorkday]]-1)</f>
        <v>0</v>
      </c>
      <c r="DQ107" s="45" t="n">
        <f aca="false">Tasks[[#This Row],[_Res4Work]]*Tasks[[#This Row],[_LeafProgress]]</f>
        <v>0</v>
      </c>
      <c r="DR107" s="45" t="n">
        <f aca="false">IF(Tasks[[#This Row],[_LeafTotalCost]]=0,0,Tasks[[#This Row],[_LeafAC]]*Tasks[[#This Row],[_Res4Cost]]/Tasks[[#This Row],[_LeafTotalCost]])</f>
        <v>0</v>
      </c>
      <c r="DS107" s="45" t="n">
        <f aca="false">IF(ISNUMBER(Tasks[[#This Row],[% Complete]]),Tasks[[#This Row],[% Complete]],IF(Tasks[[#This Row],[Stage]]="",0,IFERROR(INDEX(stg_Pct,MATCH(Tasks[[#This Row],[Stage]],stg_Name,0)),0)))</f>
        <v>0</v>
      </c>
      <c r="DT107" s="45" t="n">
        <f aca="false">IF(NOT(Tasks[[#This Row],[_IsLeaf]]=1),0,IF(N(Tasks[[#This Row],[Actual Finish]])&gt;0,1,MIN(1,Tasks[[#This Row],[_Pct]])))</f>
        <v>0</v>
      </c>
      <c r="DU107" s="45" t="n">
        <f aca="false">IF(OR(NOT(Tasks[[#This Row],[_IsLeaf]]=1),Tasks[[#This Row],[_Resource1]]=""),0,IF(ISNA(MATCH(Tasks[[#This Row],[_Resource1]],res_Name,0)),0,N(Tasks[[#This Row],[Duration]])*HoursPerDay*IF(Tasks[[#This Row],[_Units1]]="",DefaultUnits,Tasks[[#This Row],[_Units1]])))</f>
        <v>0</v>
      </c>
      <c r="DV107" s="45" t="n">
        <f aca="false">IF(Tasks[[#This Row],[_LeafWork]]=0,0,Tasks[[#This Row],[_LeafWork]]*IFERROR(INDEX(res_Rate,MATCH(Tasks[[#This Row],[_Resource1]],res_Name,0)),0))</f>
        <v>0</v>
      </c>
      <c r="DW107" s="45" t="n">
        <f aca="false">Tasks[[#This Row],[_LeafWork]]+Tasks[[#This Row],[_Res2Work]]+Tasks[[#This Row],[_Res3Work]]+Tasks[[#This Row],[_Res4Work]]</f>
        <v>0</v>
      </c>
      <c r="DX107" s="45" t="n">
        <f aca="false">Tasks[[#This Row],[_LeafCost]]+Tasks[[#This Row],[_Res2Cost]]+Tasks[[#This Row],[_Res3Cost]]+Tasks[[#This Row],[_Res4Cost]]</f>
        <v>0</v>
      </c>
      <c r="DY107" s="45" t="n">
        <f aca="false">IF(Tasks[[#This Row],[_LeafTotalCost]]=0,Tasks[[#This Row],[_LeafAC]],Tasks[[#This Row],[_LeafAC]]*Tasks[[#This Row],[_LeafCost]]/Tasks[[#This Row],[_LeafTotalCost]])</f>
        <v>0</v>
      </c>
      <c r="DZ10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0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0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0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0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0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0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0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07" s="45" t="n">
        <f aca="false">IF(NOT(Tasks[[#This Row],[_IsLeaf]]=1),0,MAX(_xlfn.MAXIFS(Tasks[_Row],Tasks[_Pred1UID],Tasks[[#This Row],[UID]]),_xlfn.MAXIFS(Tasks[_Row],Tasks[_Pred2UID],Tasks[[#This Row],[UID]]),_xlfn.MAXIFS(Tasks[_Row],Tasks[_Pred3UID],Tasks[[#This Row],[UID]]),_xlfn.MAXIFS(Tasks[_Row],Tasks[_Pred4UID],Tasks[[#This Row],[UID]])))</f>
        <v>0</v>
      </c>
      <c r="EI10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0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07" s="74" t="str">
        <f aca="false">IF(NOT(Tasks[[#This Row],[_IsLeaf]]=1),"",IF(N(Tasks[[#This Row],[Duration]])&lt;=0,Tasks[[#This Row],[_LeafLateFinish]],WORKDAY.INTL(Tasks[[#This Row],[_LeafLateFinish]],-(Tasks[[#This Row],[Duration]]-1),WorkWeek,Holidays)))</f>
        <v/>
      </c>
      <c r="EL10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07" s="73" t="b">
        <f aca="false">AND(Tasks[[#This Row],[_IsLeaf]]=1,Tasks[[#This Row],[_LeafProgress]]&lt;1,N(Tasks[[#This Row],[_LeafTotalSlack]])&lt;=CriticalSlackDays)</f>
        <v>0</v>
      </c>
      <c r="EN107" s="45" t="n">
        <f aca="false">IF(AND(Tasks[[#This Row],[_IsLeaf]]=1,Tasks[[#This Row],[_ConstraintCode]]=1,Tasks[[#This Row],[Mode]]&lt;&gt;"Manual",N(Tasks[[#This Row],[Actual Start]])=0),MAX(0,N(Tasks[[#This Row],[Free Slack]])),0)</f>
        <v>0</v>
      </c>
      <c r="EO107" s="74" t="str">
        <f aca="false">IF(NOT(Tasks[[#This Row],[_IsLeaf]]=1),"",IF(Tasks[[#This Row],[_AlapShift]]=0,Tasks[[#This Row],[_LeafCalcStart]],WORKDAY.INTL(Tasks[[#This Row],[_LeafCalcStart]],Tasks[[#This Row],[_AlapShift]],WorkWeek,Holidays)))</f>
        <v/>
      </c>
      <c r="EP107" s="74" t="str">
        <f aca="false">IF(NOT(Tasks[[#This Row],[_IsLeaf]]=1),"",IF(Tasks[[#This Row],[_AlapShift]]=0,Tasks[[#This Row],[_LeafCalcFinish]],WORKDAY.INTL(Tasks[[#This Row],[_LeafCalcFinish]],Tasks[[#This Row],[_AlapShift]],WorkWeek,Holidays)))</f>
        <v/>
      </c>
      <c r="EQ107" s="74" t="str">
        <f aca="false">IF(NOT(Tasks[[#This Row],[_IsLeaf]]=1),"",IF(Tasks[[#This Row],[_AlapShift]]=0,Tasks[[#This Row],[_LeafFcstStart]],WORKDAY.INTL(Tasks[[#This Row],[_LeafFcstStart]],Tasks[[#This Row],[_AlapShift]],WorkWeek,Holidays)))</f>
        <v/>
      </c>
      <c r="ER107" s="74" t="str">
        <f aca="false">IF(NOT(Tasks[[#This Row],[_IsLeaf]]=1),"",IF(Tasks[[#This Row],[_AlapShift]]=0,Tasks[[#This Row],[_LeafFcstFinish]],WORKDAY.INTL(Tasks[[#This Row],[_LeafFcstFinish]],Tasks[[#This Row],[_AlapShift]],WorkWeek,Holidays)))</f>
        <v/>
      </c>
      <c r="ES107" s="74" t="str">
        <f aca="false">IF(Tasks[[#This Row],[Task Name]]="","",IF(Tasks[[#This Row],[_IsSummary]],MIN(INDEX(Tasks[_ShownCalcStart],Tasks[[#This Row],[_Row]]+1):INDEX(Tasks[_ShownCalcStart],Tasks[[#This Row],[_Row]]+Tasks[[#This Row],[_Descendants]])),Tasks[[#This Row],[_ShownCalcStart]]))</f>
        <v/>
      </c>
      <c r="ET107" s="74" t="str">
        <f aca="false">IF(Tasks[[#This Row],[Task Name]]="","",IF(Tasks[[#This Row],[_IsSummary]],MAX(INDEX(Tasks[_ShownCalcFinish],Tasks[[#This Row],[_Row]]+1):INDEX(Tasks[_ShownCalcFinish],Tasks[[#This Row],[_Row]]+Tasks[[#This Row],[_Descendants]])),Tasks[[#This Row],[_ShownCalcFinish]]))</f>
        <v/>
      </c>
      <c r="EU10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0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0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0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0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0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0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0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0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0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0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0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07" s="45" t="n">
        <f aca="false">IF(AND(Tasks[[#This Row],[_IsLeaf]]=1,Tasks[[#This Row],[_LeafTotalWork]]&gt;0),NETWORKDAYS.INTL(ProjectStart,Tasks[[#This Row],[_ShownFcstStart]],WorkWeek,Holidays),0)</f>
        <v>0</v>
      </c>
      <c r="FH107" s="45" t="n">
        <f aca="false">IF(AND(Tasks[[#This Row],[_IsLeaf]]=1,Tasks[[#This Row],[_LeafTotalWork]]&gt;0),MAX(Tasks[[#This Row],[_StartWorkday]],NETWORKDAYS.INTL(ProjectStart,Tasks[[#This Row],[_ShownFcstFinish]],WorkWeek,Holidays)),0)</f>
        <v>0</v>
      </c>
      <c r="FI107" s="45" t="n">
        <f aca="false">IF(AND(Tasks[[#This Row],[_IsLeaf]]=1,Tasks[[#This Row],[_LeafTotalWork]]&gt;0),Tasks[[#This Row],[_LeafWork]]/(Tasks[[#This Row],[_FinishWorkday]]-Tasks[[#This Row],[_StartWorkday]]+1),0)</f>
        <v>0</v>
      </c>
      <c r="FJ107" s="45" t="n">
        <f aca="false">Tasks[[#This Row],[_WorkPerWorkday]]*(Tasks[[#This Row],[_StartWorkday]]-1)</f>
        <v>-0</v>
      </c>
      <c r="FK107" s="45" t="n">
        <f aca="false">IF(Tasks[[#This Row],[_IsLeaf]]=1,MAX(N(Tasks[[#This Row],[Duration]]),0.1),0)</f>
        <v>0</v>
      </c>
      <c r="FL107" s="45" t="n">
        <f aca="false">Tasks[[#This Row],[_WeightDur]]*Tasks[[#This Row],[_LeafProgress]]</f>
        <v>0</v>
      </c>
      <c r="FM10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07" s="45" t="str">
        <f aca="false">IF(AND(Tasks[[#This Row],[_IsLeaf]]=1,N(Tasks[[#This Row],[Duration]])=0,Tasks[[#This Row],[_LeafProgress]]&lt;1),Tasks[[#This Row],[_ShownFcstFinish]]+Tasks[[#This Row],[_Row]]/100000,"")</f>
        <v/>
      </c>
      <c r="FO10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07" s="45" t="n">
        <f aca="false">IF(NOT(Tasks[[#This Row],[_IsLeaf]]=1),0,IF(Tasks[[#This Row],[Baseline Cost]]="",Tasks[[#This Row],[_LeafTotalCost]],N(Tasks[[#This Row],[Baseline Cost]])))</f>
        <v>0</v>
      </c>
      <c r="FQ107" s="45" t="n">
        <f aca="false">Tasks[[#This Row],[_LeafBudget]]*Tasks[[#This Row],[_PlannedPct]]</f>
        <v>0</v>
      </c>
      <c r="FR107" s="45" t="n">
        <f aca="false">Tasks[[#This Row],[_LeafBudget]]*Tasks[[#This Row],[_LeafProgress]]</f>
        <v>0</v>
      </c>
      <c r="FS107" s="45" t="n">
        <f aca="false">IF(NOT(Tasks[[#This Row],[_IsLeaf]]=1),0,IF(Tasks[[#This Row],[Actual Cost]]="",Tasks[[#This Row],[_LeafTotalCost]]*Tasks[[#This Row],[_LeafProgress]],N(Tasks[[#This Row],[Actual Cost]])))</f>
        <v>0</v>
      </c>
      <c r="FT107" s="45" t="str">
        <f aca="false">IF(Tasks[[#This Row],[Task Name]]="","",LEFT(Tasks[[#This Row],[WBS]],FIND(".",Tasks[[#This Row],[WBS]]&amp;".")-1))</f>
        <v/>
      </c>
      <c r="FU107" s="45" t="str">
        <f aca="false">IF(AND(Tasks[[#This Row],[Task Name]]&lt;&gt;"",Tasks[[#This Row],[_Level]]=1),Tasks[[#This Row],[_Row]],"")</f>
        <v/>
      </c>
      <c r="FV107" s="45" t="str">
        <f aca="false">IF(AND(Tasks[[#This Row],[_IsLeaf]]=1,N(Tasks[[#This Row],[Duration]])=0),Tasks[[#This Row],[Planned Finish]]+Tasks[[#This Row],[_Row]]/100000,"")</f>
        <v/>
      </c>
      <c r="FW107" s="45" t="str">
        <f aca="false">IF(AND(Tasks[[#This Row],[_IsLeaf]]=1,Tasks[[#This Row],[_LeafProgress]]&lt;1,OR(N(Tasks[[#This Row],[Finish Var]])&gt;0,Tasks[[#This Row],[Status]]="Late Start")),MAX(0,Tasks[[#This Row],[Finish Var]])+1-Tasks[[#This Row],[_Row]]/1000000,"")</f>
        <v/>
      </c>
      <c r="FX107" s="45" t="str">
        <f aca="false">IF(AND(Tasks[[#This Row],[_IsLeaf]]=1,N(Tasks[[#This Row],[Actual Start]])=0,Tasks[[#This Row],[_ShownFcstStart]]&gt;=StatusDate,Tasks[[#This Row],[_ShownFcstStart]]&lt;=LookaheadEnd),Tasks[[#This Row],[_ShownFcstStart]]+Tasks[[#This Row],[_Row]]/100000,"")</f>
        <v/>
      </c>
      <c r="FY107" s="45" t="str">
        <f aca="false">IF(AND(Tasks[[#This Row],[_IsLeaf]]=1,Tasks[[#This Row],[_LeafProgress]]&lt;1,Tasks[[#This Row],[_ShownFcstFinish]]&gt;=StatusDate,Tasks[[#This Row],[_ShownFcstFinish]]&lt;=LookaheadEnd),Tasks[[#This Row],[_ShownFcstFinish]]+Tasks[[#This Row],[_Row]]/100000,"")</f>
        <v/>
      </c>
      <c r="FZ107" s="45" t="str">
        <f aca="false">IF(Tasks[[#This Row],[_LeafCritical]],Tasks[[#This Row],[_ShownFcstStart]]+Tasks[[#This Row],[_Row]]/100000,"")</f>
        <v/>
      </c>
      <c r="GA107" s="45" t="n">
        <f aca="false">Tasks[[#This Row],[_LeafWork]]*Tasks[[#This Row],[_LeafProgress]]</f>
        <v>0</v>
      </c>
      <c r="GB107" s="74" t="str">
        <f aca="false">IF(AND(Tasks[[#This Row],[_IsLeaf]]=1,Tasks[[#This Row],[_LeafProgress]]&gt;=1),IF(N(Tasks[[#This Row],[Actual Finish]])&gt;0,Tasks[[#This Row],[Actual Finish]],Tasks[[#This Row],[_ShownFcstFinish]]),"")</f>
        <v/>
      </c>
    </row>
    <row r="108" customFormat="false" ht="15" hidden="false" customHeight="false" outlineLevel="0" collapsed="false">
      <c r="A108" s="67" t="str">
        <f aca="false">IF(Tasks[[#This Row],[Task Name]]="","",COUNTA(Tasks[[#Headers],[Task Name]]:Tasks[[#This Row],[Task Name]])-1)</f>
        <v/>
      </c>
      <c r="B108" s="21" t="n">
        <v>103</v>
      </c>
      <c r="C10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21"/>
      <c r="E108" s="22"/>
      <c r="F108" s="21"/>
      <c r="G108" s="22"/>
      <c r="H108" s="22"/>
      <c r="I108" s="22"/>
      <c r="J108" s="7"/>
      <c r="K108" s="7"/>
      <c r="L108" s="22"/>
      <c r="M108" s="58" t="str">
        <f aca="false">IF(Tasks[[#This Row],[Task Name]]="","",IF(Tasks[[#This Row],[_IsSummary]],MIN(INDEX(Tasks[_ShownFcstStart],Tasks[[#This Row],[_Row]]+1):INDEX(Tasks[_ShownFcstStart],Tasks[[#This Row],[_Row]]+Tasks[[#This Row],[_Descendants]])),Tasks[[#This Row],[_ShownFcstStart]]))</f>
        <v/>
      </c>
      <c r="N108" s="58" t="str">
        <f aca="false">IF(Tasks[[#This Row],[Task Name]]="","",IF(Tasks[[#This Row],[_IsSummary]],MAX(INDEX(Tasks[_ShownFcstFinish],Tasks[[#This Row],[_Row]]+1):INDEX(Tasks[_ShownFcstFinish],Tasks[[#This Row],[_Row]]+Tasks[[#This Row],[_Descendants]])),Tasks[[#This Row],[_ShownFcstFinish]]))</f>
        <v/>
      </c>
      <c r="O108" s="20" t="str">
        <f aca="false">IF(Tasks[[#This Row],[Task Name]]="","",IF(Tasks[[#This Row],[Progress]]&gt;=1,"Complete",IF(OR(N(Tasks[[#This Row],[Actual Start]])&gt;0,Tasks[[#This Row],[Progress]]&gt;0),IF(Tasks[[#This Row],[Finish Var]]&gt;0,"Behind","In Progress"),IF(Tasks[[#This Row],[Planned Start]]&lt;StatusDate,"Late Start","Not Started"))))</f>
        <v/>
      </c>
      <c r="P108" s="20" t="str">
        <f aca="false">IF(Tasks[[#This Row],[Task Name]]="","",IF(IF(Tasks[[#This Row],[_IsSummary]],COUNTIF(INDEX(Tasks[_LeafCritical],Tasks[[#This Row],[_Row]]+1):INDEX(Tasks[_LeafCritical],Tasks[[#This Row],[_Row]]+Tasks[[#This Row],[_Descendants]]),TRUE())&gt;0,Tasks[[#This Row],[_LeafCritical]]),"Yes",""))</f>
        <v/>
      </c>
      <c r="Q10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08" s="67" t="str">
        <f aca="false">IF(Tasks[[#This Row],[Task Name]]="","",IF(Tasks[[#This Row],[_Level]]&lt;=OutlineShowLevel,"Yes","No"))</f>
        <v/>
      </c>
      <c r="S108" s="7"/>
      <c r="T108" s="21"/>
      <c r="U108" s="22"/>
      <c r="V108" s="7"/>
      <c r="W108" s="67" t="str">
        <f aca="false">IF(Tasks[[#This Row],[Task Name]]="","",IF(Tasks[[#This Row],[Finish]]&gt;=Tasks[[#This Row],[Planned Finish]],NETWORKDAYS.INTL(Tasks[[#This Row],[Planned Finish]],Tasks[[#This Row],[Finish]],WorkWeek,Holidays)-1,1-NETWORKDAYS.INTL(Tasks[[#This Row],[Finish]],Tasks[[#This Row],[Planned Finish]],WorkWeek,Holidays)))</f>
        <v/>
      </c>
      <c r="X108" s="58" t="str">
        <f aca="false">IF(Tasks[[#This Row],[Task Name]]="","",IF(N(Tasks[[#This Row],[Baseline Start]])&gt;0,Tasks[[#This Row],[Baseline Start]],Tasks[[#This Row],[_CalcStart]]))</f>
        <v/>
      </c>
      <c r="Y108" s="58" t="str">
        <f aca="false">IF(Tasks[[#This Row],[Task Name]]="","",IF(N(Tasks[[#This Row],[Baseline Finish]])&gt;0,Tasks[[#This Row],[Baseline Finish]],Tasks[[#This Row],[_CalcFinish]]))</f>
        <v/>
      </c>
      <c r="Z108" s="67" t="str">
        <f aca="false">IF(Tasks[[#This Row],[Task Name]]="","",IF(Tasks[[#This Row],[Start]]&gt;=Tasks[[#This Row],[Planned Start]],NETWORKDAYS.INTL(Tasks[[#This Row],[Planned Start]],Tasks[[#This Row],[Start]],WorkWeek,Holidays)-1,1-NETWORKDAYS.INTL(Tasks[[#This Row],[Start]],Tasks[[#This Row],[Planned Start]],WorkWeek,Holidays)))</f>
        <v/>
      </c>
      <c r="AA108" s="58" t="str">
        <f aca="false">IF(Tasks[[#This Row],[Task Name]]="","",IF(Tasks[[#This Row],[_IsSummary]],MIN(INDEX(Tasks[_LeafLateStart],Tasks[[#This Row],[_Row]]+1):INDEX(Tasks[_LeafLateStart],Tasks[[#This Row],[_Row]]+Tasks[[#This Row],[_Descendants]])),Tasks[[#This Row],[_LeafLateStart]]))</f>
        <v/>
      </c>
      <c r="AB108" s="58" t="str">
        <f aca="false">IF(Tasks[[#This Row],[Task Name]]="","",IF(Tasks[[#This Row],[_IsSummary]],MAX(INDEX(Tasks[_LeafLateFinish],Tasks[[#This Row],[_Row]]+1):INDEX(Tasks[_LeafLateFinish],Tasks[[#This Row],[_Row]]+Tasks[[#This Row],[_Descendants]])),Tasks[[#This Row],[_LeafLateFinish]]))</f>
        <v/>
      </c>
      <c r="AC108" s="67" t="str">
        <f aca="false">IF(Tasks[[#This Row],[Task Name]]="","",IF(Tasks[[#This Row],[_IsSummary]],MIN(INDEX(Tasks[_LeafTotalSlack],Tasks[[#This Row],[_Row]]+1):INDEX(Tasks[_LeafTotalSlack],Tasks[[#This Row],[_Row]]+Tasks[[#This Row],[_Descendants]])),Tasks[[#This Row],[_LeafTotalSlack]]))</f>
        <v/>
      </c>
      <c r="AD10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0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0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08" s="60"/>
      <c r="AH10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0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08" s="69" t="str">
        <f aca="false">IF(Tasks[[#This Row],[Task Name]]="","",IF(Tasks[[#This Row],[_IsSummary]],SUM(INDEX(Tasks[_LeafTotalWork],Tasks[[#This Row],[_Row]]+1):INDEX(Tasks[_LeafTotalWork],Tasks[[#This Row],[_Row]]+Tasks[[#This Row],[_Descendants]])),Tasks[[#This Row],[_LeafTotalWork]]))</f>
        <v/>
      </c>
      <c r="AK10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08" s="70" t="str">
        <f aca="false">IF(Tasks[[#This Row],[Task Name]]="","",IF(Tasks[[#This Row],[_IsSummary]],SUM(INDEX(Tasks[_LeafTotalCost],Tasks[[#This Row],[_Row]]+1):INDEX(Tasks[_LeafTotalCost],Tasks[[#This Row],[_Row]]+Tasks[[#This Row],[_Descendants]])),Tasks[[#This Row],[_LeafTotalCost]]))</f>
        <v/>
      </c>
      <c r="AM108" s="71"/>
      <c r="AN108" s="20" t="str">
        <f aca="false">IF(OR(Tasks[[#This Row],[Task Name]]="",Tasks[[#This Row],[Baseline Duration]]=""),"",Tasks[[#This Row],[BL Source Duration]]-N(Tasks[[#This Row],[Baseline Duration]]))</f>
        <v/>
      </c>
      <c r="AO108" s="69" t="str">
        <f aca="false">IF(OR(Tasks[[#This Row],[Task Name]]="",Tasks[[#This Row],[Baseline Work]]=""),"",Tasks[[#This Row],[Work]]-N(Tasks[[#This Row],[Baseline Work]]))</f>
        <v/>
      </c>
      <c r="AP108" s="70" t="str">
        <f aca="false">IF(OR(Tasks[[#This Row],[Task Name]]="",Tasks[[#This Row],[Baseline Cost]]=""),"",Tasks[[#This Row],[Cost]]-N(Tasks[[#This Row],[Baseline Cost]]))</f>
        <v/>
      </c>
      <c r="AQ108" s="58" t="str">
        <f aca="false">IF(Tasks[[#This Row],[Task Name]]="","",Tasks[[#This Row],[Start]])</f>
        <v/>
      </c>
      <c r="AR108" s="58" t="str">
        <f aca="false">IF(Tasks[[#This Row],[Task Name]]="","",Tasks[[#This Row],[Finish]])</f>
        <v/>
      </c>
      <c r="AS108" s="67" t="str">
        <f aca="false">IF(Tasks[[#This Row],[Task Name]]="","",IF(Tasks[[#This Row],[_IsSummary]],NETWORKDAYS.INTL(Tasks[[#This Row],[Start]],Tasks[[#This Row],[Finish]],WorkWeek,Holidays),N(Tasks[[#This Row],[Duration]])))</f>
        <v/>
      </c>
      <c r="AT108" s="69" t="str">
        <f aca="false">IF(Tasks[[#This Row],[Task Name]]="","",Tasks[[#This Row],[Work]])</f>
        <v/>
      </c>
      <c r="AU108" s="70" t="str">
        <f aca="false">IF(Tasks[[#This Row],[Task Name]]="","",Tasks[[#This Row],[Cost]])</f>
        <v/>
      </c>
      <c r="AV108" s="7"/>
      <c r="AW108" s="7"/>
      <c r="AX108" s="21"/>
      <c r="AY108" s="72"/>
      <c r="AZ108" s="71"/>
      <c r="BA108" s="70" t="str">
        <f aca="false">IF(Tasks[[#This Row],[Task Name]]="","",IF(Tasks[[#This Row],[_IsSummary]],SUM(INDEX(Tasks[_LeafEV],Tasks[[#This Row],[_Row]]+1):INDEX(Tasks[_LeafEV],Tasks[[#This Row],[_Row]]+Tasks[[#This Row],[_Descendants]])),Tasks[[#This Row],[_LeafEV]]))</f>
        <v/>
      </c>
      <c r="BB108" s="70" t="str">
        <f aca="false">IF(Tasks[[#This Row],[Task Name]]="","",IF(Tasks[[#This Row],[_IsSummary]],SUM(INDEX(Tasks[_LeafBudget],Tasks[[#This Row],[_Row]]+1):INDEX(Tasks[_LeafBudget],Tasks[[#This Row],[_Row]]+Tasks[[#This Row],[_Descendants]])),Tasks[[#This Row],[_LeafBudget]]))</f>
        <v/>
      </c>
      <c r="BC108" s="70" t="str">
        <f aca="false">IF(Tasks[[#This Row],[Task Name]]="","",IF(Tasks[[#This Row],[_IsSummary]],SUM(INDEX(Tasks[_LeafPV],Tasks[[#This Row],[_Row]]+1):INDEX(Tasks[_LeafPV],Tasks[[#This Row],[_Row]]+Tasks[[#This Row],[_Descendants]])),Tasks[[#This Row],[_LeafPV]]))</f>
        <v/>
      </c>
      <c r="BD108" s="70" t="str">
        <f aca="false">IF(Tasks[[#This Row],[Task Name]]="","",IF(Tasks[[#This Row],[_IsSummary]],SUM(INDEX(Tasks[_LeafAC],Tasks[[#This Row],[_Row]]+1):INDEX(Tasks[_LeafAC],Tasks[[#This Row],[_Row]]+Tasks[[#This Row],[_Descendants]])),Tasks[[#This Row],[_LeafAC]]))</f>
        <v/>
      </c>
      <c r="BE108" s="45" t="str">
        <f aca="false">IF(Tasks[[#This Row],[Task Name]]="","",MAX(1,N(Tasks[[#This Row],[Level]])))</f>
        <v/>
      </c>
      <c r="BF108" s="45" t="n">
        <f aca="false">ROW()-ROW(Tasks[[#Headers],[ID]])</f>
        <v>103</v>
      </c>
      <c r="BG108" s="45" t="n">
        <f aca="false">IF(OR(Tasks[[#This Row],[Task Name]]="",Tasks[[#This Row],[_Level]]&lt;=1),0,IFERROR(LOOKUP(2,1/(Tasks[[#Headers],[_Level]]:Tasks[[#This Row],[_Level]]=Tasks[[#This Row],[_Level]]-1),ROW(Tasks[[#Headers],[_Level]]:Tasks[[#This Row],[_Level]])),0))</f>
        <v>0</v>
      </c>
      <c r="BH108" s="45" t="n">
        <f aca="false">IFERROR(N(INDEX(Tasks[_Level],Tasks[[#This Row],[_Row]]+1)),0)</f>
        <v>0</v>
      </c>
      <c r="BI108" s="73" t="b">
        <f aca="false">AND(Tasks[[#This Row],[Task Name]]&lt;&gt;"",Tasks[[#This Row],[_NextLevel]]&gt;Tasks[[#This Row],[_Level]])</f>
        <v>0</v>
      </c>
      <c r="BJ108" s="45" t="n">
        <f aca="false">IF(Tasks[[#This Row],[_IsSummary]],COUNTIF(Tasks[WBS],Tasks[[#This Row],[WBS]]&amp;".*"),0)</f>
        <v>0</v>
      </c>
      <c r="BK108" s="45" t="n">
        <f aca="false">IF(AND(Tasks[[#This Row],[Task Name]]&lt;&gt;"",NOT(Tasks[[#This Row],[_IsSummary]])),1,0)</f>
        <v>0</v>
      </c>
      <c r="BL108" s="45" t="n">
        <f aca="false">IF(N(Tasks[[#This Row],[_Pred1UID]])=0,0,IFERROR(MATCH(Tasks[[#This Row],[_Pred1UID]],Tasks[UID],0),-1))</f>
        <v>0</v>
      </c>
      <c r="BM108" s="45" t="n">
        <f aca="false">IF(N(Tasks[[#This Row],[_Pred2UID]])=0,0,IFERROR(MATCH(Tasks[[#This Row],[_Pred2UID]],Tasks[UID],0),-1))</f>
        <v>0</v>
      </c>
      <c r="BN108" s="45" t="n">
        <f aca="false">IF(N(Tasks[[#This Row],[_Pred3UID]])=0,0,IFERROR(MATCH(Tasks[[#This Row],[_Pred3UID]],Tasks[UID],0),-1))</f>
        <v>0</v>
      </c>
      <c r="BO108" s="45" t="n">
        <f aca="false">IF(N(Tasks[[#This Row],[_Pred4UID]])=0,0,IFERROR(MATCH(Tasks[[#This Row],[_Pred4UID]],Tasks[UID],0),-1))</f>
        <v>0</v>
      </c>
      <c r="BP10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0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08" s="74" t="n">
        <f aca="false">IF(OR(Tasks[[#This Row],[_ConstraintCode]]=2,Tasks[[#This Row],[_ConstraintCode]]=3,Tasks[[#This Row],[_ConstraintCode]]=4,Tasks[[#This Row],[_ConstraintCode]]=6),Tasks[[#This Row],[_ConstraintStart]],0)</f>
        <v>0</v>
      </c>
      <c r="BS108" s="74" t="n">
        <f aca="false">IF(OR(Tasks[[#This Row],[_ConstraintCode]]=2,Tasks[[#This Row],[_ConstraintCode]]=3,Tasks[[#This Row],[_ConstraintCode]]=5,Tasks[[#This Row],[_ConstraintCode]]=7),Tasks[[#This Row],[_ConstraintStart]],2958465)</f>
        <v>2958465</v>
      </c>
      <c r="BT10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08" s="74" t="str">
        <f aca="false">IF(NOT(Tasks[[#This Row],[_IsLeaf]]=1),"",IF(N(Tasks[[#This Row],[Duration]])&lt;=0,Tasks[[#This Row],[_LeafCalcStart]],WORKDAY.INTL(Tasks[[#This Row],[_LeafCalcStart]],Tasks[[#This Row],[Duration]]-1,WorkWeek,Holidays)))</f>
        <v/>
      </c>
      <c r="BV10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0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08" s="45" t="str">
        <f aca="false">IF(Tasks[[#This Row],[Predecessors]]="","",TRIM(MID(SUBSTITUTE(SUBSTITUTE(SUBSTITUTE(UPPER(Tasks[[#This Row],[Predecessors]]),";",",")," ",""),",",REPT(" ",99)),1,99)))</f>
        <v/>
      </c>
      <c r="BY108" s="45" t="str">
        <f aca="false">IF(Tasks[[#This Row],[_Pred1Text]]="","",IFERROR(VALUE(LEFT(Tasks[[#This Row],[_Pred1Text]],MIN(FIND("F",Tasks[[#This Row],[_Pred1Text]]&amp;"F"),FIND("S",Tasks[[#This Row],[_Pred1Text]]&amp;"S"),FIND("+",Tasks[[#This Row],[_Pred1Text]]&amp;"+"),FIND("-",Tasks[[#This Row],[_Pred1Text]]&amp;"-"))-1)),""))</f>
        <v/>
      </c>
      <c r="BZ10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0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08" s="45" t="str">
        <f aca="false">IF(Tasks[[#This Row],[_Pred1Text]]="","",TRIM(MID(SUBSTITUTE(SUBSTITUTE(SUBSTITUTE(UPPER(Tasks[[#This Row],[Predecessors]]),";",",")," ",""),",",REPT(" ",99)),100,99)))</f>
        <v/>
      </c>
      <c r="CC108" s="45" t="str">
        <f aca="false">IF(Tasks[[#This Row],[_Pred2Text]]="","",IFERROR(VALUE(LEFT(Tasks[[#This Row],[_Pred2Text]],MIN(FIND("F",Tasks[[#This Row],[_Pred2Text]]&amp;"F"),FIND("S",Tasks[[#This Row],[_Pred2Text]]&amp;"S"),FIND("+",Tasks[[#This Row],[_Pred2Text]]&amp;"+"),FIND("-",Tasks[[#This Row],[_Pred2Text]]&amp;"-"))-1)),""))</f>
        <v/>
      </c>
      <c r="CD10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0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08" s="45" t="str">
        <f aca="false">IF(Tasks[[#This Row],[_Pred2Text]]="","",TRIM(MID(SUBSTITUTE(SUBSTITUTE(SUBSTITUTE(UPPER(Tasks[[#This Row],[Predecessors]]),";",",")," ",""),",",REPT(" ",99)),199,99)))</f>
        <v/>
      </c>
      <c r="CG108" s="45" t="str">
        <f aca="false">IF(Tasks[[#This Row],[_Pred3Text]]="","",IFERROR(VALUE(LEFT(Tasks[[#This Row],[_Pred3Text]],MIN(FIND("F",Tasks[[#This Row],[_Pred3Text]]&amp;"F"),FIND("S",Tasks[[#This Row],[_Pred3Text]]&amp;"S"),FIND("+",Tasks[[#This Row],[_Pred3Text]]&amp;"+"),FIND("-",Tasks[[#This Row],[_Pred3Text]]&amp;"-"))-1)),""))</f>
        <v/>
      </c>
      <c r="CH10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0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08" s="45" t="str">
        <f aca="false">IF(Tasks[[#This Row],[_Pred3Text]]="","",TRIM(MID(SUBSTITUTE(SUBSTITUTE(SUBSTITUTE(UPPER(Tasks[[#This Row],[Predecessors]]),";",",")," ",""),",",REPT(" ",99)),298,99)))</f>
        <v/>
      </c>
      <c r="CK108" s="45" t="str">
        <f aca="false">IF(Tasks[[#This Row],[_Pred4Text]]="","",IFERROR(VALUE(LEFT(Tasks[[#This Row],[_Pred4Text]],MIN(FIND("F",Tasks[[#This Row],[_Pred4Text]]&amp;"F"),FIND("S",Tasks[[#This Row],[_Pred4Text]]&amp;"S"),FIND("+",Tasks[[#This Row],[_Pred4Text]]&amp;"+"),FIND("-",Tasks[[#This Row],[_Pred4Text]]&amp;"-"))-1)),""))</f>
        <v/>
      </c>
      <c r="CL10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0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08" s="45" t="str">
        <f aca="false">IF(OR(Tasks[[#This Row],[Task Name]]="",Tasks[[#This Row],[Resources]]=""),"",TRIM(MID(SUBSTITUTE(Tasks[[#This Row],[Resources]],",",REPT(" ",99)),1,99)))</f>
        <v/>
      </c>
      <c r="CO108" s="45" t="str">
        <f aca="false">IF(Tasks[[#This Row],[_Res1Text]]="","",TRIM(MID(SUBSTITUTE(Tasks[[#This Row],[Resources]],",",REPT(" ",99)),100,99)))</f>
        <v/>
      </c>
      <c r="CP108" s="45" t="str">
        <f aca="false">IF(Tasks[[#This Row],[_Res2Text]]="","",TRIM(MID(SUBSTITUTE(Tasks[[#This Row],[Resources]],",",REPT(" ",99)),199,99)))</f>
        <v/>
      </c>
      <c r="CQ108" s="45" t="str">
        <f aca="false">IF(Tasks[[#This Row],[_Res3Text]]="","",TRIM(MID(SUBSTITUTE(Tasks[[#This Row],[Resources]],",",REPT(" ",99)),298,99)))</f>
        <v/>
      </c>
      <c r="CR10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0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8" s="45" t="n">
        <f aca="false">IF(NOT(Tasks[[#This Row],[_IsLeaf]]=1),0,(Tasks[[#This Row],[_Resource1]]&lt;&gt;"")+(Tasks[[#This Row],[_Res2]]&lt;&gt;"")+(Tasks[[#This Row],[_Res3]]&lt;&gt;"")+(Tasks[[#This Row],[_Res4]]&lt;&gt;""))</f>
        <v>0</v>
      </c>
      <c r="CU10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0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8" s="45" t="n">
        <f aca="false">IF(OR(NOT(Tasks[[#This Row],[_IsLeaf]]=1),Tasks[[#This Row],[_Res2]]=""),0,IF(ISNA(MATCH(Tasks[[#This Row],[_Res2]],res_Name,0)),0,N(Tasks[[#This Row],[Duration]])*HoursPerDay*IF(Tasks[[#This Row],[_Res2Units]]="",DefaultUnits,Tasks[[#This Row],[_Res2Units]])))</f>
        <v>0</v>
      </c>
      <c r="CX108" s="45" t="n">
        <f aca="false">IF(Tasks[[#This Row],[_Res2Work]]=0,0,Tasks[[#This Row],[_Res2Work]]*IFERROR(INDEX(res_Rate,MATCH(Tasks[[#This Row],[_Res2]],res_Name,0)),0))</f>
        <v>0</v>
      </c>
      <c r="CY108" s="45" t="n">
        <f aca="false">IF(AND(AND(Tasks[[#This Row],[_IsLeaf]]=1,Tasks[[#This Row],[_LeafTotalWork]]&gt;0),Tasks[[#This Row],[_Res2Work]]&gt;0),Tasks[[#This Row],[_Res2Work]]/(Tasks[[#This Row],[_FinishWorkday]]-Tasks[[#This Row],[_StartWorkday]]+1),0)</f>
        <v>0</v>
      </c>
      <c r="CZ108" s="45" t="n">
        <f aca="false">Tasks[[#This Row],[_Res2WorkPerWD]]*MAX(0,Tasks[[#This Row],[_StartWorkday]]-1)</f>
        <v>0</v>
      </c>
      <c r="DA108" s="45" t="n">
        <f aca="false">Tasks[[#This Row],[_Res2Work]]*Tasks[[#This Row],[_LeafProgress]]</f>
        <v>0</v>
      </c>
      <c r="DB108" s="45" t="n">
        <f aca="false">IF(Tasks[[#This Row],[_LeafTotalCost]]=0,0,Tasks[[#This Row],[_LeafAC]]*Tasks[[#This Row],[_Res2Cost]]/Tasks[[#This Row],[_LeafTotalCost]])</f>
        <v>0</v>
      </c>
      <c r="DC10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0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08" s="45" t="n">
        <f aca="false">IF(OR(NOT(Tasks[[#This Row],[_IsLeaf]]=1),Tasks[[#This Row],[_Res3]]=""),0,IF(ISNA(MATCH(Tasks[[#This Row],[_Res3]],res_Name,0)),0,N(Tasks[[#This Row],[Duration]])*HoursPerDay*IF(Tasks[[#This Row],[_Res3Units]]="",DefaultUnits,Tasks[[#This Row],[_Res3Units]])))</f>
        <v>0</v>
      </c>
      <c r="DF108" s="45" t="n">
        <f aca="false">IF(Tasks[[#This Row],[_Res3Work]]=0,0,Tasks[[#This Row],[_Res3Work]]*IFERROR(INDEX(res_Rate,MATCH(Tasks[[#This Row],[_Res3]],res_Name,0)),0))</f>
        <v>0</v>
      </c>
      <c r="DG108" s="45" t="n">
        <f aca="false">IF(AND(AND(Tasks[[#This Row],[_IsLeaf]]=1,Tasks[[#This Row],[_LeafTotalWork]]&gt;0),Tasks[[#This Row],[_Res3Work]]&gt;0),Tasks[[#This Row],[_Res3Work]]/(Tasks[[#This Row],[_FinishWorkday]]-Tasks[[#This Row],[_StartWorkday]]+1),0)</f>
        <v>0</v>
      </c>
      <c r="DH108" s="45" t="n">
        <f aca="false">Tasks[[#This Row],[_Res3WorkPerWD]]*MAX(0,Tasks[[#This Row],[_StartWorkday]]-1)</f>
        <v>0</v>
      </c>
      <c r="DI108" s="45" t="n">
        <f aca="false">Tasks[[#This Row],[_Res3Work]]*Tasks[[#This Row],[_LeafProgress]]</f>
        <v>0</v>
      </c>
      <c r="DJ108" s="45" t="n">
        <f aca="false">IF(Tasks[[#This Row],[_LeafTotalCost]]=0,0,Tasks[[#This Row],[_LeafAC]]*Tasks[[#This Row],[_Res3Cost]]/Tasks[[#This Row],[_LeafTotalCost]])</f>
        <v>0</v>
      </c>
      <c r="DK10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0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08" s="45" t="n">
        <f aca="false">IF(OR(NOT(Tasks[[#This Row],[_IsLeaf]]=1),Tasks[[#This Row],[_Res4]]=""),0,IF(ISNA(MATCH(Tasks[[#This Row],[_Res4]],res_Name,0)),0,N(Tasks[[#This Row],[Duration]])*HoursPerDay*IF(Tasks[[#This Row],[_Res4Units]]="",DefaultUnits,Tasks[[#This Row],[_Res4Units]])))</f>
        <v>0</v>
      </c>
      <c r="DN108" s="45" t="n">
        <f aca="false">IF(Tasks[[#This Row],[_Res4Work]]=0,0,Tasks[[#This Row],[_Res4Work]]*IFERROR(INDEX(res_Rate,MATCH(Tasks[[#This Row],[_Res4]],res_Name,0)),0))</f>
        <v>0</v>
      </c>
      <c r="DO108" s="45" t="n">
        <f aca="false">IF(AND(AND(Tasks[[#This Row],[_IsLeaf]]=1,Tasks[[#This Row],[_LeafTotalWork]]&gt;0),Tasks[[#This Row],[_Res4Work]]&gt;0),Tasks[[#This Row],[_Res4Work]]/(Tasks[[#This Row],[_FinishWorkday]]-Tasks[[#This Row],[_StartWorkday]]+1),0)</f>
        <v>0</v>
      </c>
      <c r="DP108" s="45" t="n">
        <f aca="false">Tasks[[#This Row],[_Res4WorkPerWD]]*MAX(0,Tasks[[#This Row],[_StartWorkday]]-1)</f>
        <v>0</v>
      </c>
      <c r="DQ108" s="45" t="n">
        <f aca="false">Tasks[[#This Row],[_Res4Work]]*Tasks[[#This Row],[_LeafProgress]]</f>
        <v>0</v>
      </c>
      <c r="DR108" s="45" t="n">
        <f aca="false">IF(Tasks[[#This Row],[_LeafTotalCost]]=0,0,Tasks[[#This Row],[_LeafAC]]*Tasks[[#This Row],[_Res4Cost]]/Tasks[[#This Row],[_LeafTotalCost]])</f>
        <v>0</v>
      </c>
      <c r="DS108" s="45" t="n">
        <f aca="false">IF(ISNUMBER(Tasks[[#This Row],[% Complete]]),Tasks[[#This Row],[% Complete]],IF(Tasks[[#This Row],[Stage]]="",0,IFERROR(INDEX(stg_Pct,MATCH(Tasks[[#This Row],[Stage]],stg_Name,0)),0)))</f>
        <v>0</v>
      </c>
      <c r="DT108" s="45" t="n">
        <f aca="false">IF(NOT(Tasks[[#This Row],[_IsLeaf]]=1),0,IF(N(Tasks[[#This Row],[Actual Finish]])&gt;0,1,MIN(1,Tasks[[#This Row],[_Pct]])))</f>
        <v>0</v>
      </c>
      <c r="DU108" s="45" t="n">
        <f aca="false">IF(OR(NOT(Tasks[[#This Row],[_IsLeaf]]=1),Tasks[[#This Row],[_Resource1]]=""),0,IF(ISNA(MATCH(Tasks[[#This Row],[_Resource1]],res_Name,0)),0,N(Tasks[[#This Row],[Duration]])*HoursPerDay*IF(Tasks[[#This Row],[_Units1]]="",DefaultUnits,Tasks[[#This Row],[_Units1]])))</f>
        <v>0</v>
      </c>
      <c r="DV108" s="45" t="n">
        <f aca="false">IF(Tasks[[#This Row],[_LeafWork]]=0,0,Tasks[[#This Row],[_LeafWork]]*IFERROR(INDEX(res_Rate,MATCH(Tasks[[#This Row],[_Resource1]],res_Name,0)),0))</f>
        <v>0</v>
      </c>
      <c r="DW108" s="45" t="n">
        <f aca="false">Tasks[[#This Row],[_LeafWork]]+Tasks[[#This Row],[_Res2Work]]+Tasks[[#This Row],[_Res3Work]]+Tasks[[#This Row],[_Res4Work]]</f>
        <v>0</v>
      </c>
      <c r="DX108" s="45" t="n">
        <f aca="false">Tasks[[#This Row],[_LeafCost]]+Tasks[[#This Row],[_Res2Cost]]+Tasks[[#This Row],[_Res3Cost]]+Tasks[[#This Row],[_Res4Cost]]</f>
        <v>0</v>
      </c>
      <c r="DY108" s="45" t="n">
        <f aca="false">IF(Tasks[[#This Row],[_LeafTotalCost]]=0,Tasks[[#This Row],[_LeafAC]],Tasks[[#This Row],[_LeafAC]]*Tasks[[#This Row],[_LeafCost]]/Tasks[[#This Row],[_LeafTotalCost]])</f>
        <v>0</v>
      </c>
      <c r="DZ10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0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0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0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0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0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0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0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08" s="45" t="n">
        <f aca="false">IF(NOT(Tasks[[#This Row],[_IsLeaf]]=1),0,MAX(_xlfn.MAXIFS(Tasks[_Row],Tasks[_Pred1UID],Tasks[[#This Row],[UID]]),_xlfn.MAXIFS(Tasks[_Row],Tasks[_Pred2UID],Tasks[[#This Row],[UID]]),_xlfn.MAXIFS(Tasks[_Row],Tasks[_Pred3UID],Tasks[[#This Row],[UID]]),_xlfn.MAXIFS(Tasks[_Row],Tasks[_Pred4UID],Tasks[[#This Row],[UID]])))</f>
        <v>0</v>
      </c>
      <c r="EI10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0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08" s="74" t="str">
        <f aca="false">IF(NOT(Tasks[[#This Row],[_IsLeaf]]=1),"",IF(N(Tasks[[#This Row],[Duration]])&lt;=0,Tasks[[#This Row],[_LeafLateFinish]],WORKDAY.INTL(Tasks[[#This Row],[_LeafLateFinish]],-(Tasks[[#This Row],[Duration]]-1),WorkWeek,Holidays)))</f>
        <v/>
      </c>
      <c r="EL10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08" s="73" t="b">
        <f aca="false">AND(Tasks[[#This Row],[_IsLeaf]]=1,Tasks[[#This Row],[_LeafProgress]]&lt;1,N(Tasks[[#This Row],[_LeafTotalSlack]])&lt;=CriticalSlackDays)</f>
        <v>0</v>
      </c>
      <c r="EN108" s="45" t="n">
        <f aca="false">IF(AND(Tasks[[#This Row],[_IsLeaf]]=1,Tasks[[#This Row],[_ConstraintCode]]=1,Tasks[[#This Row],[Mode]]&lt;&gt;"Manual",N(Tasks[[#This Row],[Actual Start]])=0),MAX(0,N(Tasks[[#This Row],[Free Slack]])),0)</f>
        <v>0</v>
      </c>
      <c r="EO108" s="74" t="str">
        <f aca="false">IF(NOT(Tasks[[#This Row],[_IsLeaf]]=1),"",IF(Tasks[[#This Row],[_AlapShift]]=0,Tasks[[#This Row],[_LeafCalcStart]],WORKDAY.INTL(Tasks[[#This Row],[_LeafCalcStart]],Tasks[[#This Row],[_AlapShift]],WorkWeek,Holidays)))</f>
        <v/>
      </c>
      <c r="EP108" s="74" t="str">
        <f aca="false">IF(NOT(Tasks[[#This Row],[_IsLeaf]]=1),"",IF(Tasks[[#This Row],[_AlapShift]]=0,Tasks[[#This Row],[_LeafCalcFinish]],WORKDAY.INTL(Tasks[[#This Row],[_LeafCalcFinish]],Tasks[[#This Row],[_AlapShift]],WorkWeek,Holidays)))</f>
        <v/>
      </c>
      <c r="EQ108" s="74" t="str">
        <f aca="false">IF(NOT(Tasks[[#This Row],[_IsLeaf]]=1),"",IF(Tasks[[#This Row],[_AlapShift]]=0,Tasks[[#This Row],[_LeafFcstStart]],WORKDAY.INTL(Tasks[[#This Row],[_LeafFcstStart]],Tasks[[#This Row],[_AlapShift]],WorkWeek,Holidays)))</f>
        <v/>
      </c>
      <c r="ER108" s="74" t="str">
        <f aca="false">IF(NOT(Tasks[[#This Row],[_IsLeaf]]=1),"",IF(Tasks[[#This Row],[_AlapShift]]=0,Tasks[[#This Row],[_LeafFcstFinish]],WORKDAY.INTL(Tasks[[#This Row],[_LeafFcstFinish]],Tasks[[#This Row],[_AlapShift]],WorkWeek,Holidays)))</f>
        <v/>
      </c>
      <c r="ES108" s="74" t="str">
        <f aca="false">IF(Tasks[[#This Row],[Task Name]]="","",IF(Tasks[[#This Row],[_IsSummary]],MIN(INDEX(Tasks[_ShownCalcStart],Tasks[[#This Row],[_Row]]+1):INDEX(Tasks[_ShownCalcStart],Tasks[[#This Row],[_Row]]+Tasks[[#This Row],[_Descendants]])),Tasks[[#This Row],[_ShownCalcStart]]))</f>
        <v/>
      </c>
      <c r="ET108" s="74" t="str">
        <f aca="false">IF(Tasks[[#This Row],[Task Name]]="","",IF(Tasks[[#This Row],[_IsSummary]],MAX(INDEX(Tasks[_ShownCalcFinish],Tasks[[#This Row],[_Row]]+1):INDEX(Tasks[_ShownCalcFinish],Tasks[[#This Row],[_Row]]+Tasks[[#This Row],[_Descendants]])),Tasks[[#This Row],[_ShownCalcFinish]]))</f>
        <v/>
      </c>
      <c r="EU10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0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0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0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0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0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0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0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0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0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0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0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08" s="45" t="n">
        <f aca="false">IF(AND(Tasks[[#This Row],[_IsLeaf]]=1,Tasks[[#This Row],[_LeafTotalWork]]&gt;0),NETWORKDAYS.INTL(ProjectStart,Tasks[[#This Row],[_ShownFcstStart]],WorkWeek,Holidays),0)</f>
        <v>0</v>
      </c>
      <c r="FH108" s="45" t="n">
        <f aca="false">IF(AND(Tasks[[#This Row],[_IsLeaf]]=1,Tasks[[#This Row],[_LeafTotalWork]]&gt;0),MAX(Tasks[[#This Row],[_StartWorkday]],NETWORKDAYS.INTL(ProjectStart,Tasks[[#This Row],[_ShownFcstFinish]],WorkWeek,Holidays)),0)</f>
        <v>0</v>
      </c>
      <c r="FI108" s="45" t="n">
        <f aca="false">IF(AND(Tasks[[#This Row],[_IsLeaf]]=1,Tasks[[#This Row],[_LeafTotalWork]]&gt;0),Tasks[[#This Row],[_LeafWork]]/(Tasks[[#This Row],[_FinishWorkday]]-Tasks[[#This Row],[_StartWorkday]]+1),0)</f>
        <v>0</v>
      </c>
      <c r="FJ108" s="45" t="n">
        <f aca="false">Tasks[[#This Row],[_WorkPerWorkday]]*(Tasks[[#This Row],[_StartWorkday]]-1)</f>
        <v>-0</v>
      </c>
      <c r="FK108" s="45" t="n">
        <f aca="false">IF(Tasks[[#This Row],[_IsLeaf]]=1,MAX(N(Tasks[[#This Row],[Duration]]),0.1),0)</f>
        <v>0</v>
      </c>
      <c r="FL108" s="45" t="n">
        <f aca="false">Tasks[[#This Row],[_WeightDur]]*Tasks[[#This Row],[_LeafProgress]]</f>
        <v>0</v>
      </c>
      <c r="FM10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08" s="45" t="str">
        <f aca="false">IF(AND(Tasks[[#This Row],[_IsLeaf]]=1,N(Tasks[[#This Row],[Duration]])=0,Tasks[[#This Row],[_LeafProgress]]&lt;1),Tasks[[#This Row],[_ShownFcstFinish]]+Tasks[[#This Row],[_Row]]/100000,"")</f>
        <v/>
      </c>
      <c r="FO10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08" s="45" t="n">
        <f aca="false">IF(NOT(Tasks[[#This Row],[_IsLeaf]]=1),0,IF(Tasks[[#This Row],[Baseline Cost]]="",Tasks[[#This Row],[_LeafTotalCost]],N(Tasks[[#This Row],[Baseline Cost]])))</f>
        <v>0</v>
      </c>
      <c r="FQ108" s="45" t="n">
        <f aca="false">Tasks[[#This Row],[_LeafBudget]]*Tasks[[#This Row],[_PlannedPct]]</f>
        <v>0</v>
      </c>
      <c r="FR108" s="45" t="n">
        <f aca="false">Tasks[[#This Row],[_LeafBudget]]*Tasks[[#This Row],[_LeafProgress]]</f>
        <v>0</v>
      </c>
      <c r="FS108" s="45" t="n">
        <f aca="false">IF(NOT(Tasks[[#This Row],[_IsLeaf]]=1),0,IF(Tasks[[#This Row],[Actual Cost]]="",Tasks[[#This Row],[_LeafTotalCost]]*Tasks[[#This Row],[_LeafProgress]],N(Tasks[[#This Row],[Actual Cost]])))</f>
        <v>0</v>
      </c>
      <c r="FT108" s="45" t="str">
        <f aca="false">IF(Tasks[[#This Row],[Task Name]]="","",LEFT(Tasks[[#This Row],[WBS]],FIND(".",Tasks[[#This Row],[WBS]]&amp;".")-1))</f>
        <v/>
      </c>
      <c r="FU108" s="45" t="str">
        <f aca="false">IF(AND(Tasks[[#This Row],[Task Name]]&lt;&gt;"",Tasks[[#This Row],[_Level]]=1),Tasks[[#This Row],[_Row]],"")</f>
        <v/>
      </c>
      <c r="FV108" s="45" t="str">
        <f aca="false">IF(AND(Tasks[[#This Row],[_IsLeaf]]=1,N(Tasks[[#This Row],[Duration]])=0),Tasks[[#This Row],[Planned Finish]]+Tasks[[#This Row],[_Row]]/100000,"")</f>
        <v/>
      </c>
      <c r="FW108" s="45" t="str">
        <f aca="false">IF(AND(Tasks[[#This Row],[_IsLeaf]]=1,Tasks[[#This Row],[_LeafProgress]]&lt;1,OR(N(Tasks[[#This Row],[Finish Var]])&gt;0,Tasks[[#This Row],[Status]]="Late Start")),MAX(0,Tasks[[#This Row],[Finish Var]])+1-Tasks[[#This Row],[_Row]]/1000000,"")</f>
        <v/>
      </c>
      <c r="FX108" s="45" t="str">
        <f aca="false">IF(AND(Tasks[[#This Row],[_IsLeaf]]=1,N(Tasks[[#This Row],[Actual Start]])=0,Tasks[[#This Row],[_ShownFcstStart]]&gt;=StatusDate,Tasks[[#This Row],[_ShownFcstStart]]&lt;=LookaheadEnd),Tasks[[#This Row],[_ShownFcstStart]]+Tasks[[#This Row],[_Row]]/100000,"")</f>
        <v/>
      </c>
      <c r="FY108" s="45" t="str">
        <f aca="false">IF(AND(Tasks[[#This Row],[_IsLeaf]]=1,Tasks[[#This Row],[_LeafProgress]]&lt;1,Tasks[[#This Row],[_ShownFcstFinish]]&gt;=StatusDate,Tasks[[#This Row],[_ShownFcstFinish]]&lt;=LookaheadEnd),Tasks[[#This Row],[_ShownFcstFinish]]+Tasks[[#This Row],[_Row]]/100000,"")</f>
        <v/>
      </c>
      <c r="FZ108" s="45" t="str">
        <f aca="false">IF(Tasks[[#This Row],[_LeafCritical]],Tasks[[#This Row],[_ShownFcstStart]]+Tasks[[#This Row],[_Row]]/100000,"")</f>
        <v/>
      </c>
      <c r="GA108" s="45" t="n">
        <f aca="false">Tasks[[#This Row],[_LeafWork]]*Tasks[[#This Row],[_LeafProgress]]</f>
        <v>0</v>
      </c>
      <c r="GB108" s="74" t="str">
        <f aca="false">IF(AND(Tasks[[#This Row],[_IsLeaf]]=1,Tasks[[#This Row],[_LeafProgress]]&gt;=1),IF(N(Tasks[[#This Row],[Actual Finish]])&gt;0,Tasks[[#This Row],[Actual Finish]],Tasks[[#This Row],[_ShownFcstFinish]]),"")</f>
        <v/>
      </c>
    </row>
    <row r="109" customFormat="false" ht="15" hidden="false" customHeight="false" outlineLevel="0" collapsed="false">
      <c r="A109" s="67" t="str">
        <f aca="false">IF(Tasks[[#This Row],[Task Name]]="","",COUNTA(Tasks[[#Headers],[Task Name]]:Tasks[[#This Row],[Task Name]])-1)</f>
        <v/>
      </c>
      <c r="B109" s="21" t="n">
        <v>104</v>
      </c>
      <c r="C10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21"/>
      <c r="E109" s="22"/>
      <c r="F109" s="21"/>
      <c r="G109" s="22"/>
      <c r="H109" s="22"/>
      <c r="I109" s="22"/>
      <c r="J109" s="7"/>
      <c r="K109" s="7"/>
      <c r="L109" s="22"/>
      <c r="M109" s="58" t="str">
        <f aca="false">IF(Tasks[[#This Row],[Task Name]]="","",IF(Tasks[[#This Row],[_IsSummary]],MIN(INDEX(Tasks[_ShownFcstStart],Tasks[[#This Row],[_Row]]+1):INDEX(Tasks[_ShownFcstStart],Tasks[[#This Row],[_Row]]+Tasks[[#This Row],[_Descendants]])),Tasks[[#This Row],[_ShownFcstStart]]))</f>
        <v/>
      </c>
      <c r="N109" s="58" t="str">
        <f aca="false">IF(Tasks[[#This Row],[Task Name]]="","",IF(Tasks[[#This Row],[_IsSummary]],MAX(INDEX(Tasks[_ShownFcstFinish],Tasks[[#This Row],[_Row]]+1):INDEX(Tasks[_ShownFcstFinish],Tasks[[#This Row],[_Row]]+Tasks[[#This Row],[_Descendants]])),Tasks[[#This Row],[_ShownFcstFinish]]))</f>
        <v/>
      </c>
      <c r="O109" s="20" t="str">
        <f aca="false">IF(Tasks[[#This Row],[Task Name]]="","",IF(Tasks[[#This Row],[Progress]]&gt;=1,"Complete",IF(OR(N(Tasks[[#This Row],[Actual Start]])&gt;0,Tasks[[#This Row],[Progress]]&gt;0),IF(Tasks[[#This Row],[Finish Var]]&gt;0,"Behind","In Progress"),IF(Tasks[[#This Row],[Planned Start]]&lt;StatusDate,"Late Start","Not Started"))))</f>
        <v/>
      </c>
      <c r="P109" s="20" t="str">
        <f aca="false">IF(Tasks[[#This Row],[Task Name]]="","",IF(IF(Tasks[[#This Row],[_IsSummary]],COUNTIF(INDEX(Tasks[_LeafCritical],Tasks[[#This Row],[_Row]]+1):INDEX(Tasks[_LeafCritical],Tasks[[#This Row],[_Row]]+Tasks[[#This Row],[_Descendants]]),TRUE())&gt;0,Tasks[[#This Row],[_LeafCritical]]),"Yes",""))</f>
        <v/>
      </c>
      <c r="Q10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09" s="67" t="str">
        <f aca="false">IF(Tasks[[#This Row],[Task Name]]="","",IF(Tasks[[#This Row],[_Level]]&lt;=OutlineShowLevel,"Yes","No"))</f>
        <v/>
      </c>
      <c r="S109" s="7"/>
      <c r="T109" s="21"/>
      <c r="U109" s="22"/>
      <c r="V109" s="7"/>
      <c r="W109" s="67" t="str">
        <f aca="false">IF(Tasks[[#This Row],[Task Name]]="","",IF(Tasks[[#This Row],[Finish]]&gt;=Tasks[[#This Row],[Planned Finish]],NETWORKDAYS.INTL(Tasks[[#This Row],[Planned Finish]],Tasks[[#This Row],[Finish]],WorkWeek,Holidays)-1,1-NETWORKDAYS.INTL(Tasks[[#This Row],[Finish]],Tasks[[#This Row],[Planned Finish]],WorkWeek,Holidays)))</f>
        <v/>
      </c>
      <c r="X109" s="58" t="str">
        <f aca="false">IF(Tasks[[#This Row],[Task Name]]="","",IF(N(Tasks[[#This Row],[Baseline Start]])&gt;0,Tasks[[#This Row],[Baseline Start]],Tasks[[#This Row],[_CalcStart]]))</f>
        <v/>
      </c>
      <c r="Y109" s="58" t="str">
        <f aca="false">IF(Tasks[[#This Row],[Task Name]]="","",IF(N(Tasks[[#This Row],[Baseline Finish]])&gt;0,Tasks[[#This Row],[Baseline Finish]],Tasks[[#This Row],[_CalcFinish]]))</f>
        <v/>
      </c>
      <c r="Z109" s="67" t="str">
        <f aca="false">IF(Tasks[[#This Row],[Task Name]]="","",IF(Tasks[[#This Row],[Start]]&gt;=Tasks[[#This Row],[Planned Start]],NETWORKDAYS.INTL(Tasks[[#This Row],[Planned Start]],Tasks[[#This Row],[Start]],WorkWeek,Holidays)-1,1-NETWORKDAYS.INTL(Tasks[[#This Row],[Start]],Tasks[[#This Row],[Planned Start]],WorkWeek,Holidays)))</f>
        <v/>
      </c>
      <c r="AA109" s="58" t="str">
        <f aca="false">IF(Tasks[[#This Row],[Task Name]]="","",IF(Tasks[[#This Row],[_IsSummary]],MIN(INDEX(Tasks[_LeafLateStart],Tasks[[#This Row],[_Row]]+1):INDEX(Tasks[_LeafLateStart],Tasks[[#This Row],[_Row]]+Tasks[[#This Row],[_Descendants]])),Tasks[[#This Row],[_LeafLateStart]]))</f>
        <v/>
      </c>
      <c r="AB109" s="58" t="str">
        <f aca="false">IF(Tasks[[#This Row],[Task Name]]="","",IF(Tasks[[#This Row],[_IsSummary]],MAX(INDEX(Tasks[_LeafLateFinish],Tasks[[#This Row],[_Row]]+1):INDEX(Tasks[_LeafLateFinish],Tasks[[#This Row],[_Row]]+Tasks[[#This Row],[_Descendants]])),Tasks[[#This Row],[_LeafLateFinish]]))</f>
        <v/>
      </c>
      <c r="AC109" s="67" t="str">
        <f aca="false">IF(Tasks[[#This Row],[Task Name]]="","",IF(Tasks[[#This Row],[_IsSummary]],MIN(INDEX(Tasks[_LeafTotalSlack],Tasks[[#This Row],[_Row]]+1):INDEX(Tasks[_LeafTotalSlack],Tasks[[#This Row],[_Row]]+Tasks[[#This Row],[_Descendants]])),Tasks[[#This Row],[_LeafTotalSlack]]))</f>
        <v/>
      </c>
      <c r="AD10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0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0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09" s="60"/>
      <c r="AH10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0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09" s="69" t="str">
        <f aca="false">IF(Tasks[[#This Row],[Task Name]]="","",IF(Tasks[[#This Row],[_IsSummary]],SUM(INDEX(Tasks[_LeafTotalWork],Tasks[[#This Row],[_Row]]+1):INDEX(Tasks[_LeafTotalWork],Tasks[[#This Row],[_Row]]+Tasks[[#This Row],[_Descendants]])),Tasks[[#This Row],[_LeafTotalWork]]))</f>
        <v/>
      </c>
      <c r="AK10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09" s="70" t="str">
        <f aca="false">IF(Tasks[[#This Row],[Task Name]]="","",IF(Tasks[[#This Row],[_IsSummary]],SUM(INDEX(Tasks[_LeafTotalCost],Tasks[[#This Row],[_Row]]+1):INDEX(Tasks[_LeafTotalCost],Tasks[[#This Row],[_Row]]+Tasks[[#This Row],[_Descendants]])),Tasks[[#This Row],[_LeafTotalCost]]))</f>
        <v/>
      </c>
      <c r="AM109" s="71"/>
      <c r="AN109" s="20" t="str">
        <f aca="false">IF(OR(Tasks[[#This Row],[Task Name]]="",Tasks[[#This Row],[Baseline Duration]]=""),"",Tasks[[#This Row],[BL Source Duration]]-N(Tasks[[#This Row],[Baseline Duration]]))</f>
        <v/>
      </c>
      <c r="AO109" s="69" t="str">
        <f aca="false">IF(OR(Tasks[[#This Row],[Task Name]]="",Tasks[[#This Row],[Baseline Work]]=""),"",Tasks[[#This Row],[Work]]-N(Tasks[[#This Row],[Baseline Work]]))</f>
        <v/>
      </c>
      <c r="AP109" s="70" t="str">
        <f aca="false">IF(OR(Tasks[[#This Row],[Task Name]]="",Tasks[[#This Row],[Baseline Cost]]=""),"",Tasks[[#This Row],[Cost]]-N(Tasks[[#This Row],[Baseline Cost]]))</f>
        <v/>
      </c>
      <c r="AQ109" s="58" t="str">
        <f aca="false">IF(Tasks[[#This Row],[Task Name]]="","",Tasks[[#This Row],[Start]])</f>
        <v/>
      </c>
      <c r="AR109" s="58" t="str">
        <f aca="false">IF(Tasks[[#This Row],[Task Name]]="","",Tasks[[#This Row],[Finish]])</f>
        <v/>
      </c>
      <c r="AS109" s="67" t="str">
        <f aca="false">IF(Tasks[[#This Row],[Task Name]]="","",IF(Tasks[[#This Row],[_IsSummary]],NETWORKDAYS.INTL(Tasks[[#This Row],[Start]],Tasks[[#This Row],[Finish]],WorkWeek,Holidays),N(Tasks[[#This Row],[Duration]])))</f>
        <v/>
      </c>
      <c r="AT109" s="69" t="str">
        <f aca="false">IF(Tasks[[#This Row],[Task Name]]="","",Tasks[[#This Row],[Work]])</f>
        <v/>
      </c>
      <c r="AU109" s="70" t="str">
        <f aca="false">IF(Tasks[[#This Row],[Task Name]]="","",Tasks[[#This Row],[Cost]])</f>
        <v/>
      </c>
      <c r="AV109" s="7"/>
      <c r="AW109" s="7"/>
      <c r="AX109" s="21"/>
      <c r="AY109" s="72"/>
      <c r="AZ109" s="71"/>
      <c r="BA109" s="70" t="str">
        <f aca="false">IF(Tasks[[#This Row],[Task Name]]="","",IF(Tasks[[#This Row],[_IsSummary]],SUM(INDEX(Tasks[_LeafEV],Tasks[[#This Row],[_Row]]+1):INDEX(Tasks[_LeafEV],Tasks[[#This Row],[_Row]]+Tasks[[#This Row],[_Descendants]])),Tasks[[#This Row],[_LeafEV]]))</f>
        <v/>
      </c>
      <c r="BB109" s="70" t="str">
        <f aca="false">IF(Tasks[[#This Row],[Task Name]]="","",IF(Tasks[[#This Row],[_IsSummary]],SUM(INDEX(Tasks[_LeafBudget],Tasks[[#This Row],[_Row]]+1):INDEX(Tasks[_LeafBudget],Tasks[[#This Row],[_Row]]+Tasks[[#This Row],[_Descendants]])),Tasks[[#This Row],[_LeafBudget]]))</f>
        <v/>
      </c>
      <c r="BC109" s="70" t="str">
        <f aca="false">IF(Tasks[[#This Row],[Task Name]]="","",IF(Tasks[[#This Row],[_IsSummary]],SUM(INDEX(Tasks[_LeafPV],Tasks[[#This Row],[_Row]]+1):INDEX(Tasks[_LeafPV],Tasks[[#This Row],[_Row]]+Tasks[[#This Row],[_Descendants]])),Tasks[[#This Row],[_LeafPV]]))</f>
        <v/>
      </c>
      <c r="BD109" s="70" t="str">
        <f aca="false">IF(Tasks[[#This Row],[Task Name]]="","",IF(Tasks[[#This Row],[_IsSummary]],SUM(INDEX(Tasks[_LeafAC],Tasks[[#This Row],[_Row]]+1):INDEX(Tasks[_LeafAC],Tasks[[#This Row],[_Row]]+Tasks[[#This Row],[_Descendants]])),Tasks[[#This Row],[_LeafAC]]))</f>
        <v/>
      </c>
      <c r="BE109" s="45" t="str">
        <f aca="false">IF(Tasks[[#This Row],[Task Name]]="","",MAX(1,N(Tasks[[#This Row],[Level]])))</f>
        <v/>
      </c>
      <c r="BF109" s="45" t="n">
        <f aca="false">ROW()-ROW(Tasks[[#Headers],[ID]])</f>
        <v>104</v>
      </c>
      <c r="BG109" s="45" t="n">
        <f aca="false">IF(OR(Tasks[[#This Row],[Task Name]]="",Tasks[[#This Row],[_Level]]&lt;=1),0,IFERROR(LOOKUP(2,1/(Tasks[[#Headers],[_Level]]:Tasks[[#This Row],[_Level]]=Tasks[[#This Row],[_Level]]-1),ROW(Tasks[[#Headers],[_Level]]:Tasks[[#This Row],[_Level]])),0))</f>
        <v>0</v>
      </c>
      <c r="BH109" s="45" t="n">
        <f aca="false">IFERROR(N(INDEX(Tasks[_Level],Tasks[[#This Row],[_Row]]+1)),0)</f>
        <v>0</v>
      </c>
      <c r="BI109" s="73" t="b">
        <f aca="false">AND(Tasks[[#This Row],[Task Name]]&lt;&gt;"",Tasks[[#This Row],[_NextLevel]]&gt;Tasks[[#This Row],[_Level]])</f>
        <v>0</v>
      </c>
      <c r="BJ109" s="45" t="n">
        <f aca="false">IF(Tasks[[#This Row],[_IsSummary]],COUNTIF(Tasks[WBS],Tasks[[#This Row],[WBS]]&amp;".*"),0)</f>
        <v>0</v>
      </c>
      <c r="BK109" s="45" t="n">
        <f aca="false">IF(AND(Tasks[[#This Row],[Task Name]]&lt;&gt;"",NOT(Tasks[[#This Row],[_IsSummary]])),1,0)</f>
        <v>0</v>
      </c>
      <c r="BL109" s="45" t="n">
        <f aca="false">IF(N(Tasks[[#This Row],[_Pred1UID]])=0,0,IFERROR(MATCH(Tasks[[#This Row],[_Pred1UID]],Tasks[UID],0),-1))</f>
        <v>0</v>
      </c>
      <c r="BM109" s="45" t="n">
        <f aca="false">IF(N(Tasks[[#This Row],[_Pred2UID]])=0,0,IFERROR(MATCH(Tasks[[#This Row],[_Pred2UID]],Tasks[UID],0),-1))</f>
        <v>0</v>
      </c>
      <c r="BN109" s="45" t="n">
        <f aca="false">IF(N(Tasks[[#This Row],[_Pred3UID]])=0,0,IFERROR(MATCH(Tasks[[#This Row],[_Pred3UID]],Tasks[UID],0),-1))</f>
        <v>0</v>
      </c>
      <c r="BO109" s="45" t="n">
        <f aca="false">IF(N(Tasks[[#This Row],[_Pred4UID]])=0,0,IFERROR(MATCH(Tasks[[#This Row],[_Pred4UID]],Tasks[UID],0),-1))</f>
        <v>0</v>
      </c>
      <c r="BP10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0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09" s="74" t="n">
        <f aca="false">IF(OR(Tasks[[#This Row],[_ConstraintCode]]=2,Tasks[[#This Row],[_ConstraintCode]]=3,Tasks[[#This Row],[_ConstraintCode]]=4,Tasks[[#This Row],[_ConstraintCode]]=6),Tasks[[#This Row],[_ConstraintStart]],0)</f>
        <v>0</v>
      </c>
      <c r="BS109" s="74" t="n">
        <f aca="false">IF(OR(Tasks[[#This Row],[_ConstraintCode]]=2,Tasks[[#This Row],[_ConstraintCode]]=3,Tasks[[#This Row],[_ConstraintCode]]=5,Tasks[[#This Row],[_ConstraintCode]]=7),Tasks[[#This Row],[_ConstraintStart]],2958465)</f>
        <v>2958465</v>
      </c>
      <c r="BT10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09" s="74" t="str">
        <f aca="false">IF(NOT(Tasks[[#This Row],[_IsLeaf]]=1),"",IF(N(Tasks[[#This Row],[Duration]])&lt;=0,Tasks[[#This Row],[_LeafCalcStart]],WORKDAY.INTL(Tasks[[#This Row],[_LeafCalcStart]],Tasks[[#This Row],[Duration]]-1,WorkWeek,Holidays)))</f>
        <v/>
      </c>
      <c r="BV10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0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09" s="45" t="str">
        <f aca="false">IF(Tasks[[#This Row],[Predecessors]]="","",TRIM(MID(SUBSTITUTE(SUBSTITUTE(SUBSTITUTE(UPPER(Tasks[[#This Row],[Predecessors]]),";",",")," ",""),",",REPT(" ",99)),1,99)))</f>
        <v/>
      </c>
      <c r="BY109" s="45" t="str">
        <f aca="false">IF(Tasks[[#This Row],[_Pred1Text]]="","",IFERROR(VALUE(LEFT(Tasks[[#This Row],[_Pred1Text]],MIN(FIND("F",Tasks[[#This Row],[_Pred1Text]]&amp;"F"),FIND("S",Tasks[[#This Row],[_Pred1Text]]&amp;"S"),FIND("+",Tasks[[#This Row],[_Pred1Text]]&amp;"+"),FIND("-",Tasks[[#This Row],[_Pred1Text]]&amp;"-"))-1)),""))</f>
        <v/>
      </c>
      <c r="BZ10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0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09" s="45" t="str">
        <f aca="false">IF(Tasks[[#This Row],[_Pred1Text]]="","",TRIM(MID(SUBSTITUTE(SUBSTITUTE(SUBSTITUTE(UPPER(Tasks[[#This Row],[Predecessors]]),";",",")," ",""),",",REPT(" ",99)),100,99)))</f>
        <v/>
      </c>
      <c r="CC109" s="45" t="str">
        <f aca="false">IF(Tasks[[#This Row],[_Pred2Text]]="","",IFERROR(VALUE(LEFT(Tasks[[#This Row],[_Pred2Text]],MIN(FIND("F",Tasks[[#This Row],[_Pred2Text]]&amp;"F"),FIND("S",Tasks[[#This Row],[_Pred2Text]]&amp;"S"),FIND("+",Tasks[[#This Row],[_Pred2Text]]&amp;"+"),FIND("-",Tasks[[#This Row],[_Pred2Text]]&amp;"-"))-1)),""))</f>
        <v/>
      </c>
      <c r="CD10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0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09" s="45" t="str">
        <f aca="false">IF(Tasks[[#This Row],[_Pred2Text]]="","",TRIM(MID(SUBSTITUTE(SUBSTITUTE(SUBSTITUTE(UPPER(Tasks[[#This Row],[Predecessors]]),";",",")," ",""),",",REPT(" ",99)),199,99)))</f>
        <v/>
      </c>
      <c r="CG109" s="45" t="str">
        <f aca="false">IF(Tasks[[#This Row],[_Pred3Text]]="","",IFERROR(VALUE(LEFT(Tasks[[#This Row],[_Pred3Text]],MIN(FIND("F",Tasks[[#This Row],[_Pred3Text]]&amp;"F"),FIND("S",Tasks[[#This Row],[_Pred3Text]]&amp;"S"),FIND("+",Tasks[[#This Row],[_Pred3Text]]&amp;"+"),FIND("-",Tasks[[#This Row],[_Pred3Text]]&amp;"-"))-1)),""))</f>
        <v/>
      </c>
      <c r="CH10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0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09" s="45" t="str">
        <f aca="false">IF(Tasks[[#This Row],[_Pred3Text]]="","",TRIM(MID(SUBSTITUTE(SUBSTITUTE(SUBSTITUTE(UPPER(Tasks[[#This Row],[Predecessors]]),";",",")," ",""),",",REPT(" ",99)),298,99)))</f>
        <v/>
      </c>
      <c r="CK109" s="45" t="str">
        <f aca="false">IF(Tasks[[#This Row],[_Pred4Text]]="","",IFERROR(VALUE(LEFT(Tasks[[#This Row],[_Pred4Text]],MIN(FIND("F",Tasks[[#This Row],[_Pred4Text]]&amp;"F"),FIND("S",Tasks[[#This Row],[_Pred4Text]]&amp;"S"),FIND("+",Tasks[[#This Row],[_Pred4Text]]&amp;"+"),FIND("-",Tasks[[#This Row],[_Pred4Text]]&amp;"-"))-1)),""))</f>
        <v/>
      </c>
      <c r="CL10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0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09" s="45" t="str">
        <f aca="false">IF(OR(Tasks[[#This Row],[Task Name]]="",Tasks[[#This Row],[Resources]]=""),"",TRIM(MID(SUBSTITUTE(Tasks[[#This Row],[Resources]],",",REPT(" ",99)),1,99)))</f>
        <v/>
      </c>
      <c r="CO109" s="45" t="str">
        <f aca="false">IF(Tasks[[#This Row],[_Res1Text]]="","",TRIM(MID(SUBSTITUTE(Tasks[[#This Row],[Resources]],",",REPT(" ",99)),100,99)))</f>
        <v/>
      </c>
      <c r="CP109" s="45" t="str">
        <f aca="false">IF(Tasks[[#This Row],[_Res2Text]]="","",TRIM(MID(SUBSTITUTE(Tasks[[#This Row],[Resources]],",",REPT(" ",99)),199,99)))</f>
        <v/>
      </c>
      <c r="CQ109" s="45" t="str">
        <f aca="false">IF(Tasks[[#This Row],[_Res3Text]]="","",TRIM(MID(SUBSTITUTE(Tasks[[#This Row],[Resources]],",",REPT(" ",99)),298,99)))</f>
        <v/>
      </c>
      <c r="CR10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0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9" s="45" t="n">
        <f aca="false">IF(NOT(Tasks[[#This Row],[_IsLeaf]]=1),0,(Tasks[[#This Row],[_Resource1]]&lt;&gt;"")+(Tasks[[#This Row],[_Res2]]&lt;&gt;"")+(Tasks[[#This Row],[_Res3]]&lt;&gt;"")+(Tasks[[#This Row],[_Res4]]&lt;&gt;""))</f>
        <v>0</v>
      </c>
      <c r="CU10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0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9" s="45" t="n">
        <f aca="false">IF(OR(NOT(Tasks[[#This Row],[_IsLeaf]]=1),Tasks[[#This Row],[_Res2]]=""),0,IF(ISNA(MATCH(Tasks[[#This Row],[_Res2]],res_Name,0)),0,N(Tasks[[#This Row],[Duration]])*HoursPerDay*IF(Tasks[[#This Row],[_Res2Units]]="",DefaultUnits,Tasks[[#This Row],[_Res2Units]])))</f>
        <v>0</v>
      </c>
      <c r="CX109" s="45" t="n">
        <f aca="false">IF(Tasks[[#This Row],[_Res2Work]]=0,0,Tasks[[#This Row],[_Res2Work]]*IFERROR(INDEX(res_Rate,MATCH(Tasks[[#This Row],[_Res2]],res_Name,0)),0))</f>
        <v>0</v>
      </c>
      <c r="CY109" s="45" t="n">
        <f aca="false">IF(AND(AND(Tasks[[#This Row],[_IsLeaf]]=1,Tasks[[#This Row],[_LeafTotalWork]]&gt;0),Tasks[[#This Row],[_Res2Work]]&gt;0),Tasks[[#This Row],[_Res2Work]]/(Tasks[[#This Row],[_FinishWorkday]]-Tasks[[#This Row],[_StartWorkday]]+1),0)</f>
        <v>0</v>
      </c>
      <c r="CZ109" s="45" t="n">
        <f aca="false">Tasks[[#This Row],[_Res2WorkPerWD]]*MAX(0,Tasks[[#This Row],[_StartWorkday]]-1)</f>
        <v>0</v>
      </c>
      <c r="DA109" s="45" t="n">
        <f aca="false">Tasks[[#This Row],[_Res2Work]]*Tasks[[#This Row],[_LeafProgress]]</f>
        <v>0</v>
      </c>
      <c r="DB109" s="45" t="n">
        <f aca="false">IF(Tasks[[#This Row],[_LeafTotalCost]]=0,0,Tasks[[#This Row],[_LeafAC]]*Tasks[[#This Row],[_Res2Cost]]/Tasks[[#This Row],[_LeafTotalCost]])</f>
        <v>0</v>
      </c>
      <c r="DC10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0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09" s="45" t="n">
        <f aca="false">IF(OR(NOT(Tasks[[#This Row],[_IsLeaf]]=1),Tasks[[#This Row],[_Res3]]=""),0,IF(ISNA(MATCH(Tasks[[#This Row],[_Res3]],res_Name,0)),0,N(Tasks[[#This Row],[Duration]])*HoursPerDay*IF(Tasks[[#This Row],[_Res3Units]]="",DefaultUnits,Tasks[[#This Row],[_Res3Units]])))</f>
        <v>0</v>
      </c>
      <c r="DF109" s="45" t="n">
        <f aca="false">IF(Tasks[[#This Row],[_Res3Work]]=0,0,Tasks[[#This Row],[_Res3Work]]*IFERROR(INDEX(res_Rate,MATCH(Tasks[[#This Row],[_Res3]],res_Name,0)),0))</f>
        <v>0</v>
      </c>
      <c r="DG109" s="45" t="n">
        <f aca="false">IF(AND(AND(Tasks[[#This Row],[_IsLeaf]]=1,Tasks[[#This Row],[_LeafTotalWork]]&gt;0),Tasks[[#This Row],[_Res3Work]]&gt;0),Tasks[[#This Row],[_Res3Work]]/(Tasks[[#This Row],[_FinishWorkday]]-Tasks[[#This Row],[_StartWorkday]]+1),0)</f>
        <v>0</v>
      </c>
      <c r="DH109" s="45" t="n">
        <f aca="false">Tasks[[#This Row],[_Res3WorkPerWD]]*MAX(0,Tasks[[#This Row],[_StartWorkday]]-1)</f>
        <v>0</v>
      </c>
      <c r="DI109" s="45" t="n">
        <f aca="false">Tasks[[#This Row],[_Res3Work]]*Tasks[[#This Row],[_LeafProgress]]</f>
        <v>0</v>
      </c>
      <c r="DJ109" s="45" t="n">
        <f aca="false">IF(Tasks[[#This Row],[_LeafTotalCost]]=0,0,Tasks[[#This Row],[_LeafAC]]*Tasks[[#This Row],[_Res3Cost]]/Tasks[[#This Row],[_LeafTotalCost]])</f>
        <v>0</v>
      </c>
      <c r="DK10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0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09" s="45" t="n">
        <f aca="false">IF(OR(NOT(Tasks[[#This Row],[_IsLeaf]]=1),Tasks[[#This Row],[_Res4]]=""),0,IF(ISNA(MATCH(Tasks[[#This Row],[_Res4]],res_Name,0)),0,N(Tasks[[#This Row],[Duration]])*HoursPerDay*IF(Tasks[[#This Row],[_Res4Units]]="",DefaultUnits,Tasks[[#This Row],[_Res4Units]])))</f>
        <v>0</v>
      </c>
      <c r="DN109" s="45" t="n">
        <f aca="false">IF(Tasks[[#This Row],[_Res4Work]]=0,0,Tasks[[#This Row],[_Res4Work]]*IFERROR(INDEX(res_Rate,MATCH(Tasks[[#This Row],[_Res4]],res_Name,0)),0))</f>
        <v>0</v>
      </c>
      <c r="DO109" s="45" t="n">
        <f aca="false">IF(AND(AND(Tasks[[#This Row],[_IsLeaf]]=1,Tasks[[#This Row],[_LeafTotalWork]]&gt;0),Tasks[[#This Row],[_Res4Work]]&gt;0),Tasks[[#This Row],[_Res4Work]]/(Tasks[[#This Row],[_FinishWorkday]]-Tasks[[#This Row],[_StartWorkday]]+1),0)</f>
        <v>0</v>
      </c>
      <c r="DP109" s="45" t="n">
        <f aca="false">Tasks[[#This Row],[_Res4WorkPerWD]]*MAX(0,Tasks[[#This Row],[_StartWorkday]]-1)</f>
        <v>0</v>
      </c>
      <c r="DQ109" s="45" t="n">
        <f aca="false">Tasks[[#This Row],[_Res4Work]]*Tasks[[#This Row],[_LeafProgress]]</f>
        <v>0</v>
      </c>
      <c r="DR109" s="45" t="n">
        <f aca="false">IF(Tasks[[#This Row],[_LeafTotalCost]]=0,0,Tasks[[#This Row],[_LeafAC]]*Tasks[[#This Row],[_Res4Cost]]/Tasks[[#This Row],[_LeafTotalCost]])</f>
        <v>0</v>
      </c>
      <c r="DS109" s="45" t="n">
        <f aca="false">IF(ISNUMBER(Tasks[[#This Row],[% Complete]]),Tasks[[#This Row],[% Complete]],IF(Tasks[[#This Row],[Stage]]="",0,IFERROR(INDEX(stg_Pct,MATCH(Tasks[[#This Row],[Stage]],stg_Name,0)),0)))</f>
        <v>0</v>
      </c>
      <c r="DT109" s="45" t="n">
        <f aca="false">IF(NOT(Tasks[[#This Row],[_IsLeaf]]=1),0,IF(N(Tasks[[#This Row],[Actual Finish]])&gt;0,1,MIN(1,Tasks[[#This Row],[_Pct]])))</f>
        <v>0</v>
      </c>
      <c r="DU109" s="45" t="n">
        <f aca="false">IF(OR(NOT(Tasks[[#This Row],[_IsLeaf]]=1),Tasks[[#This Row],[_Resource1]]=""),0,IF(ISNA(MATCH(Tasks[[#This Row],[_Resource1]],res_Name,0)),0,N(Tasks[[#This Row],[Duration]])*HoursPerDay*IF(Tasks[[#This Row],[_Units1]]="",DefaultUnits,Tasks[[#This Row],[_Units1]])))</f>
        <v>0</v>
      </c>
      <c r="DV109" s="45" t="n">
        <f aca="false">IF(Tasks[[#This Row],[_LeafWork]]=0,0,Tasks[[#This Row],[_LeafWork]]*IFERROR(INDEX(res_Rate,MATCH(Tasks[[#This Row],[_Resource1]],res_Name,0)),0))</f>
        <v>0</v>
      </c>
      <c r="DW109" s="45" t="n">
        <f aca="false">Tasks[[#This Row],[_LeafWork]]+Tasks[[#This Row],[_Res2Work]]+Tasks[[#This Row],[_Res3Work]]+Tasks[[#This Row],[_Res4Work]]</f>
        <v>0</v>
      </c>
      <c r="DX109" s="45" t="n">
        <f aca="false">Tasks[[#This Row],[_LeafCost]]+Tasks[[#This Row],[_Res2Cost]]+Tasks[[#This Row],[_Res3Cost]]+Tasks[[#This Row],[_Res4Cost]]</f>
        <v>0</v>
      </c>
      <c r="DY109" s="45" t="n">
        <f aca="false">IF(Tasks[[#This Row],[_LeafTotalCost]]=0,Tasks[[#This Row],[_LeafAC]],Tasks[[#This Row],[_LeafAC]]*Tasks[[#This Row],[_LeafCost]]/Tasks[[#This Row],[_LeafTotalCost]])</f>
        <v>0</v>
      </c>
      <c r="DZ10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0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0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0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0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0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0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0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09" s="45" t="n">
        <f aca="false">IF(NOT(Tasks[[#This Row],[_IsLeaf]]=1),0,MAX(_xlfn.MAXIFS(Tasks[_Row],Tasks[_Pred1UID],Tasks[[#This Row],[UID]]),_xlfn.MAXIFS(Tasks[_Row],Tasks[_Pred2UID],Tasks[[#This Row],[UID]]),_xlfn.MAXIFS(Tasks[_Row],Tasks[_Pred3UID],Tasks[[#This Row],[UID]]),_xlfn.MAXIFS(Tasks[_Row],Tasks[_Pred4UID],Tasks[[#This Row],[UID]])))</f>
        <v>0</v>
      </c>
      <c r="EI10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0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09" s="74" t="str">
        <f aca="false">IF(NOT(Tasks[[#This Row],[_IsLeaf]]=1),"",IF(N(Tasks[[#This Row],[Duration]])&lt;=0,Tasks[[#This Row],[_LeafLateFinish]],WORKDAY.INTL(Tasks[[#This Row],[_LeafLateFinish]],-(Tasks[[#This Row],[Duration]]-1),WorkWeek,Holidays)))</f>
        <v/>
      </c>
      <c r="EL10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09" s="73" t="b">
        <f aca="false">AND(Tasks[[#This Row],[_IsLeaf]]=1,Tasks[[#This Row],[_LeafProgress]]&lt;1,N(Tasks[[#This Row],[_LeafTotalSlack]])&lt;=CriticalSlackDays)</f>
        <v>0</v>
      </c>
      <c r="EN109" s="45" t="n">
        <f aca="false">IF(AND(Tasks[[#This Row],[_IsLeaf]]=1,Tasks[[#This Row],[_ConstraintCode]]=1,Tasks[[#This Row],[Mode]]&lt;&gt;"Manual",N(Tasks[[#This Row],[Actual Start]])=0),MAX(0,N(Tasks[[#This Row],[Free Slack]])),0)</f>
        <v>0</v>
      </c>
      <c r="EO109" s="74" t="str">
        <f aca="false">IF(NOT(Tasks[[#This Row],[_IsLeaf]]=1),"",IF(Tasks[[#This Row],[_AlapShift]]=0,Tasks[[#This Row],[_LeafCalcStart]],WORKDAY.INTL(Tasks[[#This Row],[_LeafCalcStart]],Tasks[[#This Row],[_AlapShift]],WorkWeek,Holidays)))</f>
        <v/>
      </c>
      <c r="EP109" s="74" t="str">
        <f aca="false">IF(NOT(Tasks[[#This Row],[_IsLeaf]]=1),"",IF(Tasks[[#This Row],[_AlapShift]]=0,Tasks[[#This Row],[_LeafCalcFinish]],WORKDAY.INTL(Tasks[[#This Row],[_LeafCalcFinish]],Tasks[[#This Row],[_AlapShift]],WorkWeek,Holidays)))</f>
        <v/>
      </c>
      <c r="EQ109" s="74" t="str">
        <f aca="false">IF(NOT(Tasks[[#This Row],[_IsLeaf]]=1),"",IF(Tasks[[#This Row],[_AlapShift]]=0,Tasks[[#This Row],[_LeafFcstStart]],WORKDAY.INTL(Tasks[[#This Row],[_LeafFcstStart]],Tasks[[#This Row],[_AlapShift]],WorkWeek,Holidays)))</f>
        <v/>
      </c>
      <c r="ER109" s="74" t="str">
        <f aca="false">IF(NOT(Tasks[[#This Row],[_IsLeaf]]=1),"",IF(Tasks[[#This Row],[_AlapShift]]=0,Tasks[[#This Row],[_LeafFcstFinish]],WORKDAY.INTL(Tasks[[#This Row],[_LeafFcstFinish]],Tasks[[#This Row],[_AlapShift]],WorkWeek,Holidays)))</f>
        <v/>
      </c>
      <c r="ES109" s="74" t="str">
        <f aca="false">IF(Tasks[[#This Row],[Task Name]]="","",IF(Tasks[[#This Row],[_IsSummary]],MIN(INDEX(Tasks[_ShownCalcStart],Tasks[[#This Row],[_Row]]+1):INDEX(Tasks[_ShownCalcStart],Tasks[[#This Row],[_Row]]+Tasks[[#This Row],[_Descendants]])),Tasks[[#This Row],[_ShownCalcStart]]))</f>
        <v/>
      </c>
      <c r="ET109" s="74" t="str">
        <f aca="false">IF(Tasks[[#This Row],[Task Name]]="","",IF(Tasks[[#This Row],[_IsSummary]],MAX(INDEX(Tasks[_ShownCalcFinish],Tasks[[#This Row],[_Row]]+1):INDEX(Tasks[_ShownCalcFinish],Tasks[[#This Row],[_Row]]+Tasks[[#This Row],[_Descendants]])),Tasks[[#This Row],[_ShownCalcFinish]]))</f>
        <v/>
      </c>
      <c r="EU10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0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0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0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0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0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0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0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0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0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0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0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09" s="45" t="n">
        <f aca="false">IF(AND(Tasks[[#This Row],[_IsLeaf]]=1,Tasks[[#This Row],[_LeafTotalWork]]&gt;0),NETWORKDAYS.INTL(ProjectStart,Tasks[[#This Row],[_ShownFcstStart]],WorkWeek,Holidays),0)</f>
        <v>0</v>
      </c>
      <c r="FH109" s="45" t="n">
        <f aca="false">IF(AND(Tasks[[#This Row],[_IsLeaf]]=1,Tasks[[#This Row],[_LeafTotalWork]]&gt;0),MAX(Tasks[[#This Row],[_StartWorkday]],NETWORKDAYS.INTL(ProjectStart,Tasks[[#This Row],[_ShownFcstFinish]],WorkWeek,Holidays)),0)</f>
        <v>0</v>
      </c>
      <c r="FI109" s="45" t="n">
        <f aca="false">IF(AND(Tasks[[#This Row],[_IsLeaf]]=1,Tasks[[#This Row],[_LeafTotalWork]]&gt;0),Tasks[[#This Row],[_LeafWork]]/(Tasks[[#This Row],[_FinishWorkday]]-Tasks[[#This Row],[_StartWorkday]]+1),0)</f>
        <v>0</v>
      </c>
      <c r="FJ109" s="45" t="n">
        <f aca="false">Tasks[[#This Row],[_WorkPerWorkday]]*(Tasks[[#This Row],[_StartWorkday]]-1)</f>
        <v>-0</v>
      </c>
      <c r="FK109" s="45" t="n">
        <f aca="false">IF(Tasks[[#This Row],[_IsLeaf]]=1,MAX(N(Tasks[[#This Row],[Duration]]),0.1),0)</f>
        <v>0</v>
      </c>
      <c r="FL109" s="45" t="n">
        <f aca="false">Tasks[[#This Row],[_WeightDur]]*Tasks[[#This Row],[_LeafProgress]]</f>
        <v>0</v>
      </c>
      <c r="FM10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09" s="45" t="str">
        <f aca="false">IF(AND(Tasks[[#This Row],[_IsLeaf]]=1,N(Tasks[[#This Row],[Duration]])=0,Tasks[[#This Row],[_LeafProgress]]&lt;1),Tasks[[#This Row],[_ShownFcstFinish]]+Tasks[[#This Row],[_Row]]/100000,"")</f>
        <v/>
      </c>
      <c r="FO10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09" s="45" t="n">
        <f aca="false">IF(NOT(Tasks[[#This Row],[_IsLeaf]]=1),0,IF(Tasks[[#This Row],[Baseline Cost]]="",Tasks[[#This Row],[_LeafTotalCost]],N(Tasks[[#This Row],[Baseline Cost]])))</f>
        <v>0</v>
      </c>
      <c r="FQ109" s="45" t="n">
        <f aca="false">Tasks[[#This Row],[_LeafBudget]]*Tasks[[#This Row],[_PlannedPct]]</f>
        <v>0</v>
      </c>
      <c r="FR109" s="45" t="n">
        <f aca="false">Tasks[[#This Row],[_LeafBudget]]*Tasks[[#This Row],[_LeafProgress]]</f>
        <v>0</v>
      </c>
      <c r="FS109" s="45" t="n">
        <f aca="false">IF(NOT(Tasks[[#This Row],[_IsLeaf]]=1),0,IF(Tasks[[#This Row],[Actual Cost]]="",Tasks[[#This Row],[_LeafTotalCost]]*Tasks[[#This Row],[_LeafProgress]],N(Tasks[[#This Row],[Actual Cost]])))</f>
        <v>0</v>
      </c>
      <c r="FT109" s="45" t="str">
        <f aca="false">IF(Tasks[[#This Row],[Task Name]]="","",LEFT(Tasks[[#This Row],[WBS]],FIND(".",Tasks[[#This Row],[WBS]]&amp;".")-1))</f>
        <v/>
      </c>
      <c r="FU109" s="45" t="str">
        <f aca="false">IF(AND(Tasks[[#This Row],[Task Name]]&lt;&gt;"",Tasks[[#This Row],[_Level]]=1),Tasks[[#This Row],[_Row]],"")</f>
        <v/>
      </c>
      <c r="FV109" s="45" t="str">
        <f aca="false">IF(AND(Tasks[[#This Row],[_IsLeaf]]=1,N(Tasks[[#This Row],[Duration]])=0),Tasks[[#This Row],[Planned Finish]]+Tasks[[#This Row],[_Row]]/100000,"")</f>
        <v/>
      </c>
      <c r="FW109" s="45" t="str">
        <f aca="false">IF(AND(Tasks[[#This Row],[_IsLeaf]]=1,Tasks[[#This Row],[_LeafProgress]]&lt;1,OR(N(Tasks[[#This Row],[Finish Var]])&gt;0,Tasks[[#This Row],[Status]]="Late Start")),MAX(0,Tasks[[#This Row],[Finish Var]])+1-Tasks[[#This Row],[_Row]]/1000000,"")</f>
        <v/>
      </c>
      <c r="FX109" s="45" t="str">
        <f aca="false">IF(AND(Tasks[[#This Row],[_IsLeaf]]=1,N(Tasks[[#This Row],[Actual Start]])=0,Tasks[[#This Row],[_ShownFcstStart]]&gt;=StatusDate,Tasks[[#This Row],[_ShownFcstStart]]&lt;=LookaheadEnd),Tasks[[#This Row],[_ShownFcstStart]]+Tasks[[#This Row],[_Row]]/100000,"")</f>
        <v/>
      </c>
      <c r="FY109" s="45" t="str">
        <f aca="false">IF(AND(Tasks[[#This Row],[_IsLeaf]]=1,Tasks[[#This Row],[_LeafProgress]]&lt;1,Tasks[[#This Row],[_ShownFcstFinish]]&gt;=StatusDate,Tasks[[#This Row],[_ShownFcstFinish]]&lt;=LookaheadEnd),Tasks[[#This Row],[_ShownFcstFinish]]+Tasks[[#This Row],[_Row]]/100000,"")</f>
        <v/>
      </c>
      <c r="FZ109" s="45" t="str">
        <f aca="false">IF(Tasks[[#This Row],[_LeafCritical]],Tasks[[#This Row],[_ShownFcstStart]]+Tasks[[#This Row],[_Row]]/100000,"")</f>
        <v/>
      </c>
      <c r="GA109" s="45" t="n">
        <f aca="false">Tasks[[#This Row],[_LeafWork]]*Tasks[[#This Row],[_LeafProgress]]</f>
        <v>0</v>
      </c>
      <c r="GB109" s="74" t="str">
        <f aca="false">IF(AND(Tasks[[#This Row],[_IsLeaf]]=1,Tasks[[#This Row],[_LeafProgress]]&gt;=1),IF(N(Tasks[[#This Row],[Actual Finish]])&gt;0,Tasks[[#This Row],[Actual Finish]],Tasks[[#This Row],[_ShownFcstFinish]]),"")</f>
        <v/>
      </c>
    </row>
    <row r="110" customFormat="false" ht="15" hidden="false" customHeight="false" outlineLevel="0" collapsed="false">
      <c r="A110" s="67" t="str">
        <f aca="false">IF(Tasks[[#This Row],[Task Name]]="","",COUNTA(Tasks[[#Headers],[Task Name]]:Tasks[[#This Row],[Task Name]])-1)</f>
        <v/>
      </c>
      <c r="B110" s="21" t="n">
        <v>105</v>
      </c>
      <c r="C11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21"/>
      <c r="E110" s="22"/>
      <c r="F110" s="21"/>
      <c r="G110" s="22"/>
      <c r="H110" s="22"/>
      <c r="I110" s="22"/>
      <c r="J110" s="7"/>
      <c r="K110" s="7"/>
      <c r="L110" s="22"/>
      <c r="M110" s="58" t="str">
        <f aca="false">IF(Tasks[[#This Row],[Task Name]]="","",IF(Tasks[[#This Row],[_IsSummary]],MIN(INDEX(Tasks[_ShownFcstStart],Tasks[[#This Row],[_Row]]+1):INDEX(Tasks[_ShownFcstStart],Tasks[[#This Row],[_Row]]+Tasks[[#This Row],[_Descendants]])),Tasks[[#This Row],[_ShownFcstStart]]))</f>
        <v/>
      </c>
      <c r="N110" s="58" t="str">
        <f aca="false">IF(Tasks[[#This Row],[Task Name]]="","",IF(Tasks[[#This Row],[_IsSummary]],MAX(INDEX(Tasks[_ShownFcstFinish],Tasks[[#This Row],[_Row]]+1):INDEX(Tasks[_ShownFcstFinish],Tasks[[#This Row],[_Row]]+Tasks[[#This Row],[_Descendants]])),Tasks[[#This Row],[_ShownFcstFinish]]))</f>
        <v/>
      </c>
      <c r="O110" s="20" t="str">
        <f aca="false">IF(Tasks[[#This Row],[Task Name]]="","",IF(Tasks[[#This Row],[Progress]]&gt;=1,"Complete",IF(OR(N(Tasks[[#This Row],[Actual Start]])&gt;0,Tasks[[#This Row],[Progress]]&gt;0),IF(Tasks[[#This Row],[Finish Var]]&gt;0,"Behind","In Progress"),IF(Tasks[[#This Row],[Planned Start]]&lt;StatusDate,"Late Start","Not Started"))))</f>
        <v/>
      </c>
      <c r="P110" s="20" t="str">
        <f aca="false">IF(Tasks[[#This Row],[Task Name]]="","",IF(IF(Tasks[[#This Row],[_IsSummary]],COUNTIF(INDEX(Tasks[_LeafCritical],Tasks[[#This Row],[_Row]]+1):INDEX(Tasks[_LeafCritical],Tasks[[#This Row],[_Row]]+Tasks[[#This Row],[_Descendants]]),TRUE())&gt;0,Tasks[[#This Row],[_LeafCritical]]),"Yes",""))</f>
        <v/>
      </c>
      <c r="Q11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10" s="67" t="str">
        <f aca="false">IF(Tasks[[#This Row],[Task Name]]="","",IF(Tasks[[#This Row],[_Level]]&lt;=OutlineShowLevel,"Yes","No"))</f>
        <v/>
      </c>
      <c r="S110" s="7"/>
      <c r="T110" s="21"/>
      <c r="U110" s="22"/>
      <c r="V110" s="7"/>
      <c r="W110" s="67" t="str">
        <f aca="false">IF(Tasks[[#This Row],[Task Name]]="","",IF(Tasks[[#This Row],[Finish]]&gt;=Tasks[[#This Row],[Planned Finish]],NETWORKDAYS.INTL(Tasks[[#This Row],[Planned Finish]],Tasks[[#This Row],[Finish]],WorkWeek,Holidays)-1,1-NETWORKDAYS.INTL(Tasks[[#This Row],[Finish]],Tasks[[#This Row],[Planned Finish]],WorkWeek,Holidays)))</f>
        <v/>
      </c>
      <c r="X110" s="58" t="str">
        <f aca="false">IF(Tasks[[#This Row],[Task Name]]="","",IF(N(Tasks[[#This Row],[Baseline Start]])&gt;0,Tasks[[#This Row],[Baseline Start]],Tasks[[#This Row],[_CalcStart]]))</f>
        <v/>
      </c>
      <c r="Y110" s="58" t="str">
        <f aca="false">IF(Tasks[[#This Row],[Task Name]]="","",IF(N(Tasks[[#This Row],[Baseline Finish]])&gt;0,Tasks[[#This Row],[Baseline Finish]],Tasks[[#This Row],[_CalcFinish]]))</f>
        <v/>
      </c>
      <c r="Z110" s="67" t="str">
        <f aca="false">IF(Tasks[[#This Row],[Task Name]]="","",IF(Tasks[[#This Row],[Start]]&gt;=Tasks[[#This Row],[Planned Start]],NETWORKDAYS.INTL(Tasks[[#This Row],[Planned Start]],Tasks[[#This Row],[Start]],WorkWeek,Holidays)-1,1-NETWORKDAYS.INTL(Tasks[[#This Row],[Start]],Tasks[[#This Row],[Planned Start]],WorkWeek,Holidays)))</f>
        <v/>
      </c>
      <c r="AA110" s="58" t="str">
        <f aca="false">IF(Tasks[[#This Row],[Task Name]]="","",IF(Tasks[[#This Row],[_IsSummary]],MIN(INDEX(Tasks[_LeafLateStart],Tasks[[#This Row],[_Row]]+1):INDEX(Tasks[_LeafLateStart],Tasks[[#This Row],[_Row]]+Tasks[[#This Row],[_Descendants]])),Tasks[[#This Row],[_LeafLateStart]]))</f>
        <v/>
      </c>
      <c r="AB110" s="58" t="str">
        <f aca="false">IF(Tasks[[#This Row],[Task Name]]="","",IF(Tasks[[#This Row],[_IsSummary]],MAX(INDEX(Tasks[_LeafLateFinish],Tasks[[#This Row],[_Row]]+1):INDEX(Tasks[_LeafLateFinish],Tasks[[#This Row],[_Row]]+Tasks[[#This Row],[_Descendants]])),Tasks[[#This Row],[_LeafLateFinish]]))</f>
        <v/>
      </c>
      <c r="AC110" s="67" t="str">
        <f aca="false">IF(Tasks[[#This Row],[Task Name]]="","",IF(Tasks[[#This Row],[_IsSummary]],MIN(INDEX(Tasks[_LeafTotalSlack],Tasks[[#This Row],[_Row]]+1):INDEX(Tasks[_LeafTotalSlack],Tasks[[#This Row],[_Row]]+Tasks[[#This Row],[_Descendants]])),Tasks[[#This Row],[_LeafTotalSlack]]))</f>
        <v/>
      </c>
      <c r="AD11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1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1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10" s="60"/>
      <c r="AH11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1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10" s="69" t="str">
        <f aca="false">IF(Tasks[[#This Row],[Task Name]]="","",IF(Tasks[[#This Row],[_IsSummary]],SUM(INDEX(Tasks[_LeafTotalWork],Tasks[[#This Row],[_Row]]+1):INDEX(Tasks[_LeafTotalWork],Tasks[[#This Row],[_Row]]+Tasks[[#This Row],[_Descendants]])),Tasks[[#This Row],[_LeafTotalWork]]))</f>
        <v/>
      </c>
      <c r="AK11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10" s="70" t="str">
        <f aca="false">IF(Tasks[[#This Row],[Task Name]]="","",IF(Tasks[[#This Row],[_IsSummary]],SUM(INDEX(Tasks[_LeafTotalCost],Tasks[[#This Row],[_Row]]+1):INDEX(Tasks[_LeafTotalCost],Tasks[[#This Row],[_Row]]+Tasks[[#This Row],[_Descendants]])),Tasks[[#This Row],[_LeafTotalCost]]))</f>
        <v/>
      </c>
      <c r="AM110" s="71"/>
      <c r="AN110" s="20" t="str">
        <f aca="false">IF(OR(Tasks[[#This Row],[Task Name]]="",Tasks[[#This Row],[Baseline Duration]]=""),"",Tasks[[#This Row],[BL Source Duration]]-N(Tasks[[#This Row],[Baseline Duration]]))</f>
        <v/>
      </c>
      <c r="AO110" s="69" t="str">
        <f aca="false">IF(OR(Tasks[[#This Row],[Task Name]]="",Tasks[[#This Row],[Baseline Work]]=""),"",Tasks[[#This Row],[Work]]-N(Tasks[[#This Row],[Baseline Work]]))</f>
        <v/>
      </c>
      <c r="AP110" s="70" t="str">
        <f aca="false">IF(OR(Tasks[[#This Row],[Task Name]]="",Tasks[[#This Row],[Baseline Cost]]=""),"",Tasks[[#This Row],[Cost]]-N(Tasks[[#This Row],[Baseline Cost]]))</f>
        <v/>
      </c>
      <c r="AQ110" s="58" t="str">
        <f aca="false">IF(Tasks[[#This Row],[Task Name]]="","",Tasks[[#This Row],[Start]])</f>
        <v/>
      </c>
      <c r="AR110" s="58" t="str">
        <f aca="false">IF(Tasks[[#This Row],[Task Name]]="","",Tasks[[#This Row],[Finish]])</f>
        <v/>
      </c>
      <c r="AS110" s="67" t="str">
        <f aca="false">IF(Tasks[[#This Row],[Task Name]]="","",IF(Tasks[[#This Row],[_IsSummary]],NETWORKDAYS.INTL(Tasks[[#This Row],[Start]],Tasks[[#This Row],[Finish]],WorkWeek,Holidays),N(Tasks[[#This Row],[Duration]])))</f>
        <v/>
      </c>
      <c r="AT110" s="69" t="str">
        <f aca="false">IF(Tasks[[#This Row],[Task Name]]="","",Tasks[[#This Row],[Work]])</f>
        <v/>
      </c>
      <c r="AU110" s="70" t="str">
        <f aca="false">IF(Tasks[[#This Row],[Task Name]]="","",Tasks[[#This Row],[Cost]])</f>
        <v/>
      </c>
      <c r="AV110" s="7"/>
      <c r="AW110" s="7"/>
      <c r="AX110" s="21"/>
      <c r="AY110" s="72"/>
      <c r="AZ110" s="71"/>
      <c r="BA110" s="70" t="str">
        <f aca="false">IF(Tasks[[#This Row],[Task Name]]="","",IF(Tasks[[#This Row],[_IsSummary]],SUM(INDEX(Tasks[_LeafEV],Tasks[[#This Row],[_Row]]+1):INDEX(Tasks[_LeafEV],Tasks[[#This Row],[_Row]]+Tasks[[#This Row],[_Descendants]])),Tasks[[#This Row],[_LeafEV]]))</f>
        <v/>
      </c>
      <c r="BB110" s="70" t="str">
        <f aca="false">IF(Tasks[[#This Row],[Task Name]]="","",IF(Tasks[[#This Row],[_IsSummary]],SUM(INDEX(Tasks[_LeafBudget],Tasks[[#This Row],[_Row]]+1):INDEX(Tasks[_LeafBudget],Tasks[[#This Row],[_Row]]+Tasks[[#This Row],[_Descendants]])),Tasks[[#This Row],[_LeafBudget]]))</f>
        <v/>
      </c>
      <c r="BC110" s="70" t="str">
        <f aca="false">IF(Tasks[[#This Row],[Task Name]]="","",IF(Tasks[[#This Row],[_IsSummary]],SUM(INDEX(Tasks[_LeafPV],Tasks[[#This Row],[_Row]]+1):INDEX(Tasks[_LeafPV],Tasks[[#This Row],[_Row]]+Tasks[[#This Row],[_Descendants]])),Tasks[[#This Row],[_LeafPV]]))</f>
        <v/>
      </c>
      <c r="BD110" s="70" t="str">
        <f aca="false">IF(Tasks[[#This Row],[Task Name]]="","",IF(Tasks[[#This Row],[_IsSummary]],SUM(INDEX(Tasks[_LeafAC],Tasks[[#This Row],[_Row]]+1):INDEX(Tasks[_LeafAC],Tasks[[#This Row],[_Row]]+Tasks[[#This Row],[_Descendants]])),Tasks[[#This Row],[_LeafAC]]))</f>
        <v/>
      </c>
      <c r="BE110" s="45" t="str">
        <f aca="false">IF(Tasks[[#This Row],[Task Name]]="","",MAX(1,N(Tasks[[#This Row],[Level]])))</f>
        <v/>
      </c>
      <c r="BF110" s="45" t="n">
        <f aca="false">ROW()-ROW(Tasks[[#Headers],[ID]])</f>
        <v>105</v>
      </c>
      <c r="BG110" s="45" t="n">
        <f aca="false">IF(OR(Tasks[[#This Row],[Task Name]]="",Tasks[[#This Row],[_Level]]&lt;=1),0,IFERROR(LOOKUP(2,1/(Tasks[[#Headers],[_Level]]:Tasks[[#This Row],[_Level]]=Tasks[[#This Row],[_Level]]-1),ROW(Tasks[[#Headers],[_Level]]:Tasks[[#This Row],[_Level]])),0))</f>
        <v>0</v>
      </c>
      <c r="BH110" s="45" t="n">
        <f aca="false">IFERROR(N(INDEX(Tasks[_Level],Tasks[[#This Row],[_Row]]+1)),0)</f>
        <v>0</v>
      </c>
      <c r="BI110" s="73" t="b">
        <f aca="false">AND(Tasks[[#This Row],[Task Name]]&lt;&gt;"",Tasks[[#This Row],[_NextLevel]]&gt;Tasks[[#This Row],[_Level]])</f>
        <v>0</v>
      </c>
      <c r="BJ110" s="45" t="n">
        <f aca="false">IF(Tasks[[#This Row],[_IsSummary]],COUNTIF(Tasks[WBS],Tasks[[#This Row],[WBS]]&amp;".*"),0)</f>
        <v>0</v>
      </c>
      <c r="BK110" s="45" t="n">
        <f aca="false">IF(AND(Tasks[[#This Row],[Task Name]]&lt;&gt;"",NOT(Tasks[[#This Row],[_IsSummary]])),1,0)</f>
        <v>0</v>
      </c>
      <c r="BL110" s="45" t="n">
        <f aca="false">IF(N(Tasks[[#This Row],[_Pred1UID]])=0,0,IFERROR(MATCH(Tasks[[#This Row],[_Pred1UID]],Tasks[UID],0),-1))</f>
        <v>0</v>
      </c>
      <c r="BM110" s="45" t="n">
        <f aca="false">IF(N(Tasks[[#This Row],[_Pred2UID]])=0,0,IFERROR(MATCH(Tasks[[#This Row],[_Pred2UID]],Tasks[UID],0),-1))</f>
        <v>0</v>
      </c>
      <c r="BN110" s="45" t="n">
        <f aca="false">IF(N(Tasks[[#This Row],[_Pred3UID]])=0,0,IFERROR(MATCH(Tasks[[#This Row],[_Pred3UID]],Tasks[UID],0),-1))</f>
        <v>0</v>
      </c>
      <c r="BO110" s="45" t="n">
        <f aca="false">IF(N(Tasks[[#This Row],[_Pred4UID]])=0,0,IFERROR(MATCH(Tasks[[#This Row],[_Pred4UID]],Tasks[UID],0),-1))</f>
        <v>0</v>
      </c>
      <c r="BP11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1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10" s="74" t="n">
        <f aca="false">IF(OR(Tasks[[#This Row],[_ConstraintCode]]=2,Tasks[[#This Row],[_ConstraintCode]]=3,Tasks[[#This Row],[_ConstraintCode]]=4,Tasks[[#This Row],[_ConstraintCode]]=6),Tasks[[#This Row],[_ConstraintStart]],0)</f>
        <v>0</v>
      </c>
      <c r="BS110" s="74" t="n">
        <f aca="false">IF(OR(Tasks[[#This Row],[_ConstraintCode]]=2,Tasks[[#This Row],[_ConstraintCode]]=3,Tasks[[#This Row],[_ConstraintCode]]=5,Tasks[[#This Row],[_ConstraintCode]]=7),Tasks[[#This Row],[_ConstraintStart]],2958465)</f>
        <v>2958465</v>
      </c>
      <c r="BT11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10" s="74" t="str">
        <f aca="false">IF(NOT(Tasks[[#This Row],[_IsLeaf]]=1),"",IF(N(Tasks[[#This Row],[Duration]])&lt;=0,Tasks[[#This Row],[_LeafCalcStart]],WORKDAY.INTL(Tasks[[#This Row],[_LeafCalcStart]],Tasks[[#This Row],[Duration]]-1,WorkWeek,Holidays)))</f>
        <v/>
      </c>
      <c r="BV11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1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10" s="45" t="str">
        <f aca="false">IF(Tasks[[#This Row],[Predecessors]]="","",TRIM(MID(SUBSTITUTE(SUBSTITUTE(SUBSTITUTE(UPPER(Tasks[[#This Row],[Predecessors]]),";",",")," ",""),",",REPT(" ",99)),1,99)))</f>
        <v/>
      </c>
      <c r="BY110" s="45" t="str">
        <f aca="false">IF(Tasks[[#This Row],[_Pred1Text]]="","",IFERROR(VALUE(LEFT(Tasks[[#This Row],[_Pred1Text]],MIN(FIND("F",Tasks[[#This Row],[_Pred1Text]]&amp;"F"),FIND("S",Tasks[[#This Row],[_Pred1Text]]&amp;"S"),FIND("+",Tasks[[#This Row],[_Pred1Text]]&amp;"+"),FIND("-",Tasks[[#This Row],[_Pred1Text]]&amp;"-"))-1)),""))</f>
        <v/>
      </c>
      <c r="BZ11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1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10" s="45" t="str">
        <f aca="false">IF(Tasks[[#This Row],[_Pred1Text]]="","",TRIM(MID(SUBSTITUTE(SUBSTITUTE(SUBSTITUTE(UPPER(Tasks[[#This Row],[Predecessors]]),";",",")," ",""),",",REPT(" ",99)),100,99)))</f>
        <v/>
      </c>
      <c r="CC110" s="45" t="str">
        <f aca="false">IF(Tasks[[#This Row],[_Pred2Text]]="","",IFERROR(VALUE(LEFT(Tasks[[#This Row],[_Pred2Text]],MIN(FIND("F",Tasks[[#This Row],[_Pred2Text]]&amp;"F"),FIND("S",Tasks[[#This Row],[_Pred2Text]]&amp;"S"),FIND("+",Tasks[[#This Row],[_Pred2Text]]&amp;"+"),FIND("-",Tasks[[#This Row],[_Pred2Text]]&amp;"-"))-1)),""))</f>
        <v/>
      </c>
      <c r="CD11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1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10" s="45" t="str">
        <f aca="false">IF(Tasks[[#This Row],[_Pred2Text]]="","",TRIM(MID(SUBSTITUTE(SUBSTITUTE(SUBSTITUTE(UPPER(Tasks[[#This Row],[Predecessors]]),";",",")," ",""),",",REPT(" ",99)),199,99)))</f>
        <v/>
      </c>
      <c r="CG110" s="45" t="str">
        <f aca="false">IF(Tasks[[#This Row],[_Pred3Text]]="","",IFERROR(VALUE(LEFT(Tasks[[#This Row],[_Pred3Text]],MIN(FIND("F",Tasks[[#This Row],[_Pred3Text]]&amp;"F"),FIND("S",Tasks[[#This Row],[_Pred3Text]]&amp;"S"),FIND("+",Tasks[[#This Row],[_Pred3Text]]&amp;"+"),FIND("-",Tasks[[#This Row],[_Pred3Text]]&amp;"-"))-1)),""))</f>
        <v/>
      </c>
      <c r="CH11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1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10" s="45" t="str">
        <f aca="false">IF(Tasks[[#This Row],[_Pred3Text]]="","",TRIM(MID(SUBSTITUTE(SUBSTITUTE(SUBSTITUTE(UPPER(Tasks[[#This Row],[Predecessors]]),";",",")," ",""),",",REPT(" ",99)),298,99)))</f>
        <v/>
      </c>
      <c r="CK110" s="45" t="str">
        <f aca="false">IF(Tasks[[#This Row],[_Pred4Text]]="","",IFERROR(VALUE(LEFT(Tasks[[#This Row],[_Pred4Text]],MIN(FIND("F",Tasks[[#This Row],[_Pred4Text]]&amp;"F"),FIND("S",Tasks[[#This Row],[_Pred4Text]]&amp;"S"),FIND("+",Tasks[[#This Row],[_Pred4Text]]&amp;"+"),FIND("-",Tasks[[#This Row],[_Pred4Text]]&amp;"-"))-1)),""))</f>
        <v/>
      </c>
      <c r="CL11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1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10" s="45" t="str">
        <f aca="false">IF(OR(Tasks[[#This Row],[Task Name]]="",Tasks[[#This Row],[Resources]]=""),"",TRIM(MID(SUBSTITUTE(Tasks[[#This Row],[Resources]],",",REPT(" ",99)),1,99)))</f>
        <v/>
      </c>
      <c r="CO110" s="45" t="str">
        <f aca="false">IF(Tasks[[#This Row],[_Res1Text]]="","",TRIM(MID(SUBSTITUTE(Tasks[[#This Row],[Resources]],",",REPT(" ",99)),100,99)))</f>
        <v/>
      </c>
      <c r="CP110" s="45" t="str">
        <f aca="false">IF(Tasks[[#This Row],[_Res2Text]]="","",TRIM(MID(SUBSTITUTE(Tasks[[#This Row],[Resources]],",",REPT(" ",99)),199,99)))</f>
        <v/>
      </c>
      <c r="CQ110" s="45" t="str">
        <f aca="false">IF(Tasks[[#This Row],[_Res3Text]]="","",TRIM(MID(SUBSTITUTE(Tasks[[#This Row],[Resources]],",",REPT(" ",99)),298,99)))</f>
        <v/>
      </c>
      <c r="CR11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1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0" s="45" t="n">
        <f aca="false">IF(NOT(Tasks[[#This Row],[_IsLeaf]]=1),0,(Tasks[[#This Row],[_Resource1]]&lt;&gt;"")+(Tasks[[#This Row],[_Res2]]&lt;&gt;"")+(Tasks[[#This Row],[_Res3]]&lt;&gt;"")+(Tasks[[#This Row],[_Res4]]&lt;&gt;""))</f>
        <v>0</v>
      </c>
      <c r="CU11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1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0" s="45" t="n">
        <f aca="false">IF(OR(NOT(Tasks[[#This Row],[_IsLeaf]]=1),Tasks[[#This Row],[_Res2]]=""),0,IF(ISNA(MATCH(Tasks[[#This Row],[_Res2]],res_Name,0)),0,N(Tasks[[#This Row],[Duration]])*HoursPerDay*IF(Tasks[[#This Row],[_Res2Units]]="",DefaultUnits,Tasks[[#This Row],[_Res2Units]])))</f>
        <v>0</v>
      </c>
      <c r="CX110" s="45" t="n">
        <f aca="false">IF(Tasks[[#This Row],[_Res2Work]]=0,0,Tasks[[#This Row],[_Res2Work]]*IFERROR(INDEX(res_Rate,MATCH(Tasks[[#This Row],[_Res2]],res_Name,0)),0))</f>
        <v>0</v>
      </c>
      <c r="CY110" s="45" t="n">
        <f aca="false">IF(AND(AND(Tasks[[#This Row],[_IsLeaf]]=1,Tasks[[#This Row],[_LeafTotalWork]]&gt;0),Tasks[[#This Row],[_Res2Work]]&gt;0),Tasks[[#This Row],[_Res2Work]]/(Tasks[[#This Row],[_FinishWorkday]]-Tasks[[#This Row],[_StartWorkday]]+1),0)</f>
        <v>0</v>
      </c>
      <c r="CZ110" s="45" t="n">
        <f aca="false">Tasks[[#This Row],[_Res2WorkPerWD]]*MAX(0,Tasks[[#This Row],[_StartWorkday]]-1)</f>
        <v>0</v>
      </c>
      <c r="DA110" s="45" t="n">
        <f aca="false">Tasks[[#This Row],[_Res2Work]]*Tasks[[#This Row],[_LeafProgress]]</f>
        <v>0</v>
      </c>
      <c r="DB110" s="45" t="n">
        <f aca="false">IF(Tasks[[#This Row],[_LeafTotalCost]]=0,0,Tasks[[#This Row],[_LeafAC]]*Tasks[[#This Row],[_Res2Cost]]/Tasks[[#This Row],[_LeafTotalCost]])</f>
        <v>0</v>
      </c>
      <c r="DC11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1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10" s="45" t="n">
        <f aca="false">IF(OR(NOT(Tasks[[#This Row],[_IsLeaf]]=1),Tasks[[#This Row],[_Res3]]=""),0,IF(ISNA(MATCH(Tasks[[#This Row],[_Res3]],res_Name,0)),0,N(Tasks[[#This Row],[Duration]])*HoursPerDay*IF(Tasks[[#This Row],[_Res3Units]]="",DefaultUnits,Tasks[[#This Row],[_Res3Units]])))</f>
        <v>0</v>
      </c>
      <c r="DF110" s="45" t="n">
        <f aca="false">IF(Tasks[[#This Row],[_Res3Work]]=0,0,Tasks[[#This Row],[_Res3Work]]*IFERROR(INDEX(res_Rate,MATCH(Tasks[[#This Row],[_Res3]],res_Name,0)),0))</f>
        <v>0</v>
      </c>
      <c r="DG110" s="45" t="n">
        <f aca="false">IF(AND(AND(Tasks[[#This Row],[_IsLeaf]]=1,Tasks[[#This Row],[_LeafTotalWork]]&gt;0),Tasks[[#This Row],[_Res3Work]]&gt;0),Tasks[[#This Row],[_Res3Work]]/(Tasks[[#This Row],[_FinishWorkday]]-Tasks[[#This Row],[_StartWorkday]]+1),0)</f>
        <v>0</v>
      </c>
      <c r="DH110" s="45" t="n">
        <f aca="false">Tasks[[#This Row],[_Res3WorkPerWD]]*MAX(0,Tasks[[#This Row],[_StartWorkday]]-1)</f>
        <v>0</v>
      </c>
      <c r="DI110" s="45" t="n">
        <f aca="false">Tasks[[#This Row],[_Res3Work]]*Tasks[[#This Row],[_LeafProgress]]</f>
        <v>0</v>
      </c>
      <c r="DJ110" s="45" t="n">
        <f aca="false">IF(Tasks[[#This Row],[_LeafTotalCost]]=0,0,Tasks[[#This Row],[_LeafAC]]*Tasks[[#This Row],[_Res3Cost]]/Tasks[[#This Row],[_LeafTotalCost]])</f>
        <v>0</v>
      </c>
      <c r="DK11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1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10" s="45" t="n">
        <f aca="false">IF(OR(NOT(Tasks[[#This Row],[_IsLeaf]]=1),Tasks[[#This Row],[_Res4]]=""),0,IF(ISNA(MATCH(Tasks[[#This Row],[_Res4]],res_Name,0)),0,N(Tasks[[#This Row],[Duration]])*HoursPerDay*IF(Tasks[[#This Row],[_Res4Units]]="",DefaultUnits,Tasks[[#This Row],[_Res4Units]])))</f>
        <v>0</v>
      </c>
      <c r="DN110" s="45" t="n">
        <f aca="false">IF(Tasks[[#This Row],[_Res4Work]]=0,0,Tasks[[#This Row],[_Res4Work]]*IFERROR(INDEX(res_Rate,MATCH(Tasks[[#This Row],[_Res4]],res_Name,0)),0))</f>
        <v>0</v>
      </c>
      <c r="DO110" s="45" t="n">
        <f aca="false">IF(AND(AND(Tasks[[#This Row],[_IsLeaf]]=1,Tasks[[#This Row],[_LeafTotalWork]]&gt;0),Tasks[[#This Row],[_Res4Work]]&gt;0),Tasks[[#This Row],[_Res4Work]]/(Tasks[[#This Row],[_FinishWorkday]]-Tasks[[#This Row],[_StartWorkday]]+1),0)</f>
        <v>0</v>
      </c>
      <c r="DP110" s="45" t="n">
        <f aca="false">Tasks[[#This Row],[_Res4WorkPerWD]]*MAX(0,Tasks[[#This Row],[_StartWorkday]]-1)</f>
        <v>0</v>
      </c>
      <c r="DQ110" s="45" t="n">
        <f aca="false">Tasks[[#This Row],[_Res4Work]]*Tasks[[#This Row],[_LeafProgress]]</f>
        <v>0</v>
      </c>
      <c r="DR110" s="45" t="n">
        <f aca="false">IF(Tasks[[#This Row],[_LeafTotalCost]]=0,0,Tasks[[#This Row],[_LeafAC]]*Tasks[[#This Row],[_Res4Cost]]/Tasks[[#This Row],[_LeafTotalCost]])</f>
        <v>0</v>
      </c>
      <c r="DS110" s="45" t="n">
        <f aca="false">IF(ISNUMBER(Tasks[[#This Row],[% Complete]]),Tasks[[#This Row],[% Complete]],IF(Tasks[[#This Row],[Stage]]="",0,IFERROR(INDEX(stg_Pct,MATCH(Tasks[[#This Row],[Stage]],stg_Name,0)),0)))</f>
        <v>0</v>
      </c>
      <c r="DT110" s="45" t="n">
        <f aca="false">IF(NOT(Tasks[[#This Row],[_IsLeaf]]=1),0,IF(N(Tasks[[#This Row],[Actual Finish]])&gt;0,1,MIN(1,Tasks[[#This Row],[_Pct]])))</f>
        <v>0</v>
      </c>
      <c r="DU110" s="45" t="n">
        <f aca="false">IF(OR(NOT(Tasks[[#This Row],[_IsLeaf]]=1),Tasks[[#This Row],[_Resource1]]=""),0,IF(ISNA(MATCH(Tasks[[#This Row],[_Resource1]],res_Name,0)),0,N(Tasks[[#This Row],[Duration]])*HoursPerDay*IF(Tasks[[#This Row],[_Units1]]="",DefaultUnits,Tasks[[#This Row],[_Units1]])))</f>
        <v>0</v>
      </c>
      <c r="DV110" s="45" t="n">
        <f aca="false">IF(Tasks[[#This Row],[_LeafWork]]=0,0,Tasks[[#This Row],[_LeafWork]]*IFERROR(INDEX(res_Rate,MATCH(Tasks[[#This Row],[_Resource1]],res_Name,0)),0))</f>
        <v>0</v>
      </c>
      <c r="DW110" s="45" t="n">
        <f aca="false">Tasks[[#This Row],[_LeafWork]]+Tasks[[#This Row],[_Res2Work]]+Tasks[[#This Row],[_Res3Work]]+Tasks[[#This Row],[_Res4Work]]</f>
        <v>0</v>
      </c>
      <c r="DX110" s="45" t="n">
        <f aca="false">Tasks[[#This Row],[_LeafCost]]+Tasks[[#This Row],[_Res2Cost]]+Tasks[[#This Row],[_Res3Cost]]+Tasks[[#This Row],[_Res4Cost]]</f>
        <v>0</v>
      </c>
      <c r="DY110" s="45" t="n">
        <f aca="false">IF(Tasks[[#This Row],[_LeafTotalCost]]=0,Tasks[[#This Row],[_LeafAC]],Tasks[[#This Row],[_LeafAC]]*Tasks[[#This Row],[_LeafCost]]/Tasks[[#This Row],[_LeafTotalCost]])</f>
        <v>0</v>
      </c>
      <c r="DZ11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1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1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1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1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1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1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1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10" s="45" t="n">
        <f aca="false">IF(NOT(Tasks[[#This Row],[_IsLeaf]]=1),0,MAX(_xlfn.MAXIFS(Tasks[_Row],Tasks[_Pred1UID],Tasks[[#This Row],[UID]]),_xlfn.MAXIFS(Tasks[_Row],Tasks[_Pred2UID],Tasks[[#This Row],[UID]]),_xlfn.MAXIFS(Tasks[_Row],Tasks[_Pred3UID],Tasks[[#This Row],[UID]]),_xlfn.MAXIFS(Tasks[_Row],Tasks[_Pred4UID],Tasks[[#This Row],[UID]])))</f>
        <v>0</v>
      </c>
      <c r="EI11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1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10" s="74" t="str">
        <f aca="false">IF(NOT(Tasks[[#This Row],[_IsLeaf]]=1),"",IF(N(Tasks[[#This Row],[Duration]])&lt;=0,Tasks[[#This Row],[_LeafLateFinish]],WORKDAY.INTL(Tasks[[#This Row],[_LeafLateFinish]],-(Tasks[[#This Row],[Duration]]-1),WorkWeek,Holidays)))</f>
        <v/>
      </c>
      <c r="EL11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10" s="73" t="b">
        <f aca="false">AND(Tasks[[#This Row],[_IsLeaf]]=1,Tasks[[#This Row],[_LeafProgress]]&lt;1,N(Tasks[[#This Row],[_LeafTotalSlack]])&lt;=CriticalSlackDays)</f>
        <v>0</v>
      </c>
      <c r="EN110" s="45" t="n">
        <f aca="false">IF(AND(Tasks[[#This Row],[_IsLeaf]]=1,Tasks[[#This Row],[_ConstraintCode]]=1,Tasks[[#This Row],[Mode]]&lt;&gt;"Manual",N(Tasks[[#This Row],[Actual Start]])=0),MAX(0,N(Tasks[[#This Row],[Free Slack]])),0)</f>
        <v>0</v>
      </c>
      <c r="EO110" s="74" t="str">
        <f aca="false">IF(NOT(Tasks[[#This Row],[_IsLeaf]]=1),"",IF(Tasks[[#This Row],[_AlapShift]]=0,Tasks[[#This Row],[_LeafCalcStart]],WORKDAY.INTL(Tasks[[#This Row],[_LeafCalcStart]],Tasks[[#This Row],[_AlapShift]],WorkWeek,Holidays)))</f>
        <v/>
      </c>
      <c r="EP110" s="74" t="str">
        <f aca="false">IF(NOT(Tasks[[#This Row],[_IsLeaf]]=1),"",IF(Tasks[[#This Row],[_AlapShift]]=0,Tasks[[#This Row],[_LeafCalcFinish]],WORKDAY.INTL(Tasks[[#This Row],[_LeafCalcFinish]],Tasks[[#This Row],[_AlapShift]],WorkWeek,Holidays)))</f>
        <v/>
      </c>
      <c r="EQ110" s="74" t="str">
        <f aca="false">IF(NOT(Tasks[[#This Row],[_IsLeaf]]=1),"",IF(Tasks[[#This Row],[_AlapShift]]=0,Tasks[[#This Row],[_LeafFcstStart]],WORKDAY.INTL(Tasks[[#This Row],[_LeafFcstStart]],Tasks[[#This Row],[_AlapShift]],WorkWeek,Holidays)))</f>
        <v/>
      </c>
      <c r="ER110" s="74" t="str">
        <f aca="false">IF(NOT(Tasks[[#This Row],[_IsLeaf]]=1),"",IF(Tasks[[#This Row],[_AlapShift]]=0,Tasks[[#This Row],[_LeafFcstFinish]],WORKDAY.INTL(Tasks[[#This Row],[_LeafFcstFinish]],Tasks[[#This Row],[_AlapShift]],WorkWeek,Holidays)))</f>
        <v/>
      </c>
      <c r="ES110" s="74" t="str">
        <f aca="false">IF(Tasks[[#This Row],[Task Name]]="","",IF(Tasks[[#This Row],[_IsSummary]],MIN(INDEX(Tasks[_ShownCalcStart],Tasks[[#This Row],[_Row]]+1):INDEX(Tasks[_ShownCalcStart],Tasks[[#This Row],[_Row]]+Tasks[[#This Row],[_Descendants]])),Tasks[[#This Row],[_ShownCalcStart]]))</f>
        <v/>
      </c>
      <c r="ET110" s="74" t="str">
        <f aca="false">IF(Tasks[[#This Row],[Task Name]]="","",IF(Tasks[[#This Row],[_IsSummary]],MAX(INDEX(Tasks[_ShownCalcFinish],Tasks[[#This Row],[_Row]]+1):INDEX(Tasks[_ShownCalcFinish],Tasks[[#This Row],[_Row]]+Tasks[[#This Row],[_Descendants]])),Tasks[[#This Row],[_ShownCalcFinish]]))</f>
        <v/>
      </c>
      <c r="EU11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1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1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1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1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1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1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1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1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1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1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1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10" s="45" t="n">
        <f aca="false">IF(AND(Tasks[[#This Row],[_IsLeaf]]=1,Tasks[[#This Row],[_LeafTotalWork]]&gt;0),NETWORKDAYS.INTL(ProjectStart,Tasks[[#This Row],[_ShownFcstStart]],WorkWeek,Holidays),0)</f>
        <v>0</v>
      </c>
      <c r="FH110" s="45" t="n">
        <f aca="false">IF(AND(Tasks[[#This Row],[_IsLeaf]]=1,Tasks[[#This Row],[_LeafTotalWork]]&gt;0),MAX(Tasks[[#This Row],[_StartWorkday]],NETWORKDAYS.INTL(ProjectStart,Tasks[[#This Row],[_ShownFcstFinish]],WorkWeek,Holidays)),0)</f>
        <v>0</v>
      </c>
      <c r="FI110" s="45" t="n">
        <f aca="false">IF(AND(Tasks[[#This Row],[_IsLeaf]]=1,Tasks[[#This Row],[_LeafTotalWork]]&gt;0),Tasks[[#This Row],[_LeafWork]]/(Tasks[[#This Row],[_FinishWorkday]]-Tasks[[#This Row],[_StartWorkday]]+1),0)</f>
        <v>0</v>
      </c>
      <c r="FJ110" s="45" t="n">
        <f aca="false">Tasks[[#This Row],[_WorkPerWorkday]]*(Tasks[[#This Row],[_StartWorkday]]-1)</f>
        <v>-0</v>
      </c>
      <c r="FK110" s="45" t="n">
        <f aca="false">IF(Tasks[[#This Row],[_IsLeaf]]=1,MAX(N(Tasks[[#This Row],[Duration]]),0.1),0)</f>
        <v>0</v>
      </c>
      <c r="FL110" s="45" t="n">
        <f aca="false">Tasks[[#This Row],[_WeightDur]]*Tasks[[#This Row],[_LeafProgress]]</f>
        <v>0</v>
      </c>
      <c r="FM11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10" s="45" t="str">
        <f aca="false">IF(AND(Tasks[[#This Row],[_IsLeaf]]=1,N(Tasks[[#This Row],[Duration]])=0,Tasks[[#This Row],[_LeafProgress]]&lt;1),Tasks[[#This Row],[_ShownFcstFinish]]+Tasks[[#This Row],[_Row]]/100000,"")</f>
        <v/>
      </c>
      <c r="FO11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10" s="45" t="n">
        <f aca="false">IF(NOT(Tasks[[#This Row],[_IsLeaf]]=1),0,IF(Tasks[[#This Row],[Baseline Cost]]="",Tasks[[#This Row],[_LeafTotalCost]],N(Tasks[[#This Row],[Baseline Cost]])))</f>
        <v>0</v>
      </c>
      <c r="FQ110" s="45" t="n">
        <f aca="false">Tasks[[#This Row],[_LeafBudget]]*Tasks[[#This Row],[_PlannedPct]]</f>
        <v>0</v>
      </c>
      <c r="FR110" s="45" t="n">
        <f aca="false">Tasks[[#This Row],[_LeafBudget]]*Tasks[[#This Row],[_LeafProgress]]</f>
        <v>0</v>
      </c>
      <c r="FS110" s="45" t="n">
        <f aca="false">IF(NOT(Tasks[[#This Row],[_IsLeaf]]=1),0,IF(Tasks[[#This Row],[Actual Cost]]="",Tasks[[#This Row],[_LeafTotalCost]]*Tasks[[#This Row],[_LeafProgress]],N(Tasks[[#This Row],[Actual Cost]])))</f>
        <v>0</v>
      </c>
      <c r="FT110" s="45" t="str">
        <f aca="false">IF(Tasks[[#This Row],[Task Name]]="","",LEFT(Tasks[[#This Row],[WBS]],FIND(".",Tasks[[#This Row],[WBS]]&amp;".")-1))</f>
        <v/>
      </c>
      <c r="FU110" s="45" t="str">
        <f aca="false">IF(AND(Tasks[[#This Row],[Task Name]]&lt;&gt;"",Tasks[[#This Row],[_Level]]=1),Tasks[[#This Row],[_Row]],"")</f>
        <v/>
      </c>
      <c r="FV110" s="45" t="str">
        <f aca="false">IF(AND(Tasks[[#This Row],[_IsLeaf]]=1,N(Tasks[[#This Row],[Duration]])=0),Tasks[[#This Row],[Planned Finish]]+Tasks[[#This Row],[_Row]]/100000,"")</f>
        <v/>
      </c>
      <c r="FW110" s="45" t="str">
        <f aca="false">IF(AND(Tasks[[#This Row],[_IsLeaf]]=1,Tasks[[#This Row],[_LeafProgress]]&lt;1,OR(N(Tasks[[#This Row],[Finish Var]])&gt;0,Tasks[[#This Row],[Status]]="Late Start")),MAX(0,Tasks[[#This Row],[Finish Var]])+1-Tasks[[#This Row],[_Row]]/1000000,"")</f>
        <v/>
      </c>
      <c r="FX110" s="45" t="str">
        <f aca="false">IF(AND(Tasks[[#This Row],[_IsLeaf]]=1,N(Tasks[[#This Row],[Actual Start]])=0,Tasks[[#This Row],[_ShownFcstStart]]&gt;=StatusDate,Tasks[[#This Row],[_ShownFcstStart]]&lt;=LookaheadEnd),Tasks[[#This Row],[_ShownFcstStart]]+Tasks[[#This Row],[_Row]]/100000,"")</f>
        <v/>
      </c>
      <c r="FY110" s="45" t="str">
        <f aca="false">IF(AND(Tasks[[#This Row],[_IsLeaf]]=1,Tasks[[#This Row],[_LeafProgress]]&lt;1,Tasks[[#This Row],[_ShownFcstFinish]]&gt;=StatusDate,Tasks[[#This Row],[_ShownFcstFinish]]&lt;=LookaheadEnd),Tasks[[#This Row],[_ShownFcstFinish]]+Tasks[[#This Row],[_Row]]/100000,"")</f>
        <v/>
      </c>
      <c r="FZ110" s="45" t="str">
        <f aca="false">IF(Tasks[[#This Row],[_LeafCritical]],Tasks[[#This Row],[_ShownFcstStart]]+Tasks[[#This Row],[_Row]]/100000,"")</f>
        <v/>
      </c>
      <c r="GA110" s="45" t="n">
        <f aca="false">Tasks[[#This Row],[_LeafWork]]*Tasks[[#This Row],[_LeafProgress]]</f>
        <v>0</v>
      </c>
      <c r="GB110" s="74" t="str">
        <f aca="false">IF(AND(Tasks[[#This Row],[_IsLeaf]]=1,Tasks[[#This Row],[_LeafProgress]]&gt;=1),IF(N(Tasks[[#This Row],[Actual Finish]])&gt;0,Tasks[[#This Row],[Actual Finish]],Tasks[[#This Row],[_ShownFcstFinish]]),"")</f>
        <v/>
      </c>
    </row>
    <row r="111" customFormat="false" ht="15" hidden="false" customHeight="false" outlineLevel="0" collapsed="false">
      <c r="A111" s="67" t="str">
        <f aca="false">IF(Tasks[[#This Row],[Task Name]]="","",COUNTA(Tasks[[#Headers],[Task Name]]:Tasks[[#This Row],[Task Name]])-1)</f>
        <v/>
      </c>
      <c r="B111" s="21" t="n">
        <v>106</v>
      </c>
      <c r="C11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21"/>
      <c r="E111" s="22"/>
      <c r="F111" s="21"/>
      <c r="G111" s="22"/>
      <c r="H111" s="22"/>
      <c r="I111" s="22"/>
      <c r="J111" s="7"/>
      <c r="K111" s="7"/>
      <c r="L111" s="22"/>
      <c r="M111" s="58" t="str">
        <f aca="false">IF(Tasks[[#This Row],[Task Name]]="","",IF(Tasks[[#This Row],[_IsSummary]],MIN(INDEX(Tasks[_ShownFcstStart],Tasks[[#This Row],[_Row]]+1):INDEX(Tasks[_ShownFcstStart],Tasks[[#This Row],[_Row]]+Tasks[[#This Row],[_Descendants]])),Tasks[[#This Row],[_ShownFcstStart]]))</f>
        <v/>
      </c>
      <c r="N111" s="58" t="str">
        <f aca="false">IF(Tasks[[#This Row],[Task Name]]="","",IF(Tasks[[#This Row],[_IsSummary]],MAX(INDEX(Tasks[_ShownFcstFinish],Tasks[[#This Row],[_Row]]+1):INDEX(Tasks[_ShownFcstFinish],Tasks[[#This Row],[_Row]]+Tasks[[#This Row],[_Descendants]])),Tasks[[#This Row],[_ShownFcstFinish]]))</f>
        <v/>
      </c>
      <c r="O111" s="20" t="str">
        <f aca="false">IF(Tasks[[#This Row],[Task Name]]="","",IF(Tasks[[#This Row],[Progress]]&gt;=1,"Complete",IF(OR(N(Tasks[[#This Row],[Actual Start]])&gt;0,Tasks[[#This Row],[Progress]]&gt;0),IF(Tasks[[#This Row],[Finish Var]]&gt;0,"Behind","In Progress"),IF(Tasks[[#This Row],[Planned Start]]&lt;StatusDate,"Late Start","Not Started"))))</f>
        <v/>
      </c>
      <c r="P111" s="20" t="str">
        <f aca="false">IF(Tasks[[#This Row],[Task Name]]="","",IF(IF(Tasks[[#This Row],[_IsSummary]],COUNTIF(INDEX(Tasks[_LeafCritical],Tasks[[#This Row],[_Row]]+1):INDEX(Tasks[_LeafCritical],Tasks[[#This Row],[_Row]]+Tasks[[#This Row],[_Descendants]]),TRUE())&gt;0,Tasks[[#This Row],[_LeafCritical]]),"Yes",""))</f>
        <v/>
      </c>
      <c r="Q11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11" s="67" t="str">
        <f aca="false">IF(Tasks[[#This Row],[Task Name]]="","",IF(Tasks[[#This Row],[_Level]]&lt;=OutlineShowLevel,"Yes","No"))</f>
        <v/>
      </c>
      <c r="S111" s="7"/>
      <c r="T111" s="21"/>
      <c r="U111" s="22"/>
      <c r="V111" s="7"/>
      <c r="W111" s="67" t="str">
        <f aca="false">IF(Tasks[[#This Row],[Task Name]]="","",IF(Tasks[[#This Row],[Finish]]&gt;=Tasks[[#This Row],[Planned Finish]],NETWORKDAYS.INTL(Tasks[[#This Row],[Planned Finish]],Tasks[[#This Row],[Finish]],WorkWeek,Holidays)-1,1-NETWORKDAYS.INTL(Tasks[[#This Row],[Finish]],Tasks[[#This Row],[Planned Finish]],WorkWeek,Holidays)))</f>
        <v/>
      </c>
      <c r="X111" s="58" t="str">
        <f aca="false">IF(Tasks[[#This Row],[Task Name]]="","",IF(N(Tasks[[#This Row],[Baseline Start]])&gt;0,Tasks[[#This Row],[Baseline Start]],Tasks[[#This Row],[_CalcStart]]))</f>
        <v/>
      </c>
      <c r="Y111" s="58" t="str">
        <f aca="false">IF(Tasks[[#This Row],[Task Name]]="","",IF(N(Tasks[[#This Row],[Baseline Finish]])&gt;0,Tasks[[#This Row],[Baseline Finish]],Tasks[[#This Row],[_CalcFinish]]))</f>
        <v/>
      </c>
      <c r="Z111" s="67" t="str">
        <f aca="false">IF(Tasks[[#This Row],[Task Name]]="","",IF(Tasks[[#This Row],[Start]]&gt;=Tasks[[#This Row],[Planned Start]],NETWORKDAYS.INTL(Tasks[[#This Row],[Planned Start]],Tasks[[#This Row],[Start]],WorkWeek,Holidays)-1,1-NETWORKDAYS.INTL(Tasks[[#This Row],[Start]],Tasks[[#This Row],[Planned Start]],WorkWeek,Holidays)))</f>
        <v/>
      </c>
      <c r="AA111" s="58" t="str">
        <f aca="false">IF(Tasks[[#This Row],[Task Name]]="","",IF(Tasks[[#This Row],[_IsSummary]],MIN(INDEX(Tasks[_LeafLateStart],Tasks[[#This Row],[_Row]]+1):INDEX(Tasks[_LeafLateStart],Tasks[[#This Row],[_Row]]+Tasks[[#This Row],[_Descendants]])),Tasks[[#This Row],[_LeafLateStart]]))</f>
        <v/>
      </c>
      <c r="AB111" s="58" t="str">
        <f aca="false">IF(Tasks[[#This Row],[Task Name]]="","",IF(Tasks[[#This Row],[_IsSummary]],MAX(INDEX(Tasks[_LeafLateFinish],Tasks[[#This Row],[_Row]]+1):INDEX(Tasks[_LeafLateFinish],Tasks[[#This Row],[_Row]]+Tasks[[#This Row],[_Descendants]])),Tasks[[#This Row],[_LeafLateFinish]]))</f>
        <v/>
      </c>
      <c r="AC111" s="67" t="str">
        <f aca="false">IF(Tasks[[#This Row],[Task Name]]="","",IF(Tasks[[#This Row],[_IsSummary]],MIN(INDEX(Tasks[_LeafTotalSlack],Tasks[[#This Row],[_Row]]+1):INDEX(Tasks[_LeafTotalSlack],Tasks[[#This Row],[_Row]]+Tasks[[#This Row],[_Descendants]])),Tasks[[#This Row],[_LeafTotalSlack]]))</f>
        <v/>
      </c>
      <c r="AD11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1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1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11" s="60"/>
      <c r="AH11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1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11" s="69" t="str">
        <f aca="false">IF(Tasks[[#This Row],[Task Name]]="","",IF(Tasks[[#This Row],[_IsSummary]],SUM(INDEX(Tasks[_LeafTotalWork],Tasks[[#This Row],[_Row]]+1):INDEX(Tasks[_LeafTotalWork],Tasks[[#This Row],[_Row]]+Tasks[[#This Row],[_Descendants]])),Tasks[[#This Row],[_LeafTotalWork]]))</f>
        <v/>
      </c>
      <c r="AK11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11" s="70" t="str">
        <f aca="false">IF(Tasks[[#This Row],[Task Name]]="","",IF(Tasks[[#This Row],[_IsSummary]],SUM(INDEX(Tasks[_LeafTotalCost],Tasks[[#This Row],[_Row]]+1):INDEX(Tasks[_LeafTotalCost],Tasks[[#This Row],[_Row]]+Tasks[[#This Row],[_Descendants]])),Tasks[[#This Row],[_LeafTotalCost]]))</f>
        <v/>
      </c>
      <c r="AM111" s="71"/>
      <c r="AN111" s="20" t="str">
        <f aca="false">IF(OR(Tasks[[#This Row],[Task Name]]="",Tasks[[#This Row],[Baseline Duration]]=""),"",Tasks[[#This Row],[BL Source Duration]]-N(Tasks[[#This Row],[Baseline Duration]]))</f>
        <v/>
      </c>
      <c r="AO111" s="69" t="str">
        <f aca="false">IF(OR(Tasks[[#This Row],[Task Name]]="",Tasks[[#This Row],[Baseline Work]]=""),"",Tasks[[#This Row],[Work]]-N(Tasks[[#This Row],[Baseline Work]]))</f>
        <v/>
      </c>
      <c r="AP111" s="70" t="str">
        <f aca="false">IF(OR(Tasks[[#This Row],[Task Name]]="",Tasks[[#This Row],[Baseline Cost]]=""),"",Tasks[[#This Row],[Cost]]-N(Tasks[[#This Row],[Baseline Cost]]))</f>
        <v/>
      </c>
      <c r="AQ111" s="58" t="str">
        <f aca="false">IF(Tasks[[#This Row],[Task Name]]="","",Tasks[[#This Row],[Start]])</f>
        <v/>
      </c>
      <c r="AR111" s="58" t="str">
        <f aca="false">IF(Tasks[[#This Row],[Task Name]]="","",Tasks[[#This Row],[Finish]])</f>
        <v/>
      </c>
      <c r="AS111" s="67" t="str">
        <f aca="false">IF(Tasks[[#This Row],[Task Name]]="","",IF(Tasks[[#This Row],[_IsSummary]],NETWORKDAYS.INTL(Tasks[[#This Row],[Start]],Tasks[[#This Row],[Finish]],WorkWeek,Holidays),N(Tasks[[#This Row],[Duration]])))</f>
        <v/>
      </c>
      <c r="AT111" s="69" t="str">
        <f aca="false">IF(Tasks[[#This Row],[Task Name]]="","",Tasks[[#This Row],[Work]])</f>
        <v/>
      </c>
      <c r="AU111" s="70" t="str">
        <f aca="false">IF(Tasks[[#This Row],[Task Name]]="","",Tasks[[#This Row],[Cost]])</f>
        <v/>
      </c>
      <c r="AV111" s="7"/>
      <c r="AW111" s="7"/>
      <c r="AX111" s="21"/>
      <c r="AY111" s="72"/>
      <c r="AZ111" s="71"/>
      <c r="BA111" s="70" t="str">
        <f aca="false">IF(Tasks[[#This Row],[Task Name]]="","",IF(Tasks[[#This Row],[_IsSummary]],SUM(INDEX(Tasks[_LeafEV],Tasks[[#This Row],[_Row]]+1):INDEX(Tasks[_LeafEV],Tasks[[#This Row],[_Row]]+Tasks[[#This Row],[_Descendants]])),Tasks[[#This Row],[_LeafEV]]))</f>
        <v/>
      </c>
      <c r="BB111" s="70" t="str">
        <f aca="false">IF(Tasks[[#This Row],[Task Name]]="","",IF(Tasks[[#This Row],[_IsSummary]],SUM(INDEX(Tasks[_LeafBudget],Tasks[[#This Row],[_Row]]+1):INDEX(Tasks[_LeafBudget],Tasks[[#This Row],[_Row]]+Tasks[[#This Row],[_Descendants]])),Tasks[[#This Row],[_LeafBudget]]))</f>
        <v/>
      </c>
      <c r="BC111" s="70" t="str">
        <f aca="false">IF(Tasks[[#This Row],[Task Name]]="","",IF(Tasks[[#This Row],[_IsSummary]],SUM(INDEX(Tasks[_LeafPV],Tasks[[#This Row],[_Row]]+1):INDEX(Tasks[_LeafPV],Tasks[[#This Row],[_Row]]+Tasks[[#This Row],[_Descendants]])),Tasks[[#This Row],[_LeafPV]]))</f>
        <v/>
      </c>
      <c r="BD111" s="70" t="str">
        <f aca="false">IF(Tasks[[#This Row],[Task Name]]="","",IF(Tasks[[#This Row],[_IsSummary]],SUM(INDEX(Tasks[_LeafAC],Tasks[[#This Row],[_Row]]+1):INDEX(Tasks[_LeafAC],Tasks[[#This Row],[_Row]]+Tasks[[#This Row],[_Descendants]])),Tasks[[#This Row],[_LeafAC]]))</f>
        <v/>
      </c>
      <c r="BE111" s="45" t="str">
        <f aca="false">IF(Tasks[[#This Row],[Task Name]]="","",MAX(1,N(Tasks[[#This Row],[Level]])))</f>
        <v/>
      </c>
      <c r="BF111" s="45" t="n">
        <f aca="false">ROW()-ROW(Tasks[[#Headers],[ID]])</f>
        <v>106</v>
      </c>
      <c r="BG111" s="45" t="n">
        <f aca="false">IF(OR(Tasks[[#This Row],[Task Name]]="",Tasks[[#This Row],[_Level]]&lt;=1),0,IFERROR(LOOKUP(2,1/(Tasks[[#Headers],[_Level]]:Tasks[[#This Row],[_Level]]=Tasks[[#This Row],[_Level]]-1),ROW(Tasks[[#Headers],[_Level]]:Tasks[[#This Row],[_Level]])),0))</f>
        <v>0</v>
      </c>
      <c r="BH111" s="45" t="n">
        <f aca="false">IFERROR(N(INDEX(Tasks[_Level],Tasks[[#This Row],[_Row]]+1)),0)</f>
        <v>0</v>
      </c>
      <c r="BI111" s="73" t="b">
        <f aca="false">AND(Tasks[[#This Row],[Task Name]]&lt;&gt;"",Tasks[[#This Row],[_NextLevel]]&gt;Tasks[[#This Row],[_Level]])</f>
        <v>0</v>
      </c>
      <c r="BJ111" s="45" t="n">
        <f aca="false">IF(Tasks[[#This Row],[_IsSummary]],COUNTIF(Tasks[WBS],Tasks[[#This Row],[WBS]]&amp;".*"),0)</f>
        <v>0</v>
      </c>
      <c r="BK111" s="45" t="n">
        <f aca="false">IF(AND(Tasks[[#This Row],[Task Name]]&lt;&gt;"",NOT(Tasks[[#This Row],[_IsSummary]])),1,0)</f>
        <v>0</v>
      </c>
      <c r="BL111" s="45" t="n">
        <f aca="false">IF(N(Tasks[[#This Row],[_Pred1UID]])=0,0,IFERROR(MATCH(Tasks[[#This Row],[_Pred1UID]],Tasks[UID],0),-1))</f>
        <v>0</v>
      </c>
      <c r="BM111" s="45" t="n">
        <f aca="false">IF(N(Tasks[[#This Row],[_Pred2UID]])=0,0,IFERROR(MATCH(Tasks[[#This Row],[_Pred2UID]],Tasks[UID],0),-1))</f>
        <v>0</v>
      </c>
      <c r="BN111" s="45" t="n">
        <f aca="false">IF(N(Tasks[[#This Row],[_Pred3UID]])=0,0,IFERROR(MATCH(Tasks[[#This Row],[_Pred3UID]],Tasks[UID],0),-1))</f>
        <v>0</v>
      </c>
      <c r="BO111" s="45" t="n">
        <f aca="false">IF(N(Tasks[[#This Row],[_Pred4UID]])=0,0,IFERROR(MATCH(Tasks[[#This Row],[_Pred4UID]],Tasks[UID],0),-1))</f>
        <v>0</v>
      </c>
      <c r="BP11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1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11" s="74" t="n">
        <f aca="false">IF(OR(Tasks[[#This Row],[_ConstraintCode]]=2,Tasks[[#This Row],[_ConstraintCode]]=3,Tasks[[#This Row],[_ConstraintCode]]=4,Tasks[[#This Row],[_ConstraintCode]]=6),Tasks[[#This Row],[_ConstraintStart]],0)</f>
        <v>0</v>
      </c>
      <c r="BS111" s="74" t="n">
        <f aca="false">IF(OR(Tasks[[#This Row],[_ConstraintCode]]=2,Tasks[[#This Row],[_ConstraintCode]]=3,Tasks[[#This Row],[_ConstraintCode]]=5,Tasks[[#This Row],[_ConstraintCode]]=7),Tasks[[#This Row],[_ConstraintStart]],2958465)</f>
        <v>2958465</v>
      </c>
      <c r="BT11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11" s="74" t="str">
        <f aca="false">IF(NOT(Tasks[[#This Row],[_IsLeaf]]=1),"",IF(N(Tasks[[#This Row],[Duration]])&lt;=0,Tasks[[#This Row],[_LeafCalcStart]],WORKDAY.INTL(Tasks[[#This Row],[_LeafCalcStart]],Tasks[[#This Row],[Duration]]-1,WorkWeek,Holidays)))</f>
        <v/>
      </c>
      <c r="BV11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1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11" s="45" t="str">
        <f aca="false">IF(Tasks[[#This Row],[Predecessors]]="","",TRIM(MID(SUBSTITUTE(SUBSTITUTE(SUBSTITUTE(UPPER(Tasks[[#This Row],[Predecessors]]),";",",")," ",""),",",REPT(" ",99)),1,99)))</f>
        <v/>
      </c>
      <c r="BY111" s="45" t="str">
        <f aca="false">IF(Tasks[[#This Row],[_Pred1Text]]="","",IFERROR(VALUE(LEFT(Tasks[[#This Row],[_Pred1Text]],MIN(FIND("F",Tasks[[#This Row],[_Pred1Text]]&amp;"F"),FIND("S",Tasks[[#This Row],[_Pred1Text]]&amp;"S"),FIND("+",Tasks[[#This Row],[_Pred1Text]]&amp;"+"),FIND("-",Tasks[[#This Row],[_Pred1Text]]&amp;"-"))-1)),""))</f>
        <v/>
      </c>
      <c r="BZ11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1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11" s="45" t="str">
        <f aca="false">IF(Tasks[[#This Row],[_Pred1Text]]="","",TRIM(MID(SUBSTITUTE(SUBSTITUTE(SUBSTITUTE(UPPER(Tasks[[#This Row],[Predecessors]]),";",",")," ",""),",",REPT(" ",99)),100,99)))</f>
        <v/>
      </c>
      <c r="CC111" s="45" t="str">
        <f aca="false">IF(Tasks[[#This Row],[_Pred2Text]]="","",IFERROR(VALUE(LEFT(Tasks[[#This Row],[_Pred2Text]],MIN(FIND("F",Tasks[[#This Row],[_Pred2Text]]&amp;"F"),FIND("S",Tasks[[#This Row],[_Pred2Text]]&amp;"S"),FIND("+",Tasks[[#This Row],[_Pred2Text]]&amp;"+"),FIND("-",Tasks[[#This Row],[_Pred2Text]]&amp;"-"))-1)),""))</f>
        <v/>
      </c>
      <c r="CD11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1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11" s="45" t="str">
        <f aca="false">IF(Tasks[[#This Row],[_Pred2Text]]="","",TRIM(MID(SUBSTITUTE(SUBSTITUTE(SUBSTITUTE(UPPER(Tasks[[#This Row],[Predecessors]]),";",",")," ",""),",",REPT(" ",99)),199,99)))</f>
        <v/>
      </c>
      <c r="CG111" s="45" t="str">
        <f aca="false">IF(Tasks[[#This Row],[_Pred3Text]]="","",IFERROR(VALUE(LEFT(Tasks[[#This Row],[_Pred3Text]],MIN(FIND("F",Tasks[[#This Row],[_Pred3Text]]&amp;"F"),FIND("S",Tasks[[#This Row],[_Pred3Text]]&amp;"S"),FIND("+",Tasks[[#This Row],[_Pred3Text]]&amp;"+"),FIND("-",Tasks[[#This Row],[_Pred3Text]]&amp;"-"))-1)),""))</f>
        <v/>
      </c>
      <c r="CH11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1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11" s="45" t="str">
        <f aca="false">IF(Tasks[[#This Row],[_Pred3Text]]="","",TRIM(MID(SUBSTITUTE(SUBSTITUTE(SUBSTITUTE(UPPER(Tasks[[#This Row],[Predecessors]]),";",",")," ",""),",",REPT(" ",99)),298,99)))</f>
        <v/>
      </c>
      <c r="CK111" s="45" t="str">
        <f aca="false">IF(Tasks[[#This Row],[_Pred4Text]]="","",IFERROR(VALUE(LEFT(Tasks[[#This Row],[_Pred4Text]],MIN(FIND("F",Tasks[[#This Row],[_Pred4Text]]&amp;"F"),FIND("S",Tasks[[#This Row],[_Pred4Text]]&amp;"S"),FIND("+",Tasks[[#This Row],[_Pred4Text]]&amp;"+"),FIND("-",Tasks[[#This Row],[_Pred4Text]]&amp;"-"))-1)),""))</f>
        <v/>
      </c>
      <c r="CL11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1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11" s="45" t="str">
        <f aca="false">IF(OR(Tasks[[#This Row],[Task Name]]="",Tasks[[#This Row],[Resources]]=""),"",TRIM(MID(SUBSTITUTE(Tasks[[#This Row],[Resources]],",",REPT(" ",99)),1,99)))</f>
        <v/>
      </c>
      <c r="CO111" s="45" t="str">
        <f aca="false">IF(Tasks[[#This Row],[_Res1Text]]="","",TRIM(MID(SUBSTITUTE(Tasks[[#This Row],[Resources]],",",REPT(" ",99)),100,99)))</f>
        <v/>
      </c>
      <c r="CP111" s="45" t="str">
        <f aca="false">IF(Tasks[[#This Row],[_Res2Text]]="","",TRIM(MID(SUBSTITUTE(Tasks[[#This Row],[Resources]],",",REPT(" ",99)),199,99)))</f>
        <v/>
      </c>
      <c r="CQ111" s="45" t="str">
        <f aca="false">IF(Tasks[[#This Row],[_Res3Text]]="","",TRIM(MID(SUBSTITUTE(Tasks[[#This Row],[Resources]],",",REPT(" ",99)),298,99)))</f>
        <v/>
      </c>
      <c r="CR11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1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1" s="45" t="n">
        <f aca="false">IF(NOT(Tasks[[#This Row],[_IsLeaf]]=1),0,(Tasks[[#This Row],[_Resource1]]&lt;&gt;"")+(Tasks[[#This Row],[_Res2]]&lt;&gt;"")+(Tasks[[#This Row],[_Res3]]&lt;&gt;"")+(Tasks[[#This Row],[_Res4]]&lt;&gt;""))</f>
        <v>0</v>
      </c>
      <c r="CU11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1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1" s="45" t="n">
        <f aca="false">IF(OR(NOT(Tasks[[#This Row],[_IsLeaf]]=1),Tasks[[#This Row],[_Res2]]=""),0,IF(ISNA(MATCH(Tasks[[#This Row],[_Res2]],res_Name,0)),0,N(Tasks[[#This Row],[Duration]])*HoursPerDay*IF(Tasks[[#This Row],[_Res2Units]]="",DefaultUnits,Tasks[[#This Row],[_Res2Units]])))</f>
        <v>0</v>
      </c>
      <c r="CX111" s="45" t="n">
        <f aca="false">IF(Tasks[[#This Row],[_Res2Work]]=0,0,Tasks[[#This Row],[_Res2Work]]*IFERROR(INDEX(res_Rate,MATCH(Tasks[[#This Row],[_Res2]],res_Name,0)),0))</f>
        <v>0</v>
      </c>
      <c r="CY111" s="45" t="n">
        <f aca="false">IF(AND(AND(Tasks[[#This Row],[_IsLeaf]]=1,Tasks[[#This Row],[_LeafTotalWork]]&gt;0),Tasks[[#This Row],[_Res2Work]]&gt;0),Tasks[[#This Row],[_Res2Work]]/(Tasks[[#This Row],[_FinishWorkday]]-Tasks[[#This Row],[_StartWorkday]]+1),0)</f>
        <v>0</v>
      </c>
      <c r="CZ111" s="45" t="n">
        <f aca="false">Tasks[[#This Row],[_Res2WorkPerWD]]*MAX(0,Tasks[[#This Row],[_StartWorkday]]-1)</f>
        <v>0</v>
      </c>
      <c r="DA111" s="45" t="n">
        <f aca="false">Tasks[[#This Row],[_Res2Work]]*Tasks[[#This Row],[_LeafProgress]]</f>
        <v>0</v>
      </c>
      <c r="DB111" s="45" t="n">
        <f aca="false">IF(Tasks[[#This Row],[_LeafTotalCost]]=0,0,Tasks[[#This Row],[_LeafAC]]*Tasks[[#This Row],[_Res2Cost]]/Tasks[[#This Row],[_LeafTotalCost]])</f>
        <v>0</v>
      </c>
      <c r="DC11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1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11" s="45" t="n">
        <f aca="false">IF(OR(NOT(Tasks[[#This Row],[_IsLeaf]]=1),Tasks[[#This Row],[_Res3]]=""),0,IF(ISNA(MATCH(Tasks[[#This Row],[_Res3]],res_Name,0)),0,N(Tasks[[#This Row],[Duration]])*HoursPerDay*IF(Tasks[[#This Row],[_Res3Units]]="",DefaultUnits,Tasks[[#This Row],[_Res3Units]])))</f>
        <v>0</v>
      </c>
      <c r="DF111" s="45" t="n">
        <f aca="false">IF(Tasks[[#This Row],[_Res3Work]]=0,0,Tasks[[#This Row],[_Res3Work]]*IFERROR(INDEX(res_Rate,MATCH(Tasks[[#This Row],[_Res3]],res_Name,0)),0))</f>
        <v>0</v>
      </c>
      <c r="DG111" s="45" t="n">
        <f aca="false">IF(AND(AND(Tasks[[#This Row],[_IsLeaf]]=1,Tasks[[#This Row],[_LeafTotalWork]]&gt;0),Tasks[[#This Row],[_Res3Work]]&gt;0),Tasks[[#This Row],[_Res3Work]]/(Tasks[[#This Row],[_FinishWorkday]]-Tasks[[#This Row],[_StartWorkday]]+1),0)</f>
        <v>0</v>
      </c>
      <c r="DH111" s="45" t="n">
        <f aca="false">Tasks[[#This Row],[_Res3WorkPerWD]]*MAX(0,Tasks[[#This Row],[_StartWorkday]]-1)</f>
        <v>0</v>
      </c>
      <c r="DI111" s="45" t="n">
        <f aca="false">Tasks[[#This Row],[_Res3Work]]*Tasks[[#This Row],[_LeafProgress]]</f>
        <v>0</v>
      </c>
      <c r="DJ111" s="45" t="n">
        <f aca="false">IF(Tasks[[#This Row],[_LeafTotalCost]]=0,0,Tasks[[#This Row],[_LeafAC]]*Tasks[[#This Row],[_Res3Cost]]/Tasks[[#This Row],[_LeafTotalCost]])</f>
        <v>0</v>
      </c>
      <c r="DK11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1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11" s="45" t="n">
        <f aca="false">IF(OR(NOT(Tasks[[#This Row],[_IsLeaf]]=1),Tasks[[#This Row],[_Res4]]=""),0,IF(ISNA(MATCH(Tasks[[#This Row],[_Res4]],res_Name,0)),0,N(Tasks[[#This Row],[Duration]])*HoursPerDay*IF(Tasks[[#This Row],[_Res4Units]]="",DefaultUnits,Tasks[[#This Row],[_Res4Units]])))</f>
        <v>0</v>
      </c>
      <c r="DN111" s="45" t="n">
        <f aca="false">IF(Tasks[[#This Row],[_Res4Work]]=0,0,Tasks[[#This Row],[_Res4Work]]*IFERROR(INDEX(res_Rate,MATCH(Tasks[[#This Row],[_Res4]],res_Name,0)),0))</f>
        <v>0</v>
      </c>
      <c r="DO111" s="45" t="n">
        <f aca="false">IF(AND(AND(Tasks[[#This Row],[_IsLeaf]]=1,Tasks[[#This Row],[_LeafTotalWork]]&gt;0),Tasks[[#This Row],[_Res4Work]]&gt;0),Tasks[[#This Row],[_Res4Work]]/(Tasks[[#This Row],[_FinishWorkday]]-Tasks[[#This Row],[_StartWorkday]]+1),0)</f>
        <v>0</v>
      </c>
      <c r="DP111" s="45" t="n">
        <f aca="false">Tasks[[#This Row],[_Res4WorkPerWD]]*MAX(0,Tasks[[#This Row],[_StartWorkday]]-1)</f>
        <v>0</v>
      </c>
      <c r="DQ111" s="45" t="n">
        <f aca="false">Tasks[[#This Row],[_Res4Work]]*Tasks[[#This Row],[_LeafProgress]]</f>
        <v>0</v>
      </c>
      <c r="DR111" s="45" t="n">
        <f aca="false">IF(Tasks[[#This Row],[_LeafTotalCost]]=0,0,Tasks[[#This Row],[_LeafAC]]*Tasks[[#This Row],[_Res4Cost]]/Tasks[[#This Row],[_LeafTotalCost]])</f>
        <v>0</v>
      </c>
      <c r="DS111" s="45" t="n">
        <f aca="false">IF(ISNUMBER(Tasks[[#This Row],[% Complete]]),Tasks[[#This Row],[% Complete]],IF(Tasks[[#This Row],[Stage]]="",0,IFERROR(INDEX(stg_Pct,MATCH(Tasks[[#This Row],[Stage]],stg_Name,0)),0)))</f>
        <v>0</v>
      </c>
      <c r="DT111" s="45" t="n">
        <f aca="false">IF(NOT(Tasks[[#This Row],[_IsLeaf]]=1),0,IF(N(Tasks[[#This Row],[Actual Finish]])&gt;0,1,MIN(1,Tasks[[#This Row],[_Pct]])))</f>
        <v>0</v>
      </c>
      <c r="DU111" s="45" t="n">
        <f aca="false">IF(OR(NOT(Tasks[[#This Row],[_IsLeaf]]=1),Tasks[[#This Row],[_Resource1]]=""),0,IF(ISNA(MATCH(Tasks[[#This Row],[_Resource1]],res_Name,0)),0,N(Tasks[[#This Row],[Duration]])*HoursPerDay*IF(Tasks[[#This Row],[_Units1]]="",DefaultUnits,Tasks[[#This Row],[_Units1]])))</f>
        <v>0</v>
      </c>
      <c r="DV111" s="45" t="n">
        <f aca="false">IF(Tasks[[#This Row],[_LeafWork]]=0,0,Tasks[[#This Row],[_LeafWork]]*IFERROR(INDEX(res_Rate,MATCH(Tasks[[#This Row],[_Resource1]],res_Name,0)),0))</f>
        <v>0</v>
      </c>
      <c r="DW111" s="45" t="n">
        <f aca="false">Tasks[[#This Row],[_LeafWork]]+Tasks[[#This Row],[_Res2Work]]+Tasks[[#This Row],[_Res3Work]]+Tasks[[#This Row],[_Res4Work]]</f>
        <v>0</v>
      </c>
      <c r="DX111" s="45" t="n">
        <f aca="false">Tasks[[#This Row],[_LeafCost]]+Tasks[[#This Row],[_Res2Cost]]+Tasks[[#This Row],[_Res3Cost]]+Tasks[[#This Row],[_Res4Cost]]</f>
        <v>0</v>
      </c>
      <c r="DY111" s="45" t="n">
        <f aca="false">IF(Tasks[[#This Row],[_LeafTotalCost]]=0,Tasks[[#This Row],[_LeafAC]],Tasks[[#This Row],[_LeafAC]]*Tasks[[#This Row],[_LeafCost]]/Tasks[[#This Row],[_LeafTotalCost]])</f>
        <v>0</v>
      </c>
      <c r="DZ11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1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1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1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1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1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1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1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11" s="45" t="n">
        <f aca="false">IF(NOT(Tasks[[#This Row],[_IsLeaf]]=1),0,MAX(_xlfn.MAXIFS(Tasks[_Row],Tasks[_Pred1UID],Tasks[[#This Row],[UID]]),_xlfn.MAXIFS(Tasks[_Row],Tasks[_Pred2UID],Tasks[[#This Row],[UID]]),_xlfn.MAXIFS(Tasks[_Row],Tasks[_Pred3UID],Tasks[[#This Row],[UID]]),_xlfn.MAXIFS(Tasks[_Row],Tasks[_Pred4UID],Tasks[[#This Row],[UID]])))</f>
        <v>0</v>
      </c>
      <c r="EI11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1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11" s="74" t="str">
        <f aca="false">IF(NOT(Tasks[[#This Row],[_IsLeaf]]=1),"",IF(N(Tasks[[#This Row],[Duration]])&lt;=0,Tasks[[#This Row],[_LeafLateFinish]],WORKDAY.INTL(Tasks[[#This Row],[_LeafLateFinish]],-(Tasks[[#This Row],[Duration]]-1),WorkWeek,Holidays)))</f>
        <v/>
      </c>
      <c r="EL11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11" s="73" t="b">
        <f aca="false">AND(Tasks[[#This Row],[_IsLeaf]]=1,Tasks[[#This Row],[_LeafProgress]]&lt;1,N(Tasks[[#This Row],[_LeafTotalSlack]])&lt;=CriticalSlackDays)</f>
        <v>0</v>
      </c>
      <c r="EN111" s="45" t="n">
        <f aca="false">IF(AND(Tasks[[#This Row],[_IsLeaf]]=1,Tasks[[#This Row],[_ConstraintCode]]=1,Tasks[[#This Row],[Mode]]&lt;&gt;"Manual",N(Tasks[[#This Row],[Actual Start]])=0),MAX(0,N(Tasks[[#This Row],[Free Slack]])),0)</f>
        <v>0</v>
      </c>
      <c r="EO111" s="74" t="str">
        <f aca="false">IF(NOT(Tasks[[#This Row],[_IsLeaf]]=1),"",IF(Tasks[[#This Row],[_AlapShift]]=0,Tasks[[#This Row],[_LeafCalcStart]],WORKDAY.INTL(Tasks[[#This Row],[_LeafCalcStart]],Tasks[[#This Row],[_AlapShift]],WorkWeek,Holidays)))</f>
        <v/>
      </c>
      <c r="EP111" s="74" t="str">
        <f aca="false">IF(NOT(Tasks[[#This Row],[_IsLeaf]]=1),"",IF(Tasks[[#This Row],[_AlapShift]]=0,Tasks[[#This Row],[_LeafCalcFinish]],WORKDAY.INTL(Tasks[[#This Row],[_LeafCalcFinish]],Tasks[[#This Row],[_AlapShift]],WorkWeek,Holidays)))</f>
        <v/>
      </c>
      <c r="EQ111" s="74" t="str">
        <f aca="false">IF(NOT(Tasks[[#This Row],[_IsLeaf]]=1),"",IF(Tasks[[#This Row],[_AlapShift]]=0,Tasks[[#This Row],[_LeafFcstStart]],WORKDAY.INTL(Tasks[[#This Row],[_LeafFcstStart]],Tasks[[#This Row],[_AlapShift]],WorkWeek,Holidays)))</f>
        <v/>
      </c>
      <c r="ER111" s="74" t="str">
        <f aca="false">IF(NOT(Tasks[[#This Row],[_IsLeaf]]=1),"",IF(Tasks[[#This Row],[_AlapShift]]=0,Tasks[[#This Row],[_LeafFcstFinish]],WORKDAY.INTL(Tasks[[#This Row],[_LeafFcstFinish]],Tasks[[#This Row],[_AlapShift]],WorkWeek,Holidays)))</f>
        <v/>
      </c>
      <c r="ES111" s="74" t="str">
        <f aca="false">IF(Tasks[[#This Row],[Task Name]]="","",IF(Tasks[[#This Row],[_IsSummary]],MIN(INDEX(Tasks[_ShownCalcStart],Tasks[[#This Row],[_Row]]+1):INDEX(Tasks[_ShownCalcStart],Tasks[[#This Row],[_Row]]+Tasks[[#This Row],[_Descendants]])),Tasks[[#This Row],[_ShownCalcStart]]))</f>
        <v/>
      </c>
      <c r="ET111" s="74" t="str">
        <f aca="false">IF(Tasks[[#This Row],[Task Name]]="","",IF(Tasks[[#This Row],[_IsSummary]],MAX(INDEX(Tasks[_ShownCalcFinish],Tasks[[#This Row],[_Row]]+1):INDEX(Tasks[_ShownCalcFinish],Tasks[[#This Row],[_Row]]+Tasks[[#This Row],[_Descendants]])),Tasks[[#This Row],[_ShownCalcFinish]]))</f>
        <v/>
      </c>
      <c r="EU11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1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1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1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1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1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1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1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1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1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1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1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11" s="45" t="n">
        <f aca="false">IF(AND(Tasks[[#This Row],[_IsLeaf]]=1,Tasks[[#This Row],[_LeafTotalWork]]&gt;0),NETWORKDAYS.INTL(ProjectStart,Tasks[[#This Row],[_ShownFcstStart]],WorkWeek,Holidays),0)</f>
        <v>0</v>
      </c>
      <c r="FH111" s="45" t="n">
        <f aca="false">IF(AND(Tasks[[#This Row],[_IsLeaf]]=1,Tasks[[#This Row],[_LeafTotalWork]]&gt;0),MAX(Tasks[[#This Row],[_StartWorkday]],NETWORKDAYS.INTL(ProjectStart,Tasks[[#This Row],[_ShownFcstFinish]],WorkWeek,Holidays)),0)</f>
        <v>0</v>
      </c>
      <c r="FI111" s="45" t="n">
        <f aca="false">IF(AND(Tasks[[#This Row],[_IsLeaf]]=1,Tasks[[#This Row],[_LeafTotalWork]]&gt;0),Tasks[[#This Row],[_LeafWork]]/(Tasks[[#This Row],[_FinishWorkday]]-Tasks[[#This Row],[_StartWorkday]]+1),0)</f>
        <v>0</v>
      </c>
      <c r="FJ111" s="45" t="n">
        <f aca="false">Tasks[[#This Row],[_WorkPerWorkday]]*(Tasks[[#This Row],[_StartWorkday]]-1)</f>
        <v>-0</v>
      </c>
      <c r="FK111" s="45" t="n">
        <f aca="false">IF(Tasks[[#This Row],[_IsLeaf]]=1,MAX(N(Tasks[[#This Row],[Duration]]),0.1),0)</f>
        <v>0</v>
      </c>
      <c r="FL111" s="45" t="n">
        <f aca="false">Tasks[[#This Row],[_WeightDur]]*Tasks[[#This Row],[_LeafProgress]]</f>
        <v>0</v>
      </c>
      <c r="FM11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11" s="45" t="str">
        <f aca="false">IF(AND(Tasks[[#This Row],[_IsLeaf]]=1,N(Tasks[[#This Row],[Duration]])=0,Tasks[[#This Row],[_LeafProgress]]&lt;1),Tasks[[#This Row],[_ShownFcstFinish]]+Tasks[[#This Row],[_Row]]/100000,"")</f>
        <v/>
      </c>
      <c r="FO11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11" s="45" t="n">
        <f aca="false">IF(NOT(Tasks[[#This Row],[_IsLeaf]]=1),0,IF(Tasks[[#This Row],[Baseline Cost]]="",Tasks[[#This Row],[_LeafTotalCost]],N(Tasks[[#This Row],[Baseline Cost]])))</f>
        <v>0</v>
      </c>
      <c r="FQ111" s="45" t="n">
        <f aca="false">Tasks[[#This Row],[_LeafBudget]]*Tasks[[#This Row],[_PlannedPct]]</f>
        <v>0</v>
      </c>
      <c r="FR111" s="45" t="n">
        <f aca="false">Tasks[[#This Row],[_LeafBudget]]*Tasks[[#This Row],[_LeafProgress]]</f>
        <v>0</v>
      </c>
      <c r="FS111" s="45" t="n">
        <f aca="false">IF(NOT(Tasks[[#This Row],[_IsLeaf]]=1),0,IF(Tasks[[#This Row],[Actual Cost]]="",Tasks[[#This Row],[_LeafTotalCost]]*Tasks[[#This Row],[_LeafProgress]],N(Tasks[[#This Row],[Actual Cost]])))</f>
        <v>0</v>
      </c>
      <c r="FT111" s="45" t="str">
        <f aca="false">IF(Tasks[[#This Row],[Task Name]]="","",LEFT(Tasks[[#This Row],[WBS]],FIND(".",Tasks[[#This Row],[WBS]]&amp;".")-1))</f>
        <v/>
      </c>
      <c r="FU111" s="45" t="str">
        <f aca="false">IF(AND(Tasks[[#This Row],[Task Name]]&lt;&gt;"",Tasks[[#This Row],[_Level]]=1),Tasks[[#This Row],[_Row]],"")</f>
        <v/>
      </c>
      <c r="FV111" s="45" t="str">
        <f aca="false">IF(AND(Tasks[[#This Row],[_IsLeaf]]=1,N(Tasks[[#This Row],[Duration]])=0),Tasks[[#This Row],[Planned Finish]]+Tasks[[#This Row],[_Row]]/100000,"")</f>
        <v/>
      </c>
      <c r="FW111" s="45" t="str">
        <f aca="false">IF(AND(Tasks[[#This Row],[_IsLeaf]]=1,Tasks[[#This Row],[_LeafProgress]]&lt;1,OR(N(Tasks[[#This Row],[Finish Var]])&gt;0,Tasks[[#This Row],[Status]]="Late Start")),MAX(0,Tasks[[#This Row],[Finish Var]])+1-Tasks[[#This Row],[_Row]]/1000000,"")</f>
        <v/>
      </c>
      <c r="FX111" s="45" t="str">
        <f aca="false">IF(AND(Tasks[[#This Row],[_IsLeaf]]=1,N(Tasks[[#This Row],[Actual Start]])=0,Tasks[[#This Row],[_ShownFcstStart]]&gt;=StatusDate,Tasks[[#This Row],[_ShownFcstStart]]&lt;=LookaheadEnd),Tasks[[#This Row],[_ShownFcstStart]]+Tasks[[#This Row],[_Row]]/100000,"")</f>
        <v/>
      </c>
      <c r="FY111" s="45" t="str">
        <f aca="false">IF(AND(Tasks[[#This Row],[_IsLeaf]]=1,Tasks[[#This Row],[_LeafProgress]]&lt;1,Tasks[[#This Row],[_ShownFcstFinish]]&gt;=StatusDate,Tasks[[#This Row],[_ShownFcstFinish]]&lt;=LookaheadEnd),Tasks[[#This Row],[_ShownFcstFinish]]+Tasks[[#This Row],[_Row]]/100000,"")</f>
        <v/>
      </c>
      <c r="FZ111" s="45" t="str">
        <f aca="false">IF(Tasks[[#This Row],[_LeafCritical]],Tasks[[#This Row],[_ShownFcstStart]]+Tasks[[#This Row],[_Row]]/100000,"")</f>
        <v/>
      </c>
      <c r="GA111" s="45" t="n">
        <f aca="false">Tasks[[#This Row],[_LeafWork]]*Tasks[[#This Row],[_LeafProgress]]</f>
        <v>0</v>
      </c>
      <c r="GB111" s="74" t="str">
        <f aca="false">IF(AND(Tasks[[#This Row],[_IsLeaf]]=1,Tasks[[#This Row],[_LeafProgress]]&gt;=1),IF(N(Tasks[[#This Row],[Actual Finish]])&gt;0,Tasks[[#This Row],[Actual Finish]],Tasks[[#This Row],[_ShownFcstFinish]]),"")</f>
        <v/>
      </c>
    </row>
    <row r="112" customFormat="false" ht="15" hidden="false" customHeight="false" outlineLevel="0" collapsed="false">
      <c r="A112" s="67" t="str">
        <f aca="false">IF(Tasks[[#This Row],[Task Name]]="","",COUNTA(Tasks[[#Headers],[Task Name]]:Tasks[[#This Row],[Task Name]])-1)</f>
        <v/>
      </c>
      <c r="B112" s="21" t="n">
        <v>107</v>
      </c>
      <c r="C11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21"/>
      <c r="E112" s="22"/>
      <c r="F112" s="21"/>
      <c r="G112" s="22"/>
      <c r="H112" s="22"/>
      <c r="I112" s="22"/>
      <c r="J112" s="7"/>
      <c r="K112" s="7"/>
      <c r="L112" s="22"/>
      <c r="M112" s="58" t="str">
        <f aca="false">IF(Tasks[[#This Row],[Task Name]]="","",IF(Tasks[[#This Row],[_IsSummary]],MIN(INDEX(Tasks[_ShownFcstStart],Tasks[[#This Row],[_Row]]+1):INDEX(Tasks[_ShownFcstStart],Tasks[[#This Row],[_Row]]+Tasks[[#This Row],[_Descendants]])),Tasks[[#This Row],[_ShownFcstStart]]))</f>
        <v/>
      </c>
      <c r="N112" s="58" t="str">
        <f aca="false">IF(Tasks[[#This Row],[Task Name]]="","",IF(Tasks[[#This Row],[_IsSummary]],MAX(INDEX(Tasks[_ShownFcstFinish],Tasks[[#This Row],[_Row]]+1):INDEX(Tasks[_ShownFcstFinish],Tasks[[#This Row],[_Row]]+Tasks[[#This Row],[_Descendants]])),Tasks[[#This Row],[_ShownFcstFinish]]))</f>
        <v/>
      </c>
      <c r="O112" s="20" t="str">
        <f aca="false">IF(Tasks[[#This Row],[Task Name]]="","",IF(Tasks[[#This Row],[Progress]]&gt;=1,"Complete",IF(OR(N(Tasks[[#This Row],[Actual Start]])&gt;0,Tasks[[#This Row],[Progress]]&gt;0),IF(Tasks[[#This Row],[Finish Var]]&gt;0,"Behind","In Progress"),IF(Tasks[[#This Row],[Planned Start]]&lt;StatusDate,"Late Start","Not Started"))))</f>
        <v/>
      </c>
      <c r="P112" s="20" t="str">
        <f aca="false">IF(Tasks[[#This Row],[Task Name]]="","",IF(IF(Tasks[[#This Row],[_IsSummary]],COUNTIF(INDEX(Tasks[_LeafCritical],Tasks[[#This Row],[_Row]]+1):INDEX(Tasks[_LeafCritical],Tasks[[#This Row],[_Row]]+Tasks[[#This Row],[_Descendants]]),TRUE())&gt;0,Tasks[[#This Row],[_LeafCritical]]),"Yes",""))</f>
        <v/>
      </c>
      <c r="Q11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12" s="67" t="str">
        <f aca="false">IF(Tasks[[#This Row],[Task Name]]="","",IF(Tasks[[#This Row],[_Level]]&lt;=OutlineShowLevel,"Yes","No"))</f>
        <v/>
      </c>
      <c r="S112" s="7"/>
      <c r="T112" s="21"/>
      <c r="U112" s="22"/>
      <c r="V112" s="7"/>
      <c r="W112" s="67" t="str">
        <f aca="false">IF(Tasks[[#This Row],[Task Name]]="","",IF(Tasks[[#This Row],[Finish]]&gt;=Tasks[[#This Row],[Planned Finish]],NETWORKDAYS.INTL(Tasks[[#This Row],[Planned Finish]],Tasks[[#This Row],[Finish]],WorkWeek,Holidays)-1,1-NETWORKDAYS.INTL(Tasks[[#This Row],[Finish]],Tasks[[#This Row],[Planned Finish]],WorkWeek,Holidays)))</f>
        <v/>
      </c>
      <c r="X112" s="58" t="str">
        <f aca="false">IF(Tasks[[#This Row],[Task Name]]="","",IF(N(Tasks[[#This Row],[Baseline Start]])&gt;0,Tasks[[#This Row],[Baseline Start]],Tasks[[#This Row],[_CalcStart]]))</f>
        <v/>
      </c>
      <c r="Y112" s="58" t="str">
        <f aca="false">IF(Tasks[[#This Row],[Task Name]]="","",IF(N(Tasks[[#This Row],[Baseline Finish]])&gt;0,Tasks[[#This Row],[Baseline Finish]],Tasks[[#This Row],[_CalcFinish]]))</f>
        <v/>
      </c>
      <c r="Z112" s="67" t="str">
        <f aca="false">IF(Tasks[[#This Row],[Task Name]]="","",IF(Tasks[[#This Row],[Start]]&gt;=Tasks[[#This Row],[Planned Start]],NETWORKDAYS.INTL(Tasks[[#This Row],[Planned Start]],Tasks[[#This Row],[Start]],WorkWeek,Holidays)-1,1-NETWORKDAYS.INTL(Tasks[[#This Row],[Start]],Tasks[[#This Row],[Planned Start]],WorkWeek,Holidays)))</f>
        <v/>
      </c>
      <c r="AA112" s="58" t="str">
        <f aca="false">IF(Tasks[[#This Row],[Task Name]]="","",IF(Tasks[[#This Row],[_IsSummary]],MIN(INDEX(Tasks[_LeafLateStart],Tasks[[#This Row],[_Row]]+1):INDEX(Tasks[_LeafLateStart],Tasks[[#This Row],[_Row]]+Tasks[[#This Row],[_Descendants]])),Tasks[[#This Row],[_LeafLateStart]]))</f>
        <v/>
      </c>
      <c r="AB112" s="58" t="str">
        <f aca="false">IF(Tasks[[#This Row],[Task Name]]="","",IF(Tasks[[#This Row],[_IsSummary]],MAX(INDEX(Tasks[_LeafLateFinish],Tasks[[#This Row],[_Row]]+1):INDEX(Tasks[_LeafLateFinish],Tasks[[#This Row],[_Row]]+Tasks[[#This Row],[_Descendants]])),Tasks[[#This Row],[_LeafLateFinish]]))</f>
        <v/>
      </c>
      <c r="AC112" s="67" t="str">
        <f aca="false">IF(Tasks[[#This Row],[Task Name]]="","",IF(Tasks[[#This Row],[_IsSummary]],MIN(INDEX(Tasks[_LeafTotalSlack],Tasks[[#This Row],[_Row]]+1):INDEX(Tasks[_LeafTotalSlack],Tasks[[#This Row],[_Row]]+Tasks[[#This Row],[_Descendants]])),Tasks[[#This Row],[_LeafTotalSlack]]))</f>
        <v/>
      </c>
      <c r="AD11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1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1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12" s="60"/>
      <c r="AH11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1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12" s="69" t="str">
        <f aca="false">IF(Tasks[[#This Row],[Task Name]]="","",IF(Tasks[[#This Row],[_IsSummary]],SUM(INDEX(Tasks[_LeafTotalWork],Tasks[[#This Row],[_Row]]+1):INDEX(Tasks[_LeafTotalWork],Tasks[[#This Row],[_Row]]+Tasks[[#This Row],[_Descendants]])),Tasks[[#This Row],[_LeafTotalWork]]))</f>
        <v/>
      </c>
      <c r="AK11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12" s="70" t="str">
        <f aca="false">IF(Tasks[[#This Row],[Task Name]]="","",IF(Tasks[[#This Row],[_IsSummary]],SUM(INDEX(Tasks[_LeafTotalCost],Tasks[[#This Row],[_Row]]+1):INDEX(Tasks[_LeafTotalCost],Tasks[[#This Row],[_Row]]+Tasks[[#This Row],[_Descendants]])),Tasks[[#This Row],[_LeafTotalCost]]))</f>
        <v/>
      </c>
      <c r="AM112" s="71"/>
      <c r="AN112" s="20" t="str">
        <f aca="false">IF(OR(Tasks[[#This Row],[Task Name]]="",Tasks[[#This Row],[Baseline Duration]]=""),"",Tasks[[#This Row],[BL Source Duration]]-N(Tasks[[#This Row],[Baseline Duration]]))</f>
        <v/>
      </c>
      <c r="AO112" s="69" t="str">
        <f aca="false">IF(OR(Tasks[[#This Row],[Task Name]]="",Tasks[[#This Row],[Baseline Work]]=""),"",Tasks[[#This Row],[Work]]-N(Tasks[[#This Row],[Baseline Work]]))</f>
        <v/>
      </c>
      <c r="AP112" s="70" t="str">
        <f aca="false">IF(OR(Tasks[[#This Row],[Task Name]]="",Tasks[[#This Row],[Baseline Cost]]=""),"",Tasks[[#This Row],[Cost]]-N(Tasks[[#This Row],[Baseline Cost]]))</f>
        <v/>
      </c>
      <c r="AQ112" s="58" t="str">
        <f aca="false">IF(Tasks[[#This Row],[Task Name]]="","",Tasks[[#This Row],[Start]])</f>
        <v/>
      </c>
      <c r="AR112" s="58" t="str">
        <f aca="false">IF(Tasks[[#This Row],[Task Name]]="","",Tasks[[#This Row],[Finish]])</f>
        <v/>
      </c>
      <c r="AS112" s="67" t="str">
        <f aca="false">IF(Tasks[[#This Row],[Task Name]]="","",IF(Tasks[[#This Row],[_IsSummary]],NETWORKDAYS.INTL(Tasks[[#This Row],[Start]],Tasks[[#This Row],[Finish]],WorkWeek,Holidays),N(Tasks[[#This Row],[Duration]])))</f>
        <v/>
      </c>
      <c r="AT112" s="69" t="str">
        <f aca="false">IF(Tasks[[#This Row],[Task Name]]="","",Tasks[[#This Row],[Work]])</f>
        <v/>
      </c>
      <c r="AU112" s="70" t="str">
        <f aca="false">IF(Tasks[[#This Row],[Task Name]]="","",Tasks[[#This Row],[Cost]])</f>
        <v/>
      </c>
      <c r="AV112" s="7"/>
      <c r="AW112" s="7"/>
      <c r="AX112" s="21"/>
      <c r="AY112" s="72"/>
      <c r="AZ112" s="71"/>
      <c r="BA112" s="70" t="str">
        <f aca="false">IF(Tasks[[#This Row],[Task Name]]="","",IF(Tasks[[#This Row],[_IsSummary]],SUM(INDEX(Tasks[_LeafEV],Tasks[[#This Row],[_Row]]+1):INDEX(Tasks[_LeafEV],Tasks[[#This Row],[_Row]]+Tasks[[#This Row],[_Descendants]])),Tasks[[#This Row],[_LeafEV]]))</f>
        <v/>
      </c>
      <c r="BB112" s="70" t="str">
        <f aca="false">IF(Tasks[[#This Row],[Task Name]]="","",IF(Tasks[[#This Row],[_IsSummary]],SUM(INDEX(Tasks[_LeafBudget],Tasks[[#This Row],[_Row]]+1):INDEX(Tasks[_LeafBudget],Tasks[[#This Row],[_Row]]+Tasks[[#This Row],[_Descendants]])),Tasks[[#This Row],[_LeafBudget]]))</f>
        <v/>
      </c>
      <c r="BC112" s="70" t="str">
        <f aca="false">IF(Tasks[[#This Row],[Task Name]]="","",IF(Tasks[[#This Row],[_IsSummary]],SUM(INDEX(Tasks[_LeafPV],Tasks[[#This Row],[_Row]]+1):INDEX(Tasks[_LeafPV],Tasks[[#This Row],[_Row]]+Tasks[[#This Row],[_Descendants]])),Tasks[[#This Row],[_LeafPV]]))</f>
        <v/>
      </c>
      <c r="BD112" s="70" t="str">
        <f aca="false">IF(Tasks[[#This Row],[Task Name]]="","",IF(Tasks[[#This Row],[_IsSummary]],SUM(INDEX(Tasks[_LeafAC],Tasks[[#This Row],[_Row]]+1):INDEX(Tasks[_LeafAC],Tasks[[#This Row],[_Row]]+Tasks[[#This Row],[_Descendants]])),Tasks[[#This Row],[_LeafAC]]))</f>
        <v/>
      </c>
      <c r="BE112" s="45" t="str">
        <f aca="false">IF(Tasks[[#This Row],[Task Name]]="","",MAX(1,N(Tasks[[#This Row],[Level]])))</f>
        <v/>
      </c>
      <c r="BF112" s="45" t="n">
        <f aca="false">ROW()-ROW(Tasks[[#Headers],[ID]])</f>
        <v>107</v>
      </c>
      <c r="BG112" s="45" t="n">
        <f aca="false">IF(OR(Tasks[[#This Row],[Task Name]]="",Tasks[[#This Row],[_Level]]&lt;=1),0,IFERROR(LOOKUP(2,1/(Tasks[[#Headers],[_Level]]:Tasks[[#This Row],[_Level]]=Tasks[[#This Row],[_Level]]-1),ROW(Tasks[[#Headers],[_Level]]:Tasks[[#This Row],[_Level]])),0))</f>
        <v>0</v>
      </c>
      <c r="BH112" s="45" t="n">
        <f aca="false">IFERROR(N(INDEX(Tasks[_Level],Tasks[[#This Row],[_Row]]+1)),0)</f>
        <v>0</v>
      </c>
      <c r="BI112" s="73" t="b">
        <f aca="false">AND(Tasks[[#This Row],[Task Name]]&lt;&gt;"",Tasks[[#This Row],[_NextLevel]]&gt;Tasks[[#This Row],[_Level]])</f>
        <v>0</v>
      </c>
      <c r="BJ112" s="45" t="n">
        <f aca="false">IF(Tasks[[#This Row],[_IsSummary]],COUNTIF(Tasks[WBS],Tasks[[#This Row],[WBS]]&amp;".*"),0)</f>
        <v>0</v>
      </c>
      <c r="BK112" s="45" t="n">
        <f aca="false">IF(AND(Tasks[[#This Row],[Task Name]]&lt;&gt;"",NOT(Tasks[[#This Row],[_IsSummary]])),1,0)</f>
        <v>0</v>
      </c>
      <c r="BL112" s="45" t="n">
        <f aca="false">IF(N(Tasks[[#This Row],[_Pred1UID]])=0,0,IFERROR(MATCH(Tasks[[#This Row],[_Pred1UID]],Tasks[UID],0),-1))</f>
        <v>0</v>
      </c>
      <c r="BM112" s="45" t="n">
        <f aca="false">IF(N(Tasks[[#This Row],[_Pred2UID]])=0,0,IFERROR(MATCH(Tasks[[#This Row],[_Pred2UID]],Tasks[UID],0),-1))</f>
        <v>0</v>
      </c>
      <c r="BN112" s="45" t="n">
        <f aca="false">IF(N(Tasks[[#This Row],[_Pred3UID]])=0,0,IFERROR(MATCH(Tasks[[#This Row],[_Pred3UID]],Tasks[UID],0),-1))</f>
        <v>0</v>
      </c>
      <c r="BO112" s="45" t="n">
        <f aca="false">IF(N(Tasks[[#This Row],[_Pred4UID]])=0,0,IFERROR(MATCH(Tasks[[#This Row],[_Pred4UID]],Tasks[UID],0),-1))</f>
        <v>0</v>
      </c>
      <c r="BP11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1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12" s="74" t="n">
        <f aca="false">IF(OR(Tasks[[#This Row],[_ConstraintCode]]=2,Tasks[[#This Row],[_ConstraintCode]]=3,Tasks[[#This Row],[_ConstraintCode]]=4,Tasks[[#This Row],[_ConstraintCode]]=6),Tasks[[#This Row],[_ConstraintStart]],0)</f>
        <v>0</v>
      </c>
      <c r="BS112" s="74" t="n">
        <f aca="false">IF(OR(Tasks[[#This Row],[_ConstraintCode]]=2,Tasks[[#This Row],[_ConstraintCode]]=3,Tasks[[#This Row],[_ConstraintCode]]=5,Tasks[[#This Row],[_ConstraintCode]]=7),Tasks[[#This Row],[_ConstraintStart]],2958465)</f>
        <v>2958465</v>
      </c>
      <c r="BT11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12" s="74" t="str">
        <f aca="false">IF(NOT(Tasks[[#This Row],[_IsLeaf]]=1),"",IF(N(Tasks[[#This Row],[Duration]])&lt;=0,Tasks[[#This Row],[_LeafCalcStart]],WORKDAY.INTL(Tasks[[#This Row],[_LeafCalcStart]],Tasks[[#This Row],[Duration]]-1,WorkWeek,Holidays)))</f>
        <v/>
      </c>
      <c r="BV11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1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12" s="45" t="str">
        <f aca="false">IF(Tasks[[#This Row],[Predecessors]]="","",TRIM(MID(SUBSTITUTE(SUBSTITUTE(SUBSTITUTE(UPPER(Tasks[[#This Row],[Predecessors]]),";",",")," ",""),",",REPT(" ",99)),1,99)))</f>
        <v/>
      </c>
      <c r="BY112" s="45" t="str">
        <f aca="false">IF(Tasks[[#This Row],[_Pred1Text]]="","",IFERROR(VALUE(LEFT(Tasks[[#This Row],[_Pred1Text]],MIN(FIND("F",Tasks[[#This Row],[_Pred1Text]]&amp;"F"),FIND("S",Tasks[[#This Row],[_Pred1Text]]&amp;"S"),FIND("+",Tasks[[#This Row],[_Pred1Text]]&amp;"+"),FIND("-",Tasks[[#This Row],[_Pred1Text]]&amp;"-"))-1)),""))</f>
        <v/>
      </c>
      <c r="BZ11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1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12" s="45" t="str">
        <f aca="false">IF(Tasks[[#This Row],[_Pred1Text]]="","",TRIM(MID(SUBSTITUTE(SUBSTITUTE(SUBSTITUTE(UPPER(Tasks[[#This Row],[Predecessors]]),";",",")," ",""),",",REPT(" ",99)),100,99)))</f>
        <v/>
      </c>
      <c r="CC112" s="45" t="str">
        <f aca="false">IF(Tasks[[#This Row],[_Pred2Text]]="","",IFERROR(VALUE(LEFT(Tasks[[#This Row],[_Pred2Text]],MIN(FIND("F",Tasks[[#This Row],[_Pred2Text]]&amp;"F"),FIND("S",Tasks[[#This Row],[_Pred2Text]]&amp;"S"),FIND("+",Tasks[[#This Row],[_Pred2Text]]&amp;"+"),FIND("-",Tasks[[#This Row],[_Pred2Text]]&amp;"-"))-1)),""))</f>
        <v/>
      </c>
      <c r="CD11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1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12" s="45" t="str">
        <f aca="false">IF(Tasks[[#This Row],[_Pred2Text]]="","",TRIM(MID(SUBSTITUTE(SUBSTITUTE(SUBSTITUTE(UPPER(Tasks[[#This Row],[Predecessors]]),";",",")," ",""),",",REPT(" ",99)),199,99)))</f>
        <v/>
      </c>
      <c r="CG112" s="45" t="str">
        <f aca="false">IF(Tasks[[#This Row],[_Pred3Text]]="","",IFERROR(VALUE(LEFT(Tasks[[#This Row],[_Pred3Text]],MIN(FIND("F",Tasks[[#This Row],[_Pred3Text]]&amp;"F"),FIND("S",Tasks[[#This Row],[_Pred3Text]]&amp;"S"),FIND("+",Tasks[[#This Row],[_Pred3Text]]&amp;"+"),FIND("-",Tasks[[#This Row],[_Pred3Text]]&amp;"-"))-1)),""))</f>
        <v/>
      </c>
      <c r="CH11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1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12" s="45" t="str">
        <f aca="false">IF(Tasks[[#This Row],[_Pred3Text]]="","",TRIM(MID(SUBSTITUTE(SUBSTITUTE(SUBSTITUTE(UPPER(Tasks[[#This Row],[Predecessors]]),";",",")," ",""),",",REPT(" ",99)),298,99)))</f>
        <v/>
      </c>
      <c r="CK112" s="45" t="str">
        <f aca="false">IF(Tasks[[#This Row],[_Pred4Text]]="","",IFERROR(VALUE(LEFT(Tasks[[#This Row],[_Pred4Text]],MIN(FIND("F",Tasks[[#This Row],[_Pred4Text]]&amp;"F"),FIND("S",Tasks[[#This Row],[_Pred4Text]]&amp;"S"),FIND("+",Tasks[[#This Row],[_Pred4Text]]&amp;"+"),FIND("-",Tasks[[#This Row],[_Pred4Text]]&amp;"-"))-1)),""))</f>
        <v/>
      </c>
      <c r="CL11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1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12" s="45" t="str">
        <f aca="false">IF(OR(Tasks[[#This Row],[Task Name]]="",Tasks[[#This Row],[Resources]]=""),"",TRIM(MID(SUBSTITUTE(Tasks[[#This Row],[Resources]],",",REPT(" ",99)),1,99)))</f>
        <v/>
      </c>
      <c r="CO112" s="45" t="str">
        <f aca="false">IF(Tasks[[#This Row],[_Res1Text]]="","",TRIM(MID(SUBSTITUTE(Tasks[[#This Row],[Resources]],",",REPT(" ",99)),100,99)))</f>
        <v/>
      </c>
      <c r="CP112" s="45" t="str">
        <f aca="false">IF(Tasks[[#This Row],[_Res2Text]]="","",TRIM(MID(SUBSTITUTE(Tasks[[#This Row],[Resources]],",",REPT(" ",99)),199,99)))</f>
        <v/>
      </c>
      <c r="CQ112" s="45" t="str">
        <f aca="false">IF(Tasks[[#This Row],[_Res3Text]]="","",TRIM(MID(SUBSTITUTE(Tasks[[#This Row],[Resources]],",",REPT(" ",99)),298,99)))</f>
        <v/>
      </c>
      <c r="CR11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1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2" s="45" t="n">
        <f aca="false">IF(NOT(Tasks[[#This Row],[_IsLeaf]]=1),0,(Tasks[[#This Row],[_Resource1]]&lt;&gt;"")+(Tasks[[#This Row],[_Res2]]&lt;&gt;"")+(Tasks[[#This Row],[_Res3]]&lt;&gt;"")+(Tasks[[#This Row],[_Res4]]&lt;&gt;""))</f>
        <v>0</v>
      </c>
      <c r="CU11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1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2" s="45" t="n">
        <f aca="false">IF(OR(NOT(Tasks[[#This Row],[_IsLeaf]]=1),Tasks[[#This Row],[_Res2]]=""),0,IF(ISNA(MATCH(Tasks[[#This Row],[_Res2]],res_Name,0)),0,N(Tasks[[#This Row],[Duration]])*HoursPerDay*IF(Tasks[[#This Row],[_Res2Units]]="",DefaultUnits,Tasks[[#This Row],[_Res2Units]])))</f>
        <v>0</v>
      </c>
      <c r="CX112" s="45" t="n">
        <f aca="false">IF(Tasks[[#This Row],[_Res2Work]]=0,0,Tasks[[#This Row],[_Res2Work]]*IFERROR(INDEX(res_Rate,MATCH(Tasks[[#This Row],[_Res2]],res_Name,0)),0))</f>
        <v>0</v>
      </c>
      <c r="CY112" s="45" t="n">
        <f aca="false">IF(AND(AND(Tasks[[#This Row],[_IsLeaf]]=1,Tasks[[#This Row],[_LeafTotalWork]]&gt;0),Tasks[[#This Row],[_Res2Work]]&gt;0),Tasks[[#This Row],[_Res2Work]]/(Tasks[[#This Row],[_FinishWorkday]]-Tasks[[#This Row],[_StartWorkday]]+1),0)</f>
        <v>0</v>
      </c>
      <c r="CZ112" s="45" t="n">
        <f aca="false">Tasks[[#This Row],[_Res2WorkPerWD]]*MAX(0,Tasks[[#This Row],[_StartWorkday]]-1)</f>
        <v>0</v>
      </c>
      <c r="DA112" s="45" t="n">
        <f aca="false">Tasks[[#This Row],[_Res2Work]]*Tasks[[#This Row],[_LeafProgress]]</f>
        <v>0</v>
      </c>
      <c r="DB112" s="45" t="n">
        <f aca="false">IF(Tasks[[#This Row],[_LeafTotalCost]]=0,0,Tasks[[#This Row],[_LeafAC]]*Tasks[[#This Row],[_Res2Cost]]/Tasks[[#This Row],[_LeafTotalCost]])</f>
        <v>0</v>
      </c>
      <c r="DC11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1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12" s="45" t="n">
        <f aca="false">IF(OR(NOT(Tasks[[#This Row],[_IsLeaf]]=1),Tasks[[#This Row],[_Res3]]=""),0,IF(ISNA(MATCH(Tasks[[#This Row],[_Res3]],res_Name,0)),0,N(Tasks[[#This Row],[Duration]])*HoursPerDay*IF(Tasks[[#This Row],[_Res3Units]]="",DefaultUnits,Tasks[[#This Row],[_Res3Units]])))</f>
        <v>0</v>
      </c>
      <c r="DF112" s="45" t="n">
        <f aca="false">IF(Tasks[[#This Row],[_Res3Work]]=0,0,Tasks[[#This Row],[_Res3Work]]*IFERROR(INDEX(res_Rate,MATCH(Tasks[[#This Row],[_Res3]],res_Name,0)),0))</f>
        <v>0</v>
      </c>
      <c r="DG112" s="45" t="n">
        <f aca="false">IF(AND(AND(Tasks[[#This Row],[_IsLeaf]]=1,Tasks[[#This Row],[_LeafTotalWork]]&gt;0),Tasks[[#This Row],[_Res3Work]]&gt;0),Tasks[[#This Row],[_Res3Work]]/(Tasks[[#This Row],[_FinishWorkday]]-Tasks[[#This Row],[_StartWorkday]]+1),0)</f>
        <v>0</v>
      </c>
      <c r="DH112" s="45" t="n">
        <f aca="false">Tasks[[#This Row],[_Res3WorkPerWD]]*MAX(0,Tasks[[#This Row],[_StartWorkday]]-1)</f>
        <v>0</v>
      </c>
      <c r="DI112" s="45" t="n">
        <f aca="false">Tasks[[#This Row],[_Res3Work]]*Tasks[[#This Row],[_LeafProgress]]</f>
        <v>0</v>
      </c>
      <c r="DJ112" s="45" t="n">
        <f aca="false">IF(Tasks[[#This Row],[_LeafTotalCost]]=0,0,Tasks[[#This Row],[_LeafAC]]*Tasks[[#This Row],[_Res3Cost]]/Tasks[[#This Row],[_LeafTotalCost]])</f>
        <v>0</v>
      </c>
      <c r="DK11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1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12" s="45" t="n">
        <f aca="false">IF(OR(NOT(Tasks[[#This Row],[_IsLeaf]]=1),Tasks[[#This Row],[_Res4]]=""),0,IF(ISNA(MATCH(Tasks[[#This Row],[_Res4]],res_Name,0)),0,N(Tasks[[#This Row],[Duration]])*HoursPerDay*IF(Tasks[[#This Row],[_Res4Units]]="",DefaultUnits,Tasks[[#This Row],[_Res4Units]])))</f>
        <v>0</v>
      </c>
      <c r="DN112" s="45" t="n">
        <f aca="false">IF(Tasks[[#This Row],[_Res4Work]]=0,0,Tasks[[#This Row],[_Res4Work]]*IFERROR(INDEX(res_Rate,MATCH(Tasks[[#This Row],[_Res4]],res_Name,0)),0))</f>
        <v>0</v>
      </c>
      <c r="DO112" s="45" t="n">
        <f aca="false">IF(AND(AND(Tasks[[#This Row],[_IsLeaf]]=1,Tasks[[#This Row],[_LeafTotalWork]]&gt;0),Tasks[[#This Row],[_Res4Work]]&gt;0),Tasks[[#This Row],[_Res4Work]]/(Tasks[[#This Row],[_FinishWorkday]]-Tasks[[#This Row],[_StartWorkday]]+1),0)</f>
        <v>0</v>
      </c>
      <c r="DP112" s="45" t="n">
        <f aca="false">Tasks[[#This Row],[_Res4WorkPerWD]]*MAX(0,Tasks[[#This Row],[_StartWorkday]]-1)</f>
        <v>0</v>
      </c>
      <c r="DQ112" s="45" t="n">
        <f aca="false">Tasks[[#This Row],[_Res4Work]]*Tasks[[#This Row],[_LeafProgress]]</f>
        <v>0</v>
      </c>
      <c r="DR112" s="45" t="n">
        <f aca="false">IF(Tasks[[#This Row],[_LeafTotalCost]]=0,0,Tasks[[#This Row],[_LeafAC]]*Tasks[[#This Row],[_Res4Cost]]/Tasks[[#This Row],[_LeafTotalCost]])</f>
        <v>0</v>
      </c>
      <c r="DS112" s="45" t="n">
        <f aca="false">IF(ISNUMBER(Tasks[[#This Row],[% Complete]]),Tasks[[#This Row],[% Complete]],IF(Tasks[[#This Row],[Stage]]="",0,IFERROR(INDEX(stg_Pct,MATCH(Tasks[[#This Row],[Stage]],stg_Name,0)),0)))</f>
        <v>0</v>
      </c>
      <c r="DT112" s="45" t="n">
        <f aca="false">IF(NOT(Tasks[[#This Row],[_IsLeaf]]=1),0,IF(N(Tasks[[#This Row],[Actual Finish]])&gt;0,1,MIN(1,Tasks[[#This Row],[_Pct]])))</f>
        <v>0</v>
      </c>
      <c r="DU112" s="45" t="n">
        <f aca="false">IF(OR(NOT(Tasks[[#This Row],[_IsLeaf]]=1),Tasks[[#This Row],[_Resource1]]=""),0,IF(ISNA(MATCH(Tasks[[#This Row],[_Resource1]],res_Name,0)),0,N(Tasks[[#This Row],[Duration]])*HoursPerDay*IF(Tasks[[#This Row],[_Units1]]="",DefaultUnits,Tasks[[#This Row],[_Units1]])))</f>
        <v>0</v>
      </c>
      <c r="DV112" s="45" t="n">
        <f aca="false">IF(Tasks[[#This Row],[_LeafWork]]=0,0,Tasks[[#This Row],[_LeafWork]]*IFERROR(INDEX(res_Rate,MATCH(Tasks[[#This Row],[_Resource1]],res_Name,0)),0))</f>
        <v>0</v>
      </c>
      <c r="DW112" s="45" t="n">
        <f aca="false">Tasks[[#This Row],[_LeafWork]]+Tasks[[#This Row],[_Res2Work]]+Tasks[[#This Row],[_Res3Work]]+Tasks[[#This Row],[_Res4Work]]</f>
        <v>0</v>
      </c>
      <c r="DX112" s="45" t="n">
        <f aca="false">Tasks[[#This Row],[_LeafCost]]+Tasks[[#This Row],[_Res2Cost]]+Tasks[[#This Row],[_Res3Cost]]+Tasks[[#This Row],[_Res4Cost]]</f>
        <v>0</v>
      </c>
      <c r="DY112" s="45" t="n">
        <f aca="false">IF(Tasks[[#This Row],[_LeafTotalCost]]=0,Tasks[[#This Row],[_LeafAC]],Tasks[[#This Row],[_LeafAC]]*Tasks[[#This Row],[_LeafCost]]/Tasks[[#This Row],[_LeafTotalCost]])</f>
        <v>0</v>
      </c>
      <c r="DZ11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1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1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1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1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1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1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1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12" s="45" t="n">
        <f aca="false">IF(NOT(Tasks[[#This Row],[_IsLeaf]]=1),0,MAX(_xlfn.MAXIFS(Tasks[_Row],Tasks[_Pred1UID],Tasks[[#This Row],[UID]]),_xlfn.MAXIFS(Tasks[_Row],Tasks[_Pred2UID],Tasks[[#This Row],[UID]]),_xlfn.MAXIFS(Tasks[_Row],Tasks[_Pred3UID],Tasks[[#This Row],[UID]]),_xlfn.MAXIFS(Tasks[_Row],Tasks[_Pred4UID],Tasks[[#This Row],[UID]])))</f>
        <v>0</v>
      </c>
      <c r="EI11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1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12" s="74" t="str">
        <f aca="false">IF(NOT(Tasks[[#This Row],[_IsLeaf]]=1),"",IF(N(Tasks[[#This Row],[Duration]])&lt;=0,Tasks[[#This Row],[_LeafLateFinish]],WORKDAY.INTL(Tasks[[#This Row],[_LeafLateFinish]],-(Tasks[[#This Row],[Duration]]-1),WorkWeek,Holidays)))</f>
        <v/>
      </c>
      <c r="EL11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12" s="73" t="b">
        <f aca="false">AND(Tasks[[#This Row],[_IsLeaf]]=1,Tasks[[#This Row],[_LeafProgress]]&lt;1,N(Tasks[[#This Row],[_LeafTotalSlack]])&lt;=CriticalSlackDays)</f>
        <v>0</v>
      </c>
      <c r="EN112" s="45" t="n">
        <f aca="false">IF(AND(Tasks[[#This Row],[_IsLeaf]]=1,Tasks[[#This Row],[_ConstraintCode]]=1,Tasks[[#This Row],[Mode]]&lt;&gt;"Manual",N(Tasks[[#This Row],[Actual Start]])=0),MAX(0,N(Tasks[[#This Row],[Free Slack]])),0)</f>
        <v>0</v>
      </c>
      <c r="EO112" s="74" t="str">
        <f aca="false">IF(NOT(Tasks[[#This Row],[_IsLeaf]]=1),"",IF(Tasks[[#This Row],[_AlapShift]]=0,Tasks[[#This Row],[_LeafCalcStart]],WORKDAY.INTL(Tasks[[#This Row],[_LeafCalcStart]],Tasks[[#This Row],[_AlapShift]],WorkWeek,Holidays)))</f>
        <v/>
      </c>
      <c r="EP112" s="74" t="str">
        <f aca="false">IF(NOT(Tasks[[#This Row],[_IsLeaf]]=1),"",IF(Tasks[[#This Row],[_AlapShift]]=0,Tasks[[#This Row],[_LeafCalcFinish]],WORKDAY.INTL(Tasks[[#This Row],[_LeafCalcFinish]],Tasks[[#This Row],[_AlapShift]],WorkWeek,Holidays)))</f>
        <v/>
      </c>
      <c r="EQ112" s="74" t="str">
        <f aca="false">IF(NOT(Tasks[[#This Row],[_IsLeaf]]=1),"",IF(Tasks[[#This Row],[_AlapShift]]=0,Tasks[[#This Row],[_LeafFcstStart]],WORKDAY.INTL(Tasks[[#This Row],[_LeafFcstStart]],Tasks[[#This Row],[_AlapShift]],WorkWeek,Holidays)))</f>
        <v/>
      </c>
      <c r="ER112" s="74" t="str">
        <f aca="false">IF(NOT(Tasks[[#This Row],[_IsLeaf]]=1),"",IF(Tasks[[#This Row],[_AlapShift]]=0,Tasks[[#This Row],[_LeafFcstFinish]],WORKDAY.INTL(Tasks[[#This Row],[_LeafFcstFinish]],Tasks[[#This Row],[_AlapShift]],WorkWeek,Holidays)))</f>
        <v/>
      </c>
      <c r="ES112" s="74" t="str">
        <f aca="false">IF(Tasks[[#This Row],[Task Name]]="","",IF(Tasks[[#This Row],[_IsSummary]],MIN(INDEX(Tasks[_ShownCalcStart],Tasks[[#This Row],[_Row]]+1):INDEX(Tasks[_ShownCalcStart],Tasks[[#This Row],[_Row]]+Tasks[[#This Row],[_Descendants]])),Tasks[[#This Row],[_ShownCalcStart]]))</f>
        <v/>
      </c>
      <c r="ET112" s="74" t="str">
        <f aca="false">IF(Tasks[[#This Row],[Task Name]]="","",IF(Tasks[[#This Row],[_IsSummary]],MAX(INDEX(Tasks[_ShownCalcFinish],Tasks[[#This Row],[_Row]]+1):INDEX(Tasks[_ShownCalcFinish],Tasks[[#This Row],[_Row]]+Tasks[[#This Row],[_Descendants]])),Tasks[[#This Row],[_ShownCalcFinish]]))</f>
        <v/>
      </c>
      <c r="EU11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1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1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1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1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1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1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1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1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1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1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1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12" s="45" t="n">
        <f aca="false">IF(AND(Tasks[[#This Row],[_IsLeaf]]=1,Tasks[[#This Row],[_LeafTotalWork]]&gt;0),NETWORKDAYS.INTL(ProjectStart,Tasks[[#This Row],[_ShownFcstStart]],WorkWeek,Holidays),0)</f>
        <v>0</v>
      </c>
      <c r="FH112" s="45" t="n">
        <f aca="false">IF(AND(Tasks[[#This Row],[_IsLeaf]]=1,Tasks[[#This Row],[_LeafTotalWork]]&gt;0),MAX(Tasks[[#This Row],[_StartWorkday]],NETWORKDAYS.INTL(ProjectStart,Tasks[[#This Row],[_ShownFcstFinish]],WorkWeek,Holidays)),0)</f>
        <v>0</v>
      </c>
      <c r="FI112" s="45" t="n">
        <f aca="false">IF(AND(Tasks[[#This Row],[_IsLeaf]]=1,Tasks[[#This Row],[_LeafTotalWork]]&gt;0),Tasks[[#This Row],[_LeafWork]]/(Tasks[[#This Row],[_FinishWorkday]]-Tasks[[#This Row],[_StartWorkday]]+1),0)</f>
        <v>0</v>
      </c>
      <c r="FJ112" s="45" t="n">
        <f aca="false">Tasks[[#This Row],[_WorkPerWorkday]]*(Tasks[[#This Row],[_StartWorkday]]-1)</f>
        <v>-0</v>
      </c>
      <c r="FK112" s="45" t="n">
        <f aca="false">IF(Tasks[[#This Row],[_IsLeaf]]=1,MAX(N(Tasks[[#This Row],[Duration]]),0.1),0)</f>
        <v>0</v>
      </c>
      <c r="FL112" s="45" t="n">
        <f aca="false">Tasks[[#This Row],[_WeightDur]]*Tasks[[#This Row],[_LeafProgress]]</f>
        <v>0</v>
      </c>
      <c r="FM11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12" s="45" t="str">
        <f aca="false">IF(AND(Tasks[[#This Row],[_IsLeaf]]=1,N(Tasks[[#This Row],[Duration]])=0,Tasks[[#This Row],[_LeafProgress]]&lt;1),Tasks[[#This Row],[_ShownFcstFinish]]+Tasks[[#This Row],[_Row]]/100000,"")</f>
        <v/>
      </c>
      <c r="FO11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12" s="45" t="n">
        <f aca="false">IF(NOT(Tasks[[#This Row],[_IsLeaf]]=1),0,IF(Tasks[[#This Row],[Baseline Cost]]="",Tasks[[#This Row],[_LeafTotalCost]],N(Tasks[[#This Row],[Baseline Cost]])))</f>
        <v>0</v>
      </c>
      <c r="FQ112" s="45" t="n">
        <f aca="false">Tasks[[#This Row],[_LeafBudget]]*Tasks[[#This Row],[_PlannedPct]]</f>
        <v>0</v>
      </c>
      <c r="FR112" s="45" t="n">
        <f aca="false">Tasks[[#This Row],[_LeafBudget]]*Tasks[[#This Row],[_LeafProgress]]</f>
        <v>0</v>
      </c>
      <c r="FS112" s="45" t="n">
        <f aca="false">IF(NOT(Tasks[[#This Row],[_IsLeaf]]=1),0,IF(Tasks[[#This Row],[Actual Cost]]="",Tasks[[#This Row],[_LeafTotalCost]]*Tasks[[#This Row],[_LeafProgress]],N(Tasks[[#This Row],[Actual Cost]])))</f>
        <v>0</v>
      </c>
      <c r="FT112" s="45" t="str">
        <f aca="false">IF(Tasks[[#This Row],[Task Name]]="","",LEFT(Tasks[[#This Row],[WBS]],FIND(".",Tasks[[#This Row],[WBS]]&amp;".")-1))</f>
        <v/>
      </c>
      <c r="FU112" s="45" t="str">
        <f aca="false">IF(AND(Tasks[[#This Row],[Task Name]]&lt;&gt;"",Tasks[[#This Row],[_Level]]=1),Tasks[[#This Row],[_Row]],"")</f>
        <v/>
      </c>
      <c r="FV112" s="45" t="str">
        <f aca="false">IF(AND(Tasks[[#This Row],[_IsLeaf]]=1,N(Tasks[[#This Row],[Duration]])=0),Tasks[[#This Row],[Planned Finish]]+Tasks[[#This Row],[_Row]]/100000,"")</f>
        <v/>
      </c>
      <c r="FW112" s="45" t="str">
        <f aca="false">IF(AND(Tasks[[#This Row],[_IsLeaf]]=1,Tasks[[#This Row],[_LeafProgress]]&lt;1,OR(N(Tasks[[#This Row],[Finish Var]])&gt;0,Tasks[[#This Row],[Status]]="Late Start")),MAX(0,Tasks[[#This Row],[Finish Var]])+1-Tasks[[#This Row],[_Row]]/1000000,"")</f>
        <v/>
      </c>
      <c r="FX112" s="45" t="str">
        <f aca="false">IF(AND(Tasks[[#This Row],[_IsLeaf]]=1,N(Tasks[[#This Row],[Actual Start]])=0,Tasks[[#This Row],[_ShownFcstStart]]&gt;=StatusDate,Tasks[[#This Row],[_ShownFcstStart]]&lt;=LookaheadEnd),Tasks[[#This Row],[_ShownFcstStart]]+Tasks[[#This Row],[_Row]]/100000,"")</f>
        <v/>
      </c>
      <c r="FY112" s="45" t="str">
        <f aca="false">IF(AND(Tasks[[#This Row],[_IsLeaf]]=1,Tasks[[#This Row],[_LeafProgress]]&lt;1,Tasks[[#This Row],[_ShownFcstFinish]]&gt;=StatusDate,Tasks[[#This Row],[_ShownFcstFinish]]&lt;=LookaheadEnd),Tasks[[#This Row],[_ShownFcstFinish]]+Tasks[[#This Row],[_Row]]/100000,"")</f>
        <v/>
      </c>
      <c r="FZ112" s="45" t="str">
        <f aca="false">IF(Tasks[[#This Row],[_LeafCritical]],Tasks[[#This Row],[_ShownFcstStart]]+Tasks[[#This Row],[_Row]]/100000,"")</f>
        <v/>
      </c>
      <c r="GA112" s="45" t="n">
        <f aca="false">Tasks[[#This Row],[_LeafWork]]*Tasks[[#This Row],[_LeafProgress]]</f>
        <v>0</v>
      </c>
      <c r="GB112" s="74" t="str">
        <f aca="false">IF(AND(Tasks[[#This Row],[_IsLeaf]]=1,Tasks[[#This Row],[_LeafProgress]]&gt;=1),IF(N(Tasks[[#This Row],[Actual Finish]])&gt;0,Tasks[[#This Row],[Actual Finish]],Tasks[[#This Row],[_ShownFcstFinish]]),"")</f>
        <v/>
      </c>
    </row>
    <row r="113" customFormat="false" ht="15" hidden="false" customHeight="false" outlineLevel="0" collapsed="false">
      <c r="A113" s="67" t="str">
        <f aca="false">IF(Tasks[[#This Row],[Task Name]]="","",COUNTA(Tasks[[#Headers],[Task Name]]:Tasks[[#This Row],[Task Name]])-1)</f>
        <v/>
      </c>
      <c r="B113" s="21" t="n">
        <v>108</v>
      </c>
      <c r="C11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21"/>
      <c r="E113" s="22"/>
      <c r="F113" s="21"/>
      <c r="G113" s="22"/>
      <c r="H113" s="22"/>
      <c r="I113" s="22"/>
      <c r="J113" s="7"/>
      <c r="K113" s="7"/>
      <c r="L113" s="22"/>
      <c r="M113" s="58" t="str">
        <f aca="false">IF(Tasks[[#This Row],[Task Name]]="","",IF(Tasks[[#This Row],[_IsSummary]],MIN(INDEX(Tasks[_ShownFcstStart],Tasks[[#This Row],[_Row]]+1):INDEX(Tasks[_ShownFcstStart],Tasks[[#This Row],[_Row]]+Tasks[[#This Row],[_Descendants]])),Tasks[[#This Row],[_ShownFcstStart]]))</f>
        <v/>
      </c>
      <c r="N113" s="58" t="str">
        <f aca="false">IF(Tasks[[#This Row],[Task Name]]="","",IF(Tasks[[#This Row],[_IsSummary]],MAX(INDEX(Tasks[_ShownFcstFinish],Tasks[[#This Row],[_Row]]+1):INDEX(Tasks[_ShownFcstFinish],Tasks[[#This Row],[_Row]]+Tasks[[#This Row],[_Descendants]])),Tasks[[#This Row],[_ShownFcstFinish]]))</f>
        <v/>
      </c>
      <c r="O113" s="20" t="str">
        <f aca="false">IF(Tasks[[#This Row],[Task Name]]="","",IF(Tasks[[#This Row],[Progress]]&gt;=1,"Complete",IF(OR(N(Tasks[[#This Row],[Actual Start]])&gt;0,Tasks[[#This Row],[Progress]]&gt;0),IF(Tasks[[#This Row],[Finish Var]]&gt;0,"Behind","In Progress"),IF(Tasks[[#This Row],[Planned Start]]&lt;StatusDate,"Late Start","Not Started"))))</f>
        <v/>
      </c>
      <c r="P113" s="20" t="str">
        <f aca="false">IF(Tasks[[#This Row],[Task Name]]="","",IF(IF(Tasks[[#This Row],[_IsSummary]],COUNTIF(INDEX(Tasks[_LeafCritical],Tasks[[#This Row],[_Row]]+1):INDEX(Tasks[_LeafCritical],Tasks[[#This Row],[_Row]]+Tasks[[#This Row],[_Descendants]]),TRUE())&gt;0,Tasks[[#This Row],[_LeafCritical]]),"Yes",""))</f>
        <v/>
      </c>
      <c r="Q11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13" s="67" t="str">
        <f aca="false">IF(Tasks[[#This Row],[Task Name]]="","",IF(Tasks[[#This Row],[_Level]]&lt;=OutlineShowLevel,"Yes","No"))</f>
        <v/>
      </c>
      <c r="S113" s="7"/>
      <c r="T113" s="21"/>
      <c r="U113" s="22"/>
      <c r="V113" s="7"/>
      <c r="W113" s="67" t="str">
        <f aca="false">IF(Tasks[[#This Row],[Task Name]]="","",IF(Tasks[[#This Row],[Finish]]&gt;=Tasks[[#This Row],[Planned Finish]],NETWORKDAYS.INTL(Tasks[[#This Row],[Planned Finish]],Tasks[[#This Row],[Finish]],WorkWeek,Holidays)-1,1-NETWORKDAYS.INTL(Tasks[[#This Row],[Finish]],Tasks[[#This Row],[Planned Finish]],WorkWeek,Holidays)))</f>
        <v/>
      </c>
      <c r="X113" s="58" t="str">
        <f aca="false">IF(Tasks[[#This Row],[Task Name]]="","",IF(N(Tasks[[#This Row],[Baseline Start]])&gt;0,Tasks[[#This Row],[Baseline Start]],Tasks[[#This Row],[_CalcStart]]))</f>
        <v/>
      </c>
      <c r="Y113" s="58" t="str">
        <f aca="false">IF(Tasks[[#This Row],[Task Name]]="","",IF(N(Tasks[[#This Row],[Baseline Finish]])&gt;0,Tasks[[#This Row],[Baseline Finish]],Tasks[[#This Row],[_CalcFinish]]))</f>
        <v/>
      </c>
      <c r="Z113" s="67" t="str">
        <f aca="false">IF(Tasks[[#This Row],[Task Name]]="","",IF(Tasks[[#This Row],[Start]]&gt;=Tasks[[#This Row],[Planned Start]],NETWORKDAYS.INTL(Tasks[[#This Row],[Planned Start]],Tasks[[#This Row],[Start]],WorkWeek,Holidays)-1,1-NETWORKDAYS.INTL(Tasks[[#This Row],[Start]],Tasks[[#This Row],[Planned Start]],WorkWeek,Holidays)))</f>
        <v/>
      </c>
      <c r="AA113" s="58" t="str">
        <f aca="false">IF(Tasks[[#This Row],[Task Name]]="","",IF(Tasks[[#This Row],[_IsSummary]],MIN(INDEX(Tasks[_LeafLateStart],Tasks[[#This Row],[_Row]]+1):INDEX(Tasks[_LeafLateStart],Tasks[[#This Row],[_Row]]+Tasks[[#This Row],[_Descendants]])),Tasks[[#This Row],[_LeafLateStart]]))</f>
        <v/>
      </c>
      <c r="AB113" s="58" t="str">
        <f aca="false">IF(Tasks[[#This Row],[Task Name]]="","",IF(Tasks[[#This Row],[_IsSummary]],MAX(INDEX(Tasks[_LeafLateFinish],Tasks[[#This Row],[_Row]]+1):INDEX(Tasks[_LeafLateFinish],Tasks[[#This Row],[_Row]]+Tasks[[#This Row],[_Descendants]])),Tasks[[#This Row],[_LeafLateFinish]]))</f>
        <v/>
      </c>
      <c r="AC113" s="67" t="str">
        <f aca="false">IF(Tasks[[#This Row],[Task Name]]="","",IF(Tasks[[#This Row],[_IsSummary]],MIN(INDEX(Tasks[_LeafTotalSlack],Tasks[[#This Row],[_Row]]+1):INDEX(Tasks[_LeafTotalSlack],Tasks[[#This Row],[_Row]]+Tasks[[#This Row],[_Descendants]])),Tasks[[#This Row],[_LeafTotalSlack]]))</f>
        <v/>
      </c>
      <c r="AD11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1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1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13" s="60"/>
      <c r="AH11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1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13" s="69" t="str">
        <f aca="false">IF(Tasks[[#This Row],[Task Name]]="","",IF(Tasks[[#This Row],[_IsSummary]],SUM(INDEX(Tasks[_LeafTotalWork],Tasks[[#This Row],[_Row]]+1):INDEX(Tasks[_LeafTotalWork],Tasks[[#This Row],[_Row]]+Tasks[[#This Row],[_Descendants]])),Tasks[[#This Row],[_LeafTotalWork]]))</f>
        <v/>
      </c>
      <c r="AK11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13" s="70" t="str">
        <f aca="false">IF(Tasks[[#This Row],[Task Name]]="","",IF(Tasks[[#This Row],[_IsSummary]],SUM(INDEX(Tasks[_LeafTotalCost],Tasks[[#This Row],[_Row]]+1):INDEX(Tasks[_LeafTotalCost],Tasks[[#This Row],[_Row]]+Tasks[[#This Row],[_Descendants]])),Tasks[[#This Row],[_LeafTotalCost]]))</f>
        <v/>
      </c>
      <c r="AM113" s="71"/>
      <c r="AN113" s="20" t="str">
        <f aca="false">IF(OR(Tasks[[#This Row],[Task Name]]="",Tasks[[#This Row],[Baseline Duration]]=""),"",Tasks[[#This Row],[BL Source Duration]]-N(Tasks[[#This Row],[Baseline Duration]]))</f>
        <v/>
      </c>
      <c r="AO113" s="69" t="str">
        <f aca="false">IF(OR(Tasks[[#This Row],[Task Name]]="",Tasks[[#This Row],[Baseline Work]]=""),"",Tasks[[#This Row],[Work]]-N(Tasks[[#This Row],[Baseline Work]]))</f>
        <v/>
      </c>
      <c r="AP113" s="70" t="str">
        <f aca="false">IF(OR(Tasks[[#This Row],[Task Name]]="",Tasks[[#This Row],[Baseline Cost]]=""),"",Tasks[[#This Row],[Cost]]-N(Tasks[[#This Row],[Baseline Cost]]))</f>
        <v/>
      </c>
      <c r="AQ113" s="58" t="str">
        <f aca="false">IF(Tasks[[#This Row],[Task Name]]="","",Tasks[[#This Row],[Start]])</f>
        <v/>
      </c>
      <c r="AR113" s="58" t="str">
        <f aca="false">IF(Tasks[[#This Row],[Task Name]]="","",Tasks[[#This Row],[Finish]])</f>
        <v/>
      </c>
      <c r="AS113" s="67" t="str">
        <f aca="false">IF(Tasks[[#This Row],[Task Name]]="","",IF(Tasks[[#This Row],[_IsSummary]],NETWORKDAYS.INTL(Tasks[[#This Row],[Start]],Tasks[[#This Row],[Finish]],WorkWeek,Holidays),N(Tasks[[#This Row],[Duration]])))</f>
        <v/>
      </c>
      <c r="AT113" s="69" t="str">
        <f aca="false">IF(Tasks[[#This Row],[Task Name]]="","",Tasks[[#This Row],[Work]])</f>
        <v/>
      </c>
      <c r="AU113" s="70" t="str">
        <f aca="false">IF(Tasks[[#This Row],[Task Name]]="","",Tasks[[#This Row],[Cost]])</f>
        <v/>
      </c>
      <c r="AV113" s="7"/>
      <c r="AW113" s="7"/>
      <c r="AX113" s="21"/>
      <c r="AY113" s="72"/>
      <c r="AZ113" s="71"/>
      <c r="BA113" s="70" t="str">
        <f aca="false">IF(Tasks[[#This Row],[Task Name]]="","",IF(Tasks[[#This Row],[_IsSummary]],SUM(INDEX(Tasks[_LeafEV],Tasks[[#This Row],[_Row]]+1):INDEX(Tasks[_LeafEV],Tasks[[#This Row],[_Row]]+Tasks[[#This Row],[_Descendants]])),Tasks[[#This Row],[_LeafEV]]))</f>
        <v/>
      </c>
      <c r="BB113" s="70" t="str">
        <f aca="false">IF(Tasks[[#This Row],[Task Name]]="","",IF(Tasks[[#This Row],[_IsSummary]],SUM(INDEX(Tasks[_LeafBudget],Tasks[[#This Row],[_Row]]+1):INDEX(Tasks[_LeafBudget],Tasks[[#This Row],[_Row]]+Tasks[[#This Row],[_Descendants]])),Tasks[[#This Row],[_LeafBudget]]))</f>
        <v/>
      </c>
      <c r="BC113" s="70" t="str">
        <f aca="false">IF(Tasks[[#This Row],[Task Name]]="","",IF(Tasks[[#This Row],[_IsSummary]],SUM(INDEX(Tasks[_LeafPV],Tasks[[#This Row],[_Row]]+1):INDEX(Tasks[_LeafPV],Tasks[[#This Row],[_Row]]+Tasks[[#This Row],[_Descendants]])),Tasks[[#This Row],[_LeafPV]]))</f>
        <v/>
      </c>
      <c r="BD113" s="70" t="str">
        <f aca="false">IF(Tasks[[#This Row],[Task Name]]="","",IF(Tasks[[#This Row],[_IsSummary]],SUM(INDEX(Tasks[_LeafAC],Tasks[[#This Row],[_Row]]+1):INDEX(Tasks[_LeafAC],Tasks[[#This Row],[_Row]]+Tasks[[#This Row],[_Descendants]])),Tasks[[#This Row],[_LeafAC]]))</f>
        <v/>
      </c>
      <c r="BE113" s="45" t="str">
        <f aca="false">IF(Tasks[[#This Row],[Task Name]]="","",MAX(1,N(Tasks[[#This Row],[Level]])))</f>
        <v/>
      </c>
      <c r="BF113" s="45" t="n">
        <f aca="false">ROW()-ROW(Tasks[[#Headers],[ID]])</f>
        <v>108</v>
      </c>
      <c r="BG113" s="45" t="n">
        <f aca="false">IF(OR(Tasks[[#This Row],[Task Name]]="",Tasks[[#This Row],[_Level]]&lt;=1),0,IFERROR(LOOKUP(2,1/(Tasks[[#Headers],[_Level]]:Tasks[[#This Row],[_Level]]=Tasks[[#This Row],[_Level]]-1),ROW(Tasks[[#Headers],[_Level]]:Tasks[[#This Row],[_Level]])),0))</f>
        <v>0</v>
      </c>
      <c r="BH113" s="45" t="n">
        <f aca="false">IFERROR(N(INDEX(Tasks[_Level],Tasks[[#This Row],[_Row]]+1)),0)</f>
        <v>0</v>
      </c>
      <c r="BI113" s="73" t="b">
        <f aca="false">AND(Tasks[[#This Row],[Task Name]]&lt;&gt;"",Tasks[[#This Row],[_NextLevel]]&gt;Tasks[[#This Row],[_Level]])</f>
        <v>0</v>
      </c>
      <c r="BJ113" s="45" t="n">
        <f aca="false">IF(Tasks[[#This Row],[_IsSummary]],COUNTIF(Tasks[WBS],Tasks[[#This Row],[WBS]]&amp;".*"),0)</f>
        <v>0</v>
      </c>
      <c r="BK113" s="45" t="n">
        <f aca="false">IF(AND(Tasks[[#This Row],[Task Name]]&lt;&gt;"",NOT(Tasks[[#This Row],[_IsSummary]])),1,0)</f>
        <v>0</v>
      </c>
      <c r="BL113" s="45" t="n">
        <f aca="false">IF(N(Tasks[[#This Row],[_Pred1UID]])=0,0,IFERROR(MATCH(Tasks[[#This Row],[_Pred1UID]],Tasks[UID],0),-1))</f>
        <v>0</v>
      </c>
      <c r="BM113" s="45" t="n">
        <f aca="false">IF(N(Tasks[[#This Row],[_Pred2UID]])=0,0,IFERROR(MATCH(Tasks[[#This Row],[_Pred2UID]],Tasks[UID],0),-1))</f>
        <v>0</v>
      </c>
      <c r="BN113" s="45" t="n">
        <f aca="false">IF(N(Tasks[[#This Row],[_Pred3UID]])=0,0,IFERROR(MATCH(Tasks[[#This Row],[_Pred3UID]],Tasks[UID],0),-1))</f>
        <v>0</v>
      </c>
      <c r="BO113" s="45" t="n">
        <f aca="false">IF(N(Tasks[[#This Row],[_Pred4UID]])=0,0,IFERROR(MATCH(Tasks[[#This Row],[_Pred4UID]],Tasks[UID],0),-1))</f>
        <v>0</v>
      </c>
      <c r="BP11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1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13" s="74" t="n">
        <f aca="false">IF(OR(Tasks[[#This Row],[_ConstraintCode]]=2,Tasks[[#This Row],[_ConstraintCode]]=3,Tasks[[#This Row],[_ConstraintCode]]=4,Tasks[[#This Row],[_ConstraintCode]]=6),Tasks[[#This Row],[_ConstraintStart]],0)</f>
        <v>0</v>
      </c>
      <c r="BS113" s="74" t="n">
        <f aca="false">IF(OR(Tasks[[#This Row],[_ConstraintCode]]=2,Tasks[[#This Row],[_ConstraintCode]]=3,Tasks[[#This Row],[_ConstraintCode]]=5,Tasks[[#This Row],[_ConstraintCode]]=7),Tasks[[#This Row],[_ConstraintStart]],2958465)</f>
        <v>2958465</v>
      </c>
      <c r="BT11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13" s="74" t="str">
        <f aca="false">IF(NOT(Tasks[[#This Row],[_IsLeaf]]=1),"",IF(N(Tasks[[#This Row],[Duration]])&lt;=0,Tasks[[#This Row],[_LeafCalcStart]],WORKDAY.INTL(Tasks[[#This Row],[_LeafCalcStart]],Tasks[[#This Row],[Duration]]-1,WorkWeek,Holidays)))</f>
        <v/>
      </c>
      <c r="BV11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1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13" s="45" t="str">
        <f aca="false">IF(Tasks[[#This Row],[Predecessors]]="","",TRIM(MID(SUBSTITUTE(SUBSTITUTE(SUBSTITUTE(UPPER(Tasks[[#This Row],[Predecessors]]),";",",")," ",""),",",REPT(" ",99)),1,99)))</f>
        <v/>
      </c>
      <c r="BY113" s="45" t="str">
        <f aca="false">IF(Tasks[[#This Row],[_Pred1Text]]="","",IFERROR(VALUE(LEFT(Tasks[[#This Row],[_Pred1Text]],MIN(FIND("F",Tasks[[#This Row],[_Pred1Text]]&amp;"F"),FIND("S",Tasks[[#This Row],[_Pred1Text]]&amp;"S"),FIND("+",Tasks[[#This Row],[_Pred1Text]]&amp;"+"),FIND("-",Tasks[[#This Row],[_Pred1Text]]&amp;"-"))-1)),""))</f>
        <v/>
      </c>
      <c r="BZ11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1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13" s="45" t="str">
        <f aca="false">IF(Tasks[[#This Row],[_Pred1Text]]="","",TRIM(MID(SUBSTITUTE(SUBSTITUTE(SUBSTITUTE(UPPER(Tasks[[#This Row],[Predecessors]]),";",",")," ",""),",",REPT(" ",99)),100,99)))</f>
        <v/>
      </c>
      <c r="CC113" s="45" t="str">
        <f aca="false">IF(Tasks[[#This Row],[_Pred2Text]]="","",IFERROR(VALUE(LEFT(Tasks[[#This Row],[_Pred2Text]],MIN(FIND("F",Tasks[[#This Row],[_Pred2Text]]&amp;"F"),FIND("S",Tasks[[#This Row],[_Pred2Text]]&amp;"S"),FIND("+",Tasks[[#This Row],[_Pred2Text]]&amp;"+"),FIND("-",Tasks[[#This Row],[_Pred2Text]]&amp;"-"))-1)),""))</f>
        <v/>
      </c>
      <c r="CD11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1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13" s="45" t="str">
        <f aca="false">IF(Tasks[[#This Row],[_Pred2Text]]="","",TRIM(MID(SUBSTITUTE(SUBSTITUTE(SUBSTITUTE(UPPER(Tasks[[#This Row],[Predecessors]]),";",",")," ",""),",",REPT(" ",99)),199,99)))</f>
        <v/>
      </c>
      <c r="CG113" s="45" t="str">
        <f aca="false">IF(Tasks[[#This Row],[_Pred3Text]]="","",IFERROR(VALUE(LEFT(Tasks[[#This Row],[_Pred3Text]],MIN(FIND("F",Tasks[[#This Row],[_Pred3Text]]&amp;"F"),FIND("S",Tasks[[#This Row],[_Pred3Text]]&amp;"S"),FIND("+",Tasks[[#This Row],[_Pred3Text]]&amp;"+"),FIND("-",Tasks[[#This Row],[_Pred3Text]]&amp;"-"))-1)),""))</f>
        <v/>
      </c>
      <c r="CH11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1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13" s="45" t="str">
        <f aca="false">IF(Tasks[[#This Row],[_Pred3Text]]="","",TRIM(MID(SUBSTITUTE(SUBSTITUTE(SUBSTITUTE(UPPER(Tasks[[#This Row],[Predecessors]]),";",",")," ",""),",",REPT(" ",99)),298,99)))</f>
        <v/>
      </c>
      <c r="CK113" s="45" t="str">
        <f aca="false">IF(Tasks[[#This Row],[_Pred4Text]]="","",IFERROR(VALUE(LEFT(Tasks[[#This Row],[_Pred4Text]],MIN(FIND("F",Tasks[[#This Row],[_Pred4Text]]&amp;"F"),FIND("S",Tasks[[#This Row],[_Pred4Text]]&amp;"S"),FIND("+",Tasks[[#This Row],[_Pred4Text]]&amp;"+"),FIND("-",Tasks[[#This Row],[_Pred4Text]]&amp;"-"))-1)),""))</f>
        <v/>
      </c>
      <c r="CL11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1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13" s="45" t="str">
        <f aca="false">IF(OR(Tasks[[#This Row],[Task Name]]="",Tasks[[#This Row],[Resources]]=""),"",TRIM(MID(SUBSTITUTE(Tasks[[#This Row],[Resources]],",",REPT(" ",99)),1,99)))</f>
        <v/>
      </c>
      <c r="CO113" s="45" t="str">
        <f aca="false">IF(Tasks[[#This Row],[_Res1Text]]="","",TRIM(MID(SUBSTITUTE(Tasks[[#This Row],[Resources]],",",REPT(" ",99)),100,99)))</f>
        <v/>
      </c>
      <c r="CP113" s="45" t="str">
        <f aca="false">IF(Tasks[[#This Row],[_Res2Text]]="","",TRIM(MID(SUBSTITUTE(Tasks[[#This Row],[Resources]],",",REPT(" ",99)),199,99)))</f>
        <v/>
      </c>
      <c r="CQ113" s="45" t="str">
        <f aca="false">IF(Tasks[[#This Row],[_Res3Text]]="","",TRIM(MID(SUBSTITUTE(Tasks[[#This Row],[Resources]],",",REPT(" ",99)),298,99)))</f>
        <v/>
      </c>
      <c r="CR11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1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3" s="45" t="n">
        <f aca="false">IF(NOT(Tasks[[#This Row],[_IsLeaf]]=1),0,(Tasks[[#This Row],[_Resource1]]&lt;&gt;"")+(Tasks[[#This Row],[_Res2]]&lt;&gt;"")+(Tasks[[#This Row],[_Res3]]&lt;&gt;"")+(Tasks[[#This Row],[_Res4]]&lt;&gt;""))</f>
        <v>0</v>
      </c>
      <c r="CU11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1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3" s="45" t="n">
        <f aca="false">IF(OR(NOT(Tasks[[#This Row],[_IsLeaf]]=1),Tasks[[#This Row],[_Res2]]=""),0,IF(ISNA(MATCH(Tasks[[#This Row],[_Res2]],res_Name,0)),0,N(Tasks[[#This Row],[Duration]])*HoursPerDay*IF(Tasks[[#This Row],[_Res2Units]]="",DefaultUnits,Tasks[[#This Row],[_Res2Units]])))</f>
        <v>0</v>
      </c>
      <c r="CX113" s="45" t="n">
        <f aca="false">IF(Tasks[[#This Row],[_Res2Work]]=0,0,Tasks[[#This Row],[_Res2Work]]*IFERROR(INDEX(res_Rate,MATCH(Tasks[[#This Row],[_Res2]],res_Name,0)),0))</f>
        <v>0</v>
      </c>
      <c r="CY113" s="45" t="n">
        <f aca="false">IF(AND(AND(Tasks[[#This Row],[_IsLeaf]]=1,Tasks[[#This Row],[_LeafTotalWork]]&gt;0),Tasks[[#This Row],[_Res2Work]]&gt;0),Tasks[[#This Row],[_Res2Work]]/(Tasks[[#This Row],[_FinishWorkday]]-Tasks[[#This Row],[_StartWorkday]]+1),0)</f>
        <v>0</v>
      </c>
      <c r="CZ113" s="45" t="n">
        <f aca="false">Tasks[[#This Row],[_Res2WorkPerWD]]*MAX(0,Tasks[[#This Row],[_StartWorkday]]-1)</f>
        <v>0</v>
      </c>
      <c r="DA113" s="45" t="n">
        <f aca="false">Tasks[[#This Row],[_Res2Work]]*Tasks[[#This Row],[_LeafProgress]]</f>
        <v>0</v>
      </c>
      <c r="DB113" s="45" t="n">
        <f aca="false">IF(Tasks[[#This Row],[_LeafTotalCost]]=0,0,Tasks[[#This Row],[_LeafAC]]*Tasks[[#This Row],[_Res2Cost]]/Tasks[[#This Row],[_LeafTotalCost]])</f>
        <v>0</v>
      </c>
      <c r="DC11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1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13" s="45" t="n">
        <f aca="false">IF(OR(NOT(Tasks[[#This Row],[_IsLeaf]]=1),Tasks[[#This Row],[_Res3]]=""),0,IF(ISNA(MATCH(Tasks[[#This Row],[_Res3]],res_Name,0)),0,N(Tasks[[#This Row],[Duration]])*HoursPerDay*IF(Tasks[[#This Row],[_Res3Units]]="",DefaultUnits,Tasks[[#This Row],[_Res3Units]])))</f>
        <v>0</v>
      </c>
      <c r="DF113" s="45" t="n">
        <f aca="false">IF(Tasks[[#This Row],[_Res3Work]]=0,0,Tasks[[#This Row],[_Res3Work]]*IFERROR(INDEX(res_Rate,MATCH(Tasks[[#This Row],[_Res3]],res_Name,0)),0))</f>
        <v>0</v>
      </c>
      <c r="DG113" s="45" t="n">
        <f aca="false">IF(AND(AND(Tasks[[#This Row],[_IsLeaf]]=1,Tasks[[#This Row],[_LeafTotalWork]]&gt;0),Tasks[[#This Row],[_Res3Work]]&gt;0),Tasks[[#This Row],[_Res3Work]]/(Tasks[[#This Row],[_FinishWorkday]]-Tasks[[#This Row],[_StartWorkday]]+1),0)</f>
        <v>0</v>
      </c>
      <c r="DH113" s="45" t="n">
        <f aca="false">Tasks[[#This Row],[_Res3WorkPerWD]]*MAX(0,Tasks[[#This Row],[_StartWorkday]]-1)</f>
        <v>0</v>
      </c>
      <c r="DI113" s="45" t="n">
        <f aca="false">Tasks[[#This Row],[_Res3Work]]*Tasks[[#This Row],[_LeafProgress]]</f>
        <v>0</v>
      </c>
      <c r="DJ113" s="45" t="n">
        <f aca="false">IF(Tasks[[#This Row],[_LeafTotalCost]]=0,0,Tasks[[#This Row],[_LeafAC]]*Tasks[[#This Row],[_Res3Cost]]/Tasks[[#This Row],[_LeafTotalCost]])</f>
        <v>0</v>
      </c>
      <c r="DK11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1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13" s="45" t="n">
        <f aca="false">IF(OR(NOT(Tasks[[#This Row],[_IsLeaf]]=1),Tasks[[#This Row],[_Res4]]=""),0,IF(ISNA(MATCH(Tasks[[#This Row],[_Res4]],res_Name,0)),0,N(Tasks[[#This Row],[Duration]])*HoursPerDay*IF(Tasks[[#This Row],[_Res4Units]]="",DefaultUnits,Tasks[[#This Row],[_Res4Units]])))</f>
        <v>0</v>
      </c>
      <c r="DN113" s="45" t="n">
        <f aca="false">IF(Tasks[[#This Row],[_Res4Work]]=0,0,Tasks[[#This Row],[_Res4Work]]*IFERROR(INDEX(res_Rate,MATCH(Tasks[[#This Row],[_Res4]],res_Name,0)),0))</f>
        <v>0</v>
      </c>
      <c r="DO113" s="45" t="n">
        <f aca="false">IF(AND(AND(Tasks[[#This Row],[_IsLeaf]]=1,Tasks[[#This Row],[_LeafTotalWork]]&gt;0),Tasks[[#This Row],[_Res4Work]]&gt;0),Tasks[[#This Row],[_Res4Work]]/(Tasks[[#This Row],[_FinishWorkday]]-Tasks[[#This Row],[_StartWorkday]]+1),0)</f>
        <v>0</v>
      </c>
      <c r="DP113" s="45" t="n">
        <f aca="false">Tasks[[#This Row],[_Res4WorkPerWD]]*MAX(0,Tasks[[#This Row],[_StartWorkday]]-1)</f>
        <v>0</v>
      </c>
      <c r="DQ113" s="45" t="n">
        <f aca="false">Tasks[[#This Row],[_Res4Work]]*Tasks[[#This Row],[_LeafProgress]]</f>
        <v>0</v>
      </c>
      <c r="DR113" s="45" t="n">
        <f aca="false">IF(Tasks[[#This Row],[_LeafTotalCost]]=0,0,Tasks[[#This Row],[_LeafAC]]*Tasks[[#This Row],[_Res4Cost]]/Tasks[[#This Row],[_LeafTotalCost]])</f>
        <v>0</v>
      </c>
      <c r="DS113" s="45" t="n">
        <f aca="false">IF(ISNUMBER(Tasks[[#This Row],[% Complete]]),Tasks[[#This Row],[% Complete]],IF(Tasks[[#This Row],[Stage]]="",0,IFERROR(INDEX(stg_Pct,MATCH(Tasks[[#This Row],[Stage]],stg_Name,0)),0)))</f>
        <v>0</v>
      </c>
      <c r="DT113" s="45" t="n">
        <f aca="false">IF(NOT(Tasks[[#This Row],[_IsLeaf]]=1),0,IF(N(Tasks[[#This Row],[Actual Finish]])&gt;0,1,MIN(1,Tasks[[#This Row],[_Pct]])))</f>
        <v>0</v>
      </c>
      <c r="DU113" s="45" t="n">
        <f aca="false">IF(OR(NOT(Tasks[[#This Row],[_IsLeaf]]=1),Tasks[[#This Row],[_Resource1]]=""),0,IF(ISNA(MATCH(Tasks[[#This Row],[_Resource1]],res_Name,0)),0,N(Tasks[[#This Row],[Duration]])*HoursPerDay*IF(Tasks[[#This Row],[_Units1]]="",DefaultUnits,Tasks[[#This Row],[_Units1]])))</f>
        <v>0</v>
      </c>
      <c r="DV113" s="45" t="n">
        <f aca="false">IF(Tasks[[#This Row],[_LeafWork]]=0,0,Tasks[[#This Row],[_LeafWork]]*IFERROR(INDEX(res_Rate,MATCH(Tasks[[#This Row],[_Resource1]],res_Name,0)),0))</f>
        <v>0</v>
      </c>
      <c r="DW113" s="45" t="n">
        <f aca="false">Tasks[[#This Row],[_LeafWork]]+Tasks[[#This Row],[_Res2Work]]+Tasks[[#This Row],[_Res3Work]]+Tasks[[#This Row],[_Res4Work]]</f>
        <v>0</v>
      </c>
      <c r="DX113" s="45" t="n">
        <f aca="false">Tasks[[#This Row],[_LeafCost]]+Tasks[[#This Row],[_Res2Cost]]+Tasks[[#This Row],[_Res3Cost]]+Tasks[[#This Row],[_Res4Cost]]</f>
        <v>0</v>
      </c>
      <c r="DY113" s="45" t="n">
        <f aca="false">IF(Tasks[[#This Row],[_LeafTotalCost]]=0,Tasks[[#This Row],[_LeafAC]],Tasks[[#This Row],[_LeafAC]]*Tasks[[#This Row],[_LeafCost]]/Tasks[[#This Row],[_LeafTotalCost]])</f>
        <v>0</v>
      </c>
      <c r="DZ11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1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1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1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1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1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1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1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13" s="45" t="n">
        <f aca="false">IF(NOT(Tasks[[#This Row],[_IsLeaf]]=1),0,MAX(_xlfn.MAXIFS(Tasks[_Row],Tasks[_Pred1UID],Tasks[[#This Row],[UID]]),_xlfn.MAXIFS(Tasks[_Row],Tasks[_Pred2UID],Tasks[[#This Row],[UID]]),_xlfn.MAXIFS(Tasks[_Row],Tasks[_Pred3UID],Tasks[[#This Row],[UID]]),_xlfn.MAXIFS(Tasks[_Row],Tasks[_Pred4UID],Tasks[[#This Row],[UID]])))</f>
        <v>0</v>
      </c>
      <c r="EI11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1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13" s="74" t="str">
        <f aca="false">IF(NOT(Tasks[[#This Row],[_IsLeaf]]=1),"",IF(N(Tasks[[#This Row],[Duration]])&lt;=0,Tasks[[#This Row],[_LeafLateFinish]],WORKDAY.INTL(Tasks[[#This Row],[_LeafLateFinish]],-(Tasks[[#This Row],[Duration]]-1),WorkWeek,Holidays)))</f>
        <v/>
      </c>
      <c r="EL11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13" s="73" t="b">
        <f aca="false">AND(Tasks[[#This Row],[_IsLeaf]]=1,Tasks[[#This Row],[_LeafProgress]]&lt;1,N(Tasks[[#This Row],[_LeafTotalSlack]])&lt;=CriticalSlackDays)</f>
        <v>0</v>
      </c>
      <c r="EN113" s="45" t="n">
        <f aca="false">IF(AND(Tasks[[#This Row],[_IsLeaf]]=1,Tasks[[#This Row],[_ConstraintCode]]=1,Tasks[[#This Row],[Mode]]&lt;&gt;"Manual",N(Tasks[[#This Row],[Actual Start]])=0),MAX(0,N(Tasks[[#This Row],[Free Slack]])),0)</f>
        <v>0</v>
      </c>
      <c r="EO113" s="74" t="str">
        <f aca="false">IF(NOT(Tasks[[#This Row],[_IsLeaf]]=1),"",IF(Tasks[[#This Row],[_AlapShift]]=0,Tasks[[#This Row],[_LeafCalcStart]],WORKDAY.INTL(Tasks[[#This Row],[_LeafCalcStart]],Tasks[[#This Row],[_AlapShift]],WorkWeek,Holidays)))</f>
        <v/>
      </c>
      <c r="EP113" s="74" t="str">
        <f aca="false">IF(NOT(Tasks[[#This Row],[_IsLeaf]]=1),"",IF(Tasks[[#This Row],[_AlapShift]]=0,Tasks[[#This Row],[_LeafCalcFinish]],WORKDAY.INTL(Tasks[[#This Row],[_LeafCalcFinish]],Tasks[[#This Row],[_AlapShift]],WorkWeek,Holidays)))</f>
        <v/>
      </c>
      <c r="EQ113" s="74" t="str">
        <f aca="false">IF(NOT(Tasks[[#This Row],[_IsLeaf]]=1),"",IF(Tasks[[#This Row],[_AlapShift]]=0,Tasks[[#This Row],[_LeafFcstStart]],WORKDAY.INTL(Tasks[[#This Row],[_LeafFcstStart]],Tasks[[#This Row],[_AlapShift]],WorkWeek,Holidays)))</f>
        <v/>
      </c>
      <c r="ER113" s="74" t="str">
        <f aca="false">IF(NOT(Tasks[[#This Row],[_IsLeaf]]=1),"",IF(Tasks[[#This Row],[_AlapShift]]=0,Tasks[[#This Row],[_LeafFcstFinish]],WORKDAY.INTL(Tasks[[#This Row],[_LeafFcstFinish]],Tasks[[#This Row],[_AlapShift]],WorkWeek,Holidays)))</f>
        <v/>
      </c>
      <c r="ES113" s="74" t="str">
        <f aca="false">IF(Tasks[[#This Row],[Task Name]]="","",IF(Tasks[[#This Row],[_IsSummary]],MIN(INDEX(Tasks[_ShownCalcStart],Tasks[[#This Row],[_Row]]+1):INDEX(Tasks[_ShownCalcStart],Tasks[[#This Row],[_Row]]+Tasks[[#This Row],[_Descendants]])),Tasks[[#This Row],[_ShownCalcStart]]))</f>
        <v/>
      </c>
      <c r="ET113" s="74" t="str">
        <f aca="false">IF(Tasks[[#This Row],[Task Name]]="","",IF(Tasks[[#This Row],[_IsSummary]],MAX(INDEX(Tasks[_ShownCalcFinish],Tasks[[#This Row],[_Row]]+1):INDEX(Tasks[_ShownCalcFinish],Tasks[[#This Row],[_Row]]+Tasks[[#This Row],[_Descendants]])),Tasks[[#This Row],[_ShownCalcFinish]]))</f>
        <v/>
      </c>
      <c r="EU11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1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1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1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1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1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1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1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1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1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1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1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13" s="45" t="n">
        <f aca="false">IF(AND(Tasks[[#This Row],[_IsLeaf]]=1,Tasks[[#This Row],[_LeafTotalWork]]&gt;0),NETWORKDAYS.INTL(ProjectStart,Tasks[[#This Row],[_ShownFcstStart]],WorkWeek,Holidays),0)</f>
        <v>0</v>
      </c>
      <c r="FH113" s="45" t="n">
        <f aca="false">IF(AND(Tasks[[#This Row],[_IsLeaf]]=1,Tasks[[#This Row],[_LeafTotalWork]]&gt;0),MAX(Tasks[[#This Row],[_StartWorkday]],NETWORKDAYS.INTL(ProjectStart,Tasks[[#This Row],[_ShownFcstFinish]],WorkWeek,Holidays)),0)</f>
        <v>0</v>
      </c>
      <c r="FI113" s="45" t="n">
        <f aca="false">IF(AND(Tasks[[#This Row],[_IsLeaf]]=1,Tasks[[#This Row],[_LeafTotalWork]]&gt;0),Tasks[[#This Row],[_LeafWork]]/(Tasks[[#This Row],[_FinishWorkday]]-Tasks[[#This Row],[_StartWorkday]]+1),0)</f>
        <v>0</v>
      </c>
      <c r="FJ113" s="45" t="n">
        <f aca="false">Tasks[[#This Row],[_WorkPerWorkday]]*(Tasks[[#This Row],[_StartWorkday]]-1)</f>
        <v>-0</v>
      </c>
      <c r="FK113" s="45" t="n">
        <f aca="false">IF(Tasks[[#This Row],[_IsLeaf]]=1,MAX(N(Tasks[[#This Row],[Duration]]),0.1),0)</f>
        <v>0</v>
      </c>
      <c r="FL113" s="45" t="n">
        <f aca="false">Tasks[[#This Row],[_WeightDur]]*Tasks[[#This Row],[_LeafProgress]]</f>
        <v>0</v>
      </c>
      <c r="FM11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13" s="45" t="str">
        <f aca="false">IF(AND(Tasks[[#This Row],[_IsLeaf]]=1,N(Tasks[[#This Row],[Duration]])=0,Tasks[[#This Row],[_LeafProgress]]&lt;1),Tasks[[#This Row],[_ShownFcstFinish]]+Tasks[[#This Row],[_Row]]/100000,"")</f>
        <v/>
      </c>
      <c r="FO11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13" s="45" t="n">
        <f aca="false">IF(NOT(Tasks[[#This Row],[_IsLeaf]]=1),0,IF(Tasks[[#This Row],[Baseline Cost]]="",Tasks[[#This Row],[_LeafTotalCost]],N(Tasks[[#This Row],[Baseline Cost]])))</f>
        <v>0</v>
      </c>
      <c r="FQ113" s="45" t="n">
        <f aca="false">Tasks[[#This Row],[_LeafBudget]]*Tasks[[#This Row],[_PlannedPct]]</f>
        <v>0</v>
      </c>
      <c r="FR113" s="45" t="n">
        <f aca="false">Tasks[[#This Row],[_LeafBudget]]*Tasks[[#This Row],[_LeafProgress]]</f>
        <v>0</v>
      </c>
      <c r="FS113" s="45" t="n">
        <f aca="false">IF(NOT(Tasks[[#This Row],[_IsLeaf]]=1),0,IF(Tasks[[#This Row],[Actual Cost]]="",Tasks[[#This Row],[_LeafTotalCost]]*Tasks[[#This Row],[_LeafProgress]],N(Tasks[[#This Row],[Actual Cost]])))</f>
        <v>0</v>
      </c>
      <c r="FT113" s="45" t="str">
        <f aca="false">IF(Tasks[[#This Row],[Task Name]]="","",LEFT(Tasks[[#This Row],[WBS]],FIND(".",Tasks[[#This Row],[WBS]]&amp;".")-1))</f>
        <v/>
      </c>
      <c r="FU113" s="45" t="str">
        <f aca="false">IF(AND(Tasks[[#This Row],[Task Name]]&lt;&gt;"",Tasks[[#This Row],[_Level]]=1),Tasks[[#This Row],[_Row]],"")</f>
        <v/>
      </c>
      <c r="FV113" s="45" t="str">
        <f aca="false">IF(AND(Tasks[[#This Row],[_IsLeaf]]=1,N(Tasks[[#This Row],[Duration]])=0),Tasks[[#This Row],[Planned Finish]]+Tasks[[#This Row],[_Row]]/100000,"")</f>
        <v/>
      </c>
      <c r="FW113" s="45" t="str">
        <f aca="false">IF(AND(Tasks[[#This Row],[_IsLeaf]]=1,Tasks[[#This Row],[_LeafProgress]]&lt;1,OR(N(Tasks[[#This Row],[Finish Var]])&gt;0,Tasks[[#This Row],[Status]]="Late Start")),MAX(0,Tasks[[#This Row],[Finish Var]])+1-Tasks[[#This Row],[_Row]]/1000000,"")</f>
        <v/>
      </c>
      <c r="FX113" s="45" t="str">
        <f aca="false">IF(AND(Tasks[[#This Row],[_IsLeaf]]=1,N(Tasks[[#This Row],[Actual Start]])=0,Tasks[[#This Row],[_ShownFcstStart]]&gt;=StatusDate,Tasks[[#This Row],[_ShownFcstStart]]&lt;=LookaheadEnd),Tasks[[#This Row],[_ShownFcstStart]]+Tasks[[#This Row],[_Row]]/100000,"")</f>
        <v/>
      </c>
      <c r="FY113" s="45" t="str">
        <f aca="false">IF(AND(Tasks[[#This Row],[_IsLeaf]]=1,Tasks[[#This Row],[_LeafProgress]]&lt;1,Tasks[[#This Row],[_ShownFcstFinish]]&gt;=StatusDate,Tasks[[#This Row],[_ShownFcstFinish]]&lt;=LookaheadEnd),Tasks[[#This Row],[_ShownFcstFinish]]+Tasks[[#This Row],[_Row]]/100000,"")</f>
        <v/>
      </c>
      <c r="FZ113" s="45" t="str">
        <f aca="false">IF(Tasks[[#This Row],[_LeafCritical]],Tasks[[#This Row],[_ShownFcstStart]]+Tasks[[#This Row],[_Row]]/100000,"")</f>
        <v/>
      </c>
      <c r="GA113" s="45" t="n">
        <f aca="false">Tasks[[#This Row],[_LeafWork]]*Tasks[[#This Row],[_LeafProgress]]</f>
        <v>0</v>
      </c>
      <c r="GB113" s="74" t="str">
        <f aca="false">IF(AND(Tasks[[#This Row],[_IsLeaf]]=1,Tasks[[#This Row],[_LeafProgress]]&gt;=1),IF(N(Tasks[[#This Row],[Actual Finish]])&gt;0,Tasks[[#This Row],[Actual Finish]],Tasks[[#This Row],[_ShownFcstFinish]]),"")</f>
        <v/>
      </c>
    </row>
    <row r="114" customFormat="false" ht="15" hidden="false" customHeight="false" outlineLevel="0" collapsed="false">
      <c r="A114" s="67" t="str">
        <f aca="false">IF(Tasks[[#This Row],[Task Name]]="","",COUNTA(Tasks[[#Headers],[Task Name]]:Tasks[[#This Row],[Task Name]])-1)</f>
        <v/>
      </c>
      <c r="B114" s="21" t="n">
        <v>109</v>
      </c>
      <c r="C11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21"/>
      <c r="E114" s="22"/>
      <c r="F114" s="21"/>
      <c r="G114" s="22"/>
      <c r="H114" s="22"/>
      <c r="I114" s="22"/>
      <c r="J114" s="7"/>
      <c r="K114" s="7"/>
      <c r="L114" s="22"/>
      <c r="M114" s="58" t="str">
        <f aca="false">IF(Tasks[[#This Row],[Task Name]]="","",IF(Tasks[[#This Row],[_IsSummary]],MIN(INDEX(Tasks[_ShownFcstStart],Tasks[[#This Row],[_Row]]+1):INDEX(Tasks[_ShownFcstStart],Tasks[[#This Row],[_Row]]+Tasks[[#This Row],[_Descendants]])),Tasks[[#This Row],[_ShownFcstStart]]))</f>
        <v/>
      </c>
      <c r="N114" s="58" t="str">
        <f aca="false">IF(Tasks[[#This Row],[Task Name]]="","",IF(Tasks[[#This Row],[_IsSummary]],MAX(INDEX(Tasks[_ShownFcstFinish],Tasks[[#This Row],[_Row]]+1):INDEX(Tasks[_ShownFcstFinish],Tasks[[#This Row],[_Row]]+Tasks[[#This Row],[_Descendants]])),Tasks[[#This Row],[_ShownFcstFinish]]))</f>
        <v/>
      </c>
      <c r="O114" s="20" t="str">
        <f aca="false">IF(Tasks[[#This Row],[Task Name]]="","",IF(Tasks[[#This Row],[Progress]]&gt;=1,"Complete",IF(OR(N(Tasks[[#This Row],[Actual Start]])&gt;0,Tasks[[#This Row],[Progress]]&gt;0),IF(Tasks[[#This Row],[Finish Var]]&gt;0,"Behind","In Progress"),IF(Tasks[[#This Row],[Planned Start]]&lt;StatusDate,"Late Start","Not Started"))))</f>
        <v/>
      </c>
      <c r="P114" s="20" t="str">
        <f aca="false">IF(Tasks[[#This Row],[Task Name]]="","",IF(IF(Tasks[[#This Row],[_IsSummary]],COUNTIF(INDEX(Tasks[_LeafCritical],Tasks[[#This Row],[_Row]]+1):INDEX(Tasks[_LeafCritical],Tasks[[#This Row],[_Row]]+Tasks[[#This Row],[_Descendants]]),TRUE())&gt;0,Tasks[[#This Row],[_LeafCritical]]),"Yes",""))</f>
        <v/>
      </c>
      <c r="Q11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14" s="67" t="str">
        <f aca="false">IF(Tasks[[#This Row],[Task Name]]="","",IF(Tasks[[#This Row],[_Level]]&lt;=OutlineShowLevel,"Yes","No"))</f>
        <v/>
      </c>
      <c r="S114" s="7"/>
      <c r="T114" s="21"/>
      <c r="U114" s="22"/>
      <c r="V114" s="7"/>
      <c r="W114" s="67" t="str">
        <f aca="false">IF(Tasks[[#This Row],[Task Name]]="","",IF(Tasks[[#This Row],[Finish]]&gt;=Tasks[[#This Row],[Planned Finish]],NETWORKDAYS.INTL(Tasks[[#This Row],[Planned Finish]],Tasks[[#This Row],[Finish]],WorkWeek,Holidays)-1,1-NETWORKDAYS.INTL(Tasks[[#This Row],[Finish]],Tasks[[#This Row],[Planned Finish]],WorkWeek,Holidays)))</f>
        <v/>
      </c>
      <c r="X114" s="58" t="str">
        <f aca="false">IF(Tasks[[#This Row],[Task Name]]="","",IF(N(Tasks[[#This Row],[Baseline Start]])&gt;0,Tasks[[#This Row],[Baseline Start]],Tasks[[#This Row],[_CalcStart]]))</f>
        <v/>
      </c>
      <c r="Y114" s="58" t="str">
        <f aca="false">IF(Tasks[[#This Row],[Task Name]]="","",IF(N(Tasks[[#This Row],[Baseline Finish]])&gt;0,Tasks[[#This Row],[Baseline Finish]],Tasks[[#This Row],[_CalcFinish]]))</f>
        <v/>
      </c>
      <c r="Z114" s="67" t="str">
        <f aca="false">IF(Tasks[[#This Row],[Task Name]]="","",IF(Tasks[[#This Row],[Start]]&gt;=Tasks[[#This Row],[Planned Start]],NETWORKDAYS.INTL(Tasks[[#This Row],[Planned Start]],Tasks[[#This Row],[Start]],WorkWeek,Holidays)-1,1-NETWORKDAYS.INTL(Tasks[[#This Row],[Start]],Tasks[[#This Row],[Planned Start]],WorkWeek,Holidays)))</f>
        <v/>
      </c>
      <c r="AA114" s="58" t="str">
        <f aca="false">IF(Tasks[[#This Row],[Task Name]]="","",IF(Tasks[[#This Row],[_IsSummary]],MIN(INDEX(Tasks[_LeafLateStart],Tasks[[#This Row],[_Row]]+1):INDEX(Tasks[_LeafLateStart],Tasks[[#This Row],[_Row]]+Tasks[[#This Row],[_Descendants]])),Tasks[[#This Row],[_LeafLateStart]]))</f>
        <v/>
      </c>
      <c r="AB114" s="58" t="str">
        <f aca="false">IF(Tasks[[#This Row],[Task Name]]="","",IF(Tasks[[#This Row],[_IsSummary]],MAX(INDEX(Tasks[_LeafLateFinish],Tasks[[#This Row],[_Row]]+1):INDEX(Tasks[_LeafLateFinish],Tasks[[#This Row],[_Row]]+Tasks[[#This Row],[_Descendants]])),Tasks[[#This Row],[_LeafLateFinish]]))</f>
        <v/>
      </c>
      <c r="AC114" s="67" t="str">
        <f aca="false">IF(Tasks[[#This Row],[Task Name]]="","",IF(Tasks[[#This Row],[_IsSummary]],MIN(INDEX(Tasks[_LeafTotalSlack],Tasks[[#This Row],[_Row]]+1):INDEX(Tasks[_LeafTotalSlack],Tasks[[#This Row],[_Row]]+Tasks[[#This Row],[_Descendants]])),Tasks[[#This Row],[_LeafTotalSlack]]))</f>
        <v/>
      </c>
      <c r="AD11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1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1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14" s="60"/>
      <c r="AH11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1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14" s="69" t="str">
        <f aca="false">IF(Tasks[[#This Row],[Task Name]]="","",IF(Tasks[[#This Row],[_IsSummary]],SUM(INDEX(Tasks[_LeafTotalWork],Tasks[[#This Row],[_Row]]+1):INDEX(Tasks[_LeafTotalWork],Tasks[[#This Row],[_Row]]+Tasks[[#This Row],[_Descendants]])),Tasks[[#This Row],[_LeafTotalWork]]))</f>
        <v/>
      </c>
      <c r="AK11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14" s="70" t="str">
        <f aca="false">IF(Tasks[[#This Row],[Task Name]]="","",IF(Tasks[[#This Row],[_IsSummary]],SUM(INDEX(Tasks[_LeafTotalCost],Tasks[[#This Row],[_Row]]+1):INDEX(Tasks[_LeafTotalCost],Tasks[[#This Row],[_Row]]+Tasks[[#This Row],[_Descendants]])),Tasks[[#This Row],[_LeafTotalCost]]))</f>
        <v/>
      </c>
      <c r="AM114" s="71"/>
      <c r="AN114" s="20" t="str">
        <f aca="false">IF(OR(Tasks[[#This Row],[Task Name]]="",Tasks[[#This Row],[Baseline Duration]]=""),"",Tasks[[#This Row],[BL Source Duration]]-N(Tasks[[#This Row],[Baseline Duration]]))</f>
        <v/>
      </c>
      <c r="AO114" s="69" t="str">
        <f aca="false">IF(OR(Tasks[[#This Row],[Task Name]]="",Tasks[[#This Row],[Baseline Work]]=""),"",Tasks[[#This Row],[Work]]-N(Tasks[[#This Row],[Baseline Work]]))</f>
        <v/>
      </c>
      <c r="AP114" s="70" t="str">
        <f aca="false">IF(OR(Tasks[[#This Row],[Task Name]]="",Tasks[[#This Row],[Baseline Cost]]=""),"",Tasks[[#This Row],[Cost]]-N(Tasks[[#This Row],[Baseline Cost]]))</f>
        <v/>
      </c>
      <c r="AQ114" s="58" t="str">
        <f aca="false">IF(Tasks[[#This Row],[Task Name]]="","",Tasks[[#This Row],[Start]])</f>
        <v/>
      </c>
      <c r="AR114" s="58" t="str">
        <f aca="false">IF(Tasks[[#This Row],[Task Name]]="","",Tasks[[#This Row],[Finish]])</f>
        <v/>
      </c>
      <c r="AS114" s="67" t="str">
        <f aca="false">IF(Tasks[[#This Row],[Task Name]]="","",IF(Tasks[[#This Row],[_IsSummary]],NETWORKDAYS.INTL(Tasks[[#This Row],[Start]],Tasks[[#This Row],[Finish]],WorkWeek,Holidays),N(Tasks[[#This Row],[Duration]])))</f>
        <v/>
      </c>
      <c r="AT114" s="69" t="str">
        <f aca="false">IF(Tasks[[#This Row],[Task Name]]="","",Tasks[[#This Row],[Work]])</f>
        <v/>
      </c>
      <c r="AU114" s="70" t="str">
        <f aca="false">IF(Tasks[[#This Row],[Task Name]]="","",Tasks[[#This Row],[Cost]])</f>
        <v/>
      </c>
      <c r="AV114" s="7"/>
      <c r="AW114" s="7"/>
      <c r="AX114" s="21"/>
      <c r="AY114" s="72"/>
      <c r="AZ114" s="71"/>
      <c r="BA114" s="70" t="str">
        <f aca="false">IF(Tasks[[#This Row],[Task Name]]="","",IF(Tasks[[#This Row],[_IsSummary]],SUM(INDEX(Tasks[_LeafEV],Tasks[[#This Row],[_Row]]+1):INDEX(Tasks[_LeafEV],Tasks[[#This Row],[_Row]]+Tasks[[#This Row],[_Descendants]])),Tasks[[#This Row],[_LeafEV]]))</f>
        <v/>
      </c>
      <c r="BB114" s="70" t="str">
        <f aca="false">IF(Tasks[[#This Row],[Task Name]]="","",IF(Tasks[[#This Row],[_IsSummary]],SUM(INDEX(Tasks[_LeafBudget],Tasks[[#This Row],[_Row]]+1):INDEX(Tasks[_LeafBudget],Tasks[[#This Row],[_Row]]+Tasks[[#This Row],[_Descendants]])),Tasks[[#This Row],[_LeafBudget]]))</f>
        <v/>
      </c>
      <c r="BC114" s="70" t="str">
        <f aca="false">IF(Tasks[[#This Row],[Task Name]]="","",IF(Tasks[[#This Row],[_IsSummary]],SUM(INDEX(Tasks[_LeafPV],Tasks[[#This Row],[_Row]]+1):INDEX(Tasks[_LeafPV],Tasks[[#This Row],[_Row]]+Tasks[[#This Row],[_Descendants]])),Tasks[[#This Row],[_LeafPV]]))</f>
        <v/>
      </c>
      <c r="BD114" s="70" t="str">
        <f aca="false">IF(Tasks[[#This Row],[Task Name]]="","",IF(Tasks[[#This Row],[_IsSummary]],SUM(INDEX(Tasks[_LeafAC],Tasks[[#This Row],[_Row]]+1):INDEX(Tasks[_LeafAC],Tasks[[#This Row],[_Row]]+Tasks[[#This Row],[_Descendants]])),Tasks[[#This Row],[_LeafAC]]))</f>
        <v/>
      </c>
      <c r="BE114" s="45" t="str">
        <f aca="false">IF(Tasks[[#This Row],[Task Name]]="","",MAX(1,N(Tasks[[#This Row],[Level]])))</f>
        <v/>
      </c>
      <c r="BF114" s="45" t="n">
        <f aca="false">ROW()-ROW(Tasks[[#Headers],[ID]])</f>
        <v>109</v>
      </c>
      <c r="BG114" s="45" t="n">
        <f aca="false">IF(OR(Tasks[[#This Row],[Task Name]]="",Tasks[[#This Row],[_Level]]&lt;=1),0,IFERROR(LOOKUP(2,1/(Tasks[[#Headers],[_Level]]:Tasks[[#This Row],[_Level]]=Tasks[[#This Row],[_Level]]-1),ROW(Tasks[[#Headers],[_Level]]:Tasks[[#This Row],[_Level]])),0))</f>
        <v>0</v>
      </c>
      <c r="BH114" s="45" t="n">
        <f aca="false">IFERROR(N(INDEX(Tasks[_Level],Tasks[[#This Row],[_Row]]+1)),0)</f>
        <v>0</v>
      </c>
      <c r="BI114" s="73" t="b">
        <f aca="false">AND(Tasks[[#This Row],[Task Name]]&lt;&gt;"",Tasks[[#This Row],[_NextLevel]]&gt;Tasks[[#This Row],[_Level]])</f>
        <v>0</v>
      </c>
      <c r="BJ114" s="45" t="n">
        <f aca="false">IF(Tasks[[#This Row],[_IsSummary]],COUNTIF(Tasks[WBS],Tasks[[#This Row],[WBS]]&amp;".*"),0)</f>
        <v>0</v>
      </c>
      <c r="BK114" s="45" t="n">
        <f aca="false">IF(AND(Tasks[[#This Row],[Task Name]]&lt;&gt;"",NOT(Tasks[[#This Row],[_IsSummary]])),1,0)</f>
        <v>0</v>
      </c>
      <c r="BL114" s="45" t="n">
        <f aca="false">IF(N(Tasks[[#This Row],[_Pred1UID]])=0,0,IFERROR(MATCH(Tasks[[#This Row],[_Pred1UID]],Tasks[UID],0),-1))</f>
        <v>0</v>
      </c>
      <c r="BM114" s="45" t="n">
        <f aca="false">IF(N(Tasks[[#This Row],[_Pred2UID]])=0,0,IFERROR(MATCH(Tasks[[#This Row],[_Pred2UID]],Tasks[UID],0),-1))</f>
        <v>0</v>
      </c>
      <c r="BN114" s="45" t="n">
        <f aca="false">IF(N(Tasks[[#This Row],[_Pred3UID]])=0,0,IFERROR(MATCH(Tasks[[#This Row],[_Pred3UID]],Tasks[UID],0),-1))</f>
        <v>0</v>
      </c>
      <c r="BO114" s="45" t="n">
        <f aca="false">IF(N(Tasks[[#This Row],[_Pred4UID]])=0,0,IFERROR(MATCH(Tasks[[#This Row],[_Pred4UID]],Tasks[UID],0),-1))</f>
        <v>0</v>
      </c>
      <c r="BP11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1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14" s="74" t="n">
        <f aca="false">IF(OR(Tasks[[#This Row],[_ConstraintCode]]=2,Tasks[[#This Row],[_ConstraintCode]]=3,Tasks[[#This Row],[_ConstraintCode]]=4,Tasks[[#This Row],[_ConstraintCode]]=6),Tasks[[#This Row],[_ConstraintStart]],0)</f>
        <v>0</v>
      </c>
      <c r="BS114" s="74" t="n">
        <f aca="false">IF(OR(Tasks[[#This Row],[_ConstraintCode]]=2,Tasks[[#This Row],[_ConstraintCode]]=3,Tasks[[#This Row],[_ConstraintCode]]=5,Tasks[[#This Row],[_ConstraintCode]]=7),Tasks[[#This Row],[_ConstraintStart]],2958465)</f>
        <v>2958465</v>
      </c>
      <c r="BT11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14" s="74" t="str">
        <f aca="false">IF(NOT(Tasks[[#This Row],[_IsLeaf]]=1),"",IF(N(Tasks[[#This Row],[Duration]])&lt;=0,Tasks[[#This Row],[_LeafCalcStart]],WORKDAY.INTL(Tasks[[#This Row],[_LeafCalcStart]],Tasks[[#This Row],[Duration]]-1,WorkWeek,Holidays)))</f>
        <v/>
      </c>
      <c r="BV11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1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14" s="45" t="str">
        <f aca="false">IF(Tasks[[#This Row],[Predecessors]]="","",TRIM(MID(SUBSTITUTE(SUBSTITUTE(SUBSTITUTE(UPPER(Tasks[[#This Row],[Predecessors]]),";",",")," ",""),",",REPT(" ",99)),1,99)))</f>
        <v/>
      </c>
      <c r="BY114" s="45" t="str">
        <f aca="false">IF(Tasks[[#This Row],[_Pred1Text]]="","",IFERROR(VALUE(LEFT(Tasks[[#This Row],[_Pred1Text]],MIN(FIND("F",Tasks[[#This Row],[_Pred1Text]]&amp;"F"),FIND("S",Tasks[[#This Row],[_Pred1Text]]&amp;"S"),FIND("+",Tasks[[#This Row],[_Pred1Text]]&amp;"+"),FIND("-",Tasks[[#This Row],[_Pred1Text]]&amp;"-"))-1)),""))</f>
        <v/>
      </c>
      <c r="BZ11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1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14" s="45" t="str">
        <f aca="false">IF(Tasks[[#This Row],[_Pred1Text]]="","",TRIM(MID(SUBSTITUTE(SUBSTITUTE(SUBSTITUTE(UPPER(Tasks[[#This Row],[Predecessors]]),";",",")," ",""),",",REPT(" ",99)),100,99)))</f>
        <v/>
      </c>
      <c r="CC114" s="45" t="str">
        <f aca="false">IF(Tasks[[#This Row],[_Pred2Text]]="","",IFERROR(VALUE(LEFT(Tasks[[#This Row],[_Pred2Text]],MIN(FIND("F",Tasks[[#This Row],[_Pred2Text]]&amp;"F"),FIND("S",Tasks[[#This Row],[_Pred2Text]]&amp;"S"),FIND("+",Tasks[[#This Row],[_Pred2Text]]&amp;"+"),FIND("-",Tasks[[#This Row],[_Pred2Text]]&amp;"-"))-1)),""))</f>
        <v/>
      </c>
      <c r="CD11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1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14" s="45" t="str">
        <f aca="false">IF(Tasks[[#This Row],[_Pred2Text]]="","",TRIM(MID(SUBSTITUTE(SUBSTITUTE(SUBSTITUTE(UPPER(Tasks[[#This Row],[Predecessors]]),";",",")," ",""),",",REPT(" ",99)),199,99)))</f>
        <v/>
      </c>
      <c r="CG114" s="45" t="str">
        <f aca="false">IF(Tasks[[#This Row],[_Pred3Text]]="","",IFERROR(VALUE(LEFT(Tasks[[#This Row],[_Pred3Text]],MIN(FIND("F",Tasks[[#This Row],[_Pred3Text]]&amp;"F"),FIND("S",Tasks[[#This Row],[_Pred3Text]]&amp;"S"),FIND("+",Tasks[[#This Row],[_Pred3Text]]&amp;"+"),FIND("-",Tasks[[#This Row],[_Pred3Text]]&amp;"-"))-1)),""))</f>
        <v/>
      </c>
      <c r="CH11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1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14" s="45" t="str">
        <f aca="false">IF(Tasks[[#This Row],[_Pred3Text]]="","",TRIM(MID(SUBSTITUTE(SUBSTITUTE(SUBSTITUTE(UPPER(Tasks[[#This Row],[Predecessors]]),";",",")," ",""),",",REPT(" ",99)),298,99)))</f>
        <v/>
      </c>
      <c r="CK114" s="45" t="str">
        <f aca="false">IF(Tasks[[#This Row],[_Pred4Text]]="","",IFERROR(VALUE(LEFT(Tasks[[#This Row],[_Pred4Text]],MIN(FIND("F",Tasks[[#This Row],[_Pred4Text]]&amp;"F"),FIND("S",Tasks[[#This Row],[_Pred4Text]]&amp;"S"),FIND("+",Tasks[[#This Row],[_Pred4Text]]&amp;"+"),FIND("-",Tasks[[#This Row],[_Pred4Text]]&amp;"-"))-1)),""))</f>
        <v/>
      </c>
      <c r="CL11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1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14" s="45" t="str">
        <f aca="false">IF(OR(Tasks[[#This Row],[Task Name]]="",Tasks[[#This Row],[Resources]]=""),"",TRIM(MID(SUBSTITUTE(Tasks[[#This Row],[Resources]],",",REPT(" ",99)),1,99)))</f>
        <v/>
      </c>
      <c r="CO114" s="45" t="str">
        <f aca="false">IF(Tasks[[#This Row],[_Res1Text]]="","",TRIM(MID(SUBSTITUTE(Tasks[[#This Row],[Resources]],",",REPT(" ",99)),100,99)))</f>
        <v/>
      </c>
      <c r="CP114" s="45" t="str">
        <f aca="false">IF(Tasks[[#This Row],[_Res2Text]]="","",TRIM(MID(SUBSTITUTE(Tasks[[#This Row],[Resources]],",",REPT(" ",99)),199,99)))</f>
        <v/>
      </c>
      <c r="CQ114" s="45" t="str">
        <f aca="false">IF(Tasks[[#This Row],[_Res3Text]]="","",TRIM(MID(SUBSTITUTE(Tasks[[#This Row],[Resources]],",",REPT(" ",99)),298,99)))</f>
        <v/>
      </c>
      <c r="CR11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1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4" s="45" t="n">
        <f aca="false">IF(NOT(Tasks[[#This Row],[_IsLeaf]]=1),0,(Tasks[[#This Row],[_Resource1]]&lt;&gt;"")+(Tasks[[#This Row],[_Res2]]&lt;&gt;"")+(Tasks[[#This Row],[_Res3]]&lt;&gt;"")+(Tasks[[#This Row],[_Res4]]&lt;&gt;""))</f>
        <v>0</v>
      </c>
      <c r="CU11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1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4" s="45" t="n">
        <f aca="false">IF(OR(NOT(Tasks[[#This Row],[_IsLeaf]]=1),Tasks[[#This Row],[_Res2]]=""),0,IF(ISNA(MATCH(Tasks[[#This Row],[_Res2]],res_Name,0)),0,N(Tasks[[#This Row],[Duration]])*HoursPerDay*IF(Tasks[[#This Row],[_Res2Units]]="",DefaultUnits,Tasks[[#This Row],[_Res2Units]])))</f>
        <v>0</v>
      </c>
      <c r="CX114" s="45" t="n">
        <f aca="false">IF(Tasks[[#This Row],[_Res2Work]]=0,0,Tasks[[#This Row],[_Res2Work]]*IFERROR(INDEX(res_Rate,MATCH(Tasks[[#This Row],[_Res2]],res_Name,0)),0))</f>
        <v>0</v>
      </c>
      <c r="CY114" s="45" t="n">
        <f aca="false">IF(AND(AND(Tasks[[#This Row],[_IsLeaf]]=1,Tasks[[#This Row],[_LeafTotalWork]]&gt;0),Tasks[[#This Row],[_Res2Work]]&gt;0),Tasks[[#This Row],[_Res2Work]]/(Tasks[[#This Row],[_FinishWorkday]]-Tasks[[#This Row],[_StartWorkday]]+1),0)</f>
        <v>0</v>
      </c>
      <c r="CZ114" s="45" t="n">
        <f aca="false">Tasks[[#This Row],[_Res2WorkPerWD]]*MAX(0,Tasks[[#This Row],[_StartWorkday]]-1)</f>
        <v>0</v>
      </c>
      <c r="DA114" s="45" t="n">
        <f aca="false">Tasks[[#This Row],[_Res2Work]]*Tasks[[#This Row],[_LeafProgress]]</f>
        <v>0</v>
      </c>
      <c r="DB114" s="45" t="n">
        <f aca="false">IF(Tasks[[#This Row],[_LeafTotalCost]]=0,0,Tasks[[#This Row],[_LeafAC]]*Tasks[[#This Row],[_Res2Cost]]/Tasks[[#This Row],[_LeafTotalCost]])</f>
        <v>0</v>
      </c>
      <c r="DC11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1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14" s="45" t="n">
        <f aca="false">IF(OR(NOT(Tasks[[#This Row],[_IsLeaf]]=1),Tasks[[#This Row],[_Res3]]=""),0,IF(ISNA(MATCH(Tasks[[#This Row],[_Res3]],res_Name,0)),0,N(Tasks[[#This Row],[Duration]])*HoursPerDay*IF(Tasks[[#This Row],[_Res3Units]]="",DefaultUnits,Tasks[[#This Row],[_Res3Units]])))</f>
        <v>0</v>
      </c>
      <c r="DF114" s="45" t="n">
        <f aca="false">IF(Tasks[[#This Row],[_Res3Work]]=0,0,Tasks[[#This Row],[_Res3Work]]*IFERROR(INDEX(res_Rate,MATCH(Tasks[[#This Row],[_Res3]],res_Name,0)),0))</f>
        <v>0</v>
      </c>
      <c r="DG114" s="45" t="n">
        <f aca="false">IF(AND(AND(Tasks[[#This Row],[_IsLeaf]]=1,Tasks[[#This Row],[_LeafTotalWork]]&gt;0),Tasks[[#This Row],[_Res3Work]]&gt;0),Tasks[[#This Row],[_Res3Work]]/(Tasks[[#This Row],[_FinishWorkday]]-Tasks[[#This Row],[_StartWorkday]]+1),0)</f>
        <v>0</v>
      </c>
      <c r="DH114" s="45" t="n">
        <f aca="false">Tasks[[#This Row],[_Res3WorkPerWD]]*MAX(0,Tasks[[#This Row],[_StartWorkday]]-1)</f>
        <v>0</v>
      </c>
      <c r="DI114" s="45" t="n">
        <f aca="false">Tasks[[#This Row],[_Res3Work]]*Tasks[[#This Row],[_LeafProgress]]</f>
        <v>0</v>
      </c>
      <c r="DJ114" s="45" t="n">
        <f aca="false">IF(Tasks[[#This Row],[_LeafTotalCost]]=0,0,Tasks[[#This Row],[_LeafAC]]*Tasks[[#This Row],[_Res3Cost]]/Tasks[[#This Row],[_LeafTotalCost]])</f>
        <v>0</v>
      </c>
      <c r="DK11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1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14" s="45" t="n">
        <f aca="false">IF(OR(NOT(Tasks[[#This Row],[_IsLeaf]]=1),Tasks[[#This Row],[_Res4]]=""),0,IF(ISNA(MATCH(Tasks[[#This Row],[_Res4]],res_Name,0)),0,N(Tasks[[#This Row],[Duration]])*HoursPerDay*IF(Tasks[[#This Row],[_Res4Units]]="",DefaultUnits,Tasks[[#This Row],[_Res4Units]])))</f>
        <v>0</v>
      </c>
      <c r="DN114" s="45" t="n">
        <f aca="false">IF(Tasks[[#This Row],[_Res4Work]]=0,0,Tasks[[#This Row],[_Res4Work]]*IFERROR(INDEX(res_Rate,MATCH(Tasks[[#This Row],[_Res4]],res_Name,0)),0))</f>
        <v>0</v>
      </c>
      <c r="DO114" s="45" t="n">
        <f aca="false">IF(AND(AND(Tasks[[#This Row],[_IsLeaf]]=1,Tasks[[#This Row],[_LeafTotalWork]]&gt;0),Tasks[[#This Row],[_Res4Work]]&gt;0),Tasks[[#This Row],[_Res4Work]]/(Tasks[[#This Row],[_FinishWorkday]]-Tasks[[#This Row],[_StartWorkday]]+1),0)</f>
        <v>0</v>
      </c>
      <c r="DP114" s="45" t="n">
        <f aca="false">Tasks[[#This Row],[_Res4WorkPerWD]]*MAX(0,Tasks[[#This Row],[_StartWorkday]]-1)</f>
        <v>0</v>
      </c>
      <c r="DQ114" s="45" t="n">
        <f aca="false">Tasks[[#This Row],[_Res4Work]]*Tasks[[#This Row],[_LeafProgress]]</f>
        <v>0</v>
      </c>
      <c r="DR114" s="45" t="n">
        <f aca="false">IF(Tasks[[#This Row],[_LeafTotalCost]]=0,0,Tasks[[#This Row],[_LeafAC]]*Tasks[[#This Row],[_Res4Cost]]/Tasks[[#This Row],[_LeafTotalCost]])</f>
        <v>0</v>
      </c>
      <c r="DS114" s="45" t="n">
        <f aca="false">IF(ISNUMBER(Tasks[[#This Row],[% Complete]]),Tasks[[#This Row],[% Complete]],IF(Tasks[[#This Row],[Stage]]="",0,IFERROR(INDEX(stg_Pct,MATCH(Tasks[[#This Row],[Stage]],stg_Name,0)),0)))</f>
        <v>0</v>
      </c>
      <c r="DT114" s="45" t="n">
        <f aca="false">IF(NOT(Tasks[[#This Row],[_IsLeaf]]=1),0,IF(N(Tasks[[#This Row],[Actual Finish]])&gt;0,1,MIN(1,Tasks[[#This Row],[_Pct]])))</f>
        <v>0</v>
      </c>
      <c r="DU114" s="45" t="n">
        <f aca="false">IF(OR(NOT(Tasks[[#This Row],[_IsLeaf]]=1),Tasks[[#This Row],[_Resource1]]=""),0,IF(ISNA(MATCH(Tasks[[#This Row],[_Resource1]],res_Name,0)),0,N(Tasks[[#This Row],[Duration]])*HoursPerDay*IF(Tasks[[#This Row],[_Units1]]="",DefaultUnits,Tasks[[#This Row],[_Units1]])))</f>
        <v>0</v>
      </c>
      <c r="DV114" s="45" t="n">
        <f aca="false">IF(Tasks[[#This Row],[_LeafWork]]=0,0,Tasks[[#This Row],[_LeafWork]]*IFERROR(INDEX(res_Rate,MATCH(Tasks[[#This Row],[_Resource1]],res_Name,0)),0))</f>
        <v>0</v>
      </c>
      <c r="DW114" s="45" t="n">
        <f aca="false">Tasks[[#This Row],[_LeafWork]]+Tasks[[#This Row],[_Res2Work]]+Tasks[[#This Row],[_Res3Work]]+Tasks[[#This Row],[_Res4Work]]</f>
        <v>0</v>
      </c>
      <c r="DX114" s="45" t="n">
        <f aca="false">Tasks[[#This Row],[_LeafCost]]+Tasks[[#This Row],[_Res2Cost]]+Tasks[[#This Row],[_Res3Cost]]+Tasks[[#This Row],[_Res4Cost]]</f>
        <v>0</v>
      </c>
      <c r="DY114" s="45" t="n">
        <f aca="false">IF(Tasks[[#This Row],[_LeafTotalCost]]=0,Tasks[[#This Row],[_LeafAC]],Tasks[[#This Row],[_LeafAC]]*Tasks[[#This Row],[_LeafCost]]/Tasks[[#This Row],[_LeafTotalCost]])</f>
        <v>0</v>
      </c>
      <c r="DZ11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1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1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1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1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1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1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1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14" s="45" t="n">
        <f aca="false">IF(NOT(Tasks[[#This Row],[_IsLeaf]]=1),0,MAX(_xlfn.MAXIFS(Tasks[_Row],Tasks[_Pred1UID],Tasks[[#This Row],[UID]]),_xlfn.MAXIFS(Tasks[_Row],Tasks[_Pred2UID],Tasks[[#This Row],[UID]]),_xlfn.MAXIFS(Tasks[_Row],Tasks[_Pred3UID],Tasks[[#This Row],[UID]]),_xlfn.MAXIFS(Tasks[_Row],Tasks[_Pred4UID],Tasks[[#This Row],[UID]])))</f>
        <v>0</v>
      </c>
      <c r="EI11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1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14" s="74" t="str">
        <f aca="false">IF(NOT(Tasks[[#This Row],[_IsLeaf]]=1),"",IF(N(Tasks[[#This Row],[Duration]])&lt;=0,Tasks[[#This Row],[_LeafLateFinish]],WORKDAY.INTL(Tasks[[#This Row],[_LeafLateFinish]],-(Tasks[[#This Row],[Duration]]-1),WorkWeek,Holidays)))</f>
        <v/>
      </c>
      <c r="EL11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14" s="73" t="b">
        <f aca="false">AND(Tasks[[#This Row],[_IsLeaf]]=1,Tasks[[#This Row],[_LeafProgress]]&lt;1,N(Tasks[[#This Row],[_LeafTotalSlack]])&lt;=CriticalSlackDays)</f>
        <v>0</v>
      </c>
      <c r="EN114" s="45" t="n">
        <f aca="false">IF(AND(Tasks[[#This Row],[_IsLeaf]]=1,Tasks[[#This Row],[_ConstraintCode]]=1,Tasks[[#This Row],[Mode]]&lt;&gt;"Manual",N(Tasks[[#This Row],[Actual Start]])=0),MAX(0,N(Tasks[[#This Row],[Free Slack]])),0)</f>
        <v>0</v>
      </c>
      <c r="EO114" s="74" t="str">
        <f aca="false">IF(NOT(Tasks[[#This Row],[_IsLeaf]]=1),"",IF(Tasks[[#This Row],[_AlapShift]]=0,Tasks[[#This Row],[_LeafCalcStart]],WORKDAY.INTL(Tasks[[#This Row],[_LeafCalcStart]],Tasks[[#This Row],[_AlapShift]],WorkWeek,Holidays)))</f>
        <v/>
      </c>
      <c r="EP114" s="74" t="str">
        <f aca="false">IF(NOT(Tasks[[#This Row],[_IsLeaf]]=1),"",IF(Tasks[[#This Row],[_AlapShift]]=0,Tasks[[#This Row],[_LeafCalcFinish]],WORKDAY.INTL(Tasks[[#This Row],[_LeafCalcFinish]],Tasks[[#This Row],[_AlapShift]],WorkWeek,Holidays)))</f>
        <v/>
      </c>
      <c r="EQ114" s="74" t="str">
        <f aca="false">IF(NOT(Tasks[[#This Row],[_IsLeaf]]=1),"",IF(Tasks[[#This Row],[_AlapShift]]=0,Tasks[[#This Row],[_LeafFcstStart]],WORKDAY.INTL(Tasks[[#This Row],[_LeafFcstStart]],Tasks[[#This Row],[_AlapShift]],WorkWeek,Holidays)))</f>
        <v/>
      </c>
      <c r="ER114" s="74" t="str">
        <f aca="false">IF(NOT(Tasks[[#This Row],[_IsLeaf]]=1),"",IF(Tasks[[#This Row],[_AlapShift]]=0,Tasks[[#This Row],[_LeafFcstFinish]],WORKDAY.INTL(Tasks[[#This Row],[_LeafFcstFinish]],Tasks[[#This Row],[_AlapShift]],WorkWeek,Holidays)))</f>
        <v/>
      </c>
      <c r="ES114" s="74" t="str">
        <f aca="false">IF(Tasks[[#This Row],[Task Name]]="","",IF(Tasks[[#This Row],[_IsSummary]],MIN(INDEX(Tasks[_ShownCalcStart],Tasks[[#This Row],[_Row]]+1):INDEX(Tasks[_ShownCalcStart],Tasks[[#This Row],[_Row]]+Tasks[[#This Row],[_Descendants]])),Tasks[[#This Row],[_ShownCalcStart]]))</f>
        <v/>
      </c>
      <c r="ET114" s="74" t="str">
        <f aca="false">IF(Tasks[[#This Row],[Task Name]]="","",IF(Tasks[[#This Row],[_IsSummary]],MAX(INDEX(Tasks[_ShownCalcFinish],Tasks[[#This Row],[_Row]]+1):INDEX(Tasks[_ShownCalcFinish],Tasks[[#This Row],[_Row]]+Tasks[[#This Row],[_Descendants]])),Tasks[[#This Row],[_ShownCalcFinish]]))</f>
        <v/>
      </c>
      <c r="EU11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1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1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1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1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1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1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1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1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1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1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1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14" s="45" t="n">
        <f aca="false">IF(AND(Tasks[[#This Row],[_IsLeaf]]=1,Tasks[[#This Row],[_LeafTotalWork]]&gt;0),NETWORKDAYS.INTL(ProjectStart,Tasks[[#This Row],[_ShownFcstStart]],WorkWeek,Holidays),0)</f>
        <v>0</v>
      </c>
      <c r="FH114" s="45" t="n">
        <f aca="false">IF(AND(Tasks[[#This Row],[_IsLeaf]]=1,Tasks[[#This Row],[_LeafTotalWork]]&gt;0),MAX(Tasks[[#This Row],[_StartWorkday]],NETWORKDAYS.INTL(ProjectStart,Tasks[[#This Row],[_ShownFcstFinish]],WorkWeek,Holidays)),0)</f>
        <v>0</v>
      </c>
      <c r="FI114" s="45" t="n">
        <f aca="false">IF(AND(Tasks[[#This Row],[_IsLeaf]]=1,Tasks[[#This Row],[_LeafTotalWork]]&gt;0),Tasks[[#This Row],[_LeafWork]]/(Tasks[[#This Row],[_FinishWorkday]]-Tasks[[#This Row],[_StartWorkday]]+1),0)</f>
        <v>0</v>
      </c>
      <c r="FJ114" s="45" t="n">
        <f aca="false">Tasks[[#This Row],[_WorkPerWorkday]]*(Tasks[[#This Row],[_StartWorkday]]-1)</f>
        <v>-0</v>
      </c>
      <c r="FK114" s="45" t="n">
        <f aca="false">IF(Tasks[[#This Row],[_IsLeaf]]=1,MAX(N(Tasks[[#This Row],[Duration]]),0.1),0)</f>
        <v>0</v>
      </c>
      <c r="FL114" s="45" t="n">
        <f aca="false">Tasks[[#This Row],[_WeightDur]]*Tasks[[#This Row],[_LeafProgress]]</f>
        <v>0</v>
      </c>
      <c r="FM11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14" s="45" t="str">
        <f aca="false">IF(AND(Tasks[[#This Row],[_IsLeaf]]=1,N(Tasks[[#This Row],[Duration]])=0,Tasks[[#This Row],[_LeafProgress]]&lt;1),Tasks[[#This Row],[_ShownFcstFinish]]+Tasks[[#This Row],[_Row]]/100000,"")</f>
        <v/>
      </c>
      <c r="FO11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14" s="45" t="n">
        <f aca="false">IF(NOT(Tasks[[#This Row],[_IsLeaf]]=1),0,IF(Tasks[[#This Row],[Baseline Cost]]="",Tasks[[#This Row],[_LeafTotalCost]],N(Tasks[[#This Row],[Baseline Cost]])))</f>
        <v>0</v>
      </c>
      <c r="FQ114" s="45" t="n">
        <f aca="false">Tasks[[#This Row],[_LeafBudget]]*Tasks[[#This Row],[_PlannedPct]]</f>
        <v>0</v>
      </c>
      <c r="FR114" s="45" t="n">
        <f aca="false">Tasks[[#This Row],[_LeafBudget]]*Tasks[[#This Row],[_LeafProgress]]</f>
        <v>0</v>
      </c>
      <c r="FS114" s="45" t="n">
        <f aca="false">IF(NOT(Tasks[[#This Row],[_IsLeaf]]=1),0,IF(Tasks[[#This Row],[Actual Cost]]="",Tasks[[#This Row],[_LeafTotalCost]]*Tasks[[#This Row],[_LeafProgress]],N(Tasks[[#This Row],[Actual Cost]])))</f>
        <v>0</v>
      </c>
      <c r="FT114" s="45" t="str">
        <f aca="false">IF(Tasks[[#This Row],[Task Name]]="","",LEFT(Tasks[[#This Row],[WBS]],FIND(".",Tasks[[#This Row],[WBS]]&amp;".")-1))</f>
        <v/>
      </c>
      <c r="FU114" s="45" t="str">
        <f aca="false">IF(AND(Tasks[[#This Row],[Task Name]]&lt;&gt;"",Tasks[[#This Row],[_Level]]=1),Tasks[[#This Row],[_Row]],"")</f>
        <v/>
      </c>
      <c r="FV114" s="45" t="str">
        <f aca="false">IF(AND(Tasks[[#This Row],[_IsLeaf]]=1,N(Tasks[[#This Row],[Duration]])=0),Tasks[[#This Row],[Planned Finish]]+Tasks[[#This Row],[_Row]]/100000,"")</f>
        <v/>
      </c>
      <c r="FW114" s="45" t="str">
        <f aca="false">IF(AND(Tasks[[#This Row],[_IsLeaf]]=1,Tasks[[#This Row],[_LeafProgress]]&lt;1,OR(N(Tasks[[#This Row],[Finish Var]])&gt;0,Tasks[[#This Row],[Status]]="Late Start")),MAX(0,Tasks[[#This Row],[Finish Var]])+1-Tasks[[#This Row],[_Row]]/1000000,"")</f>
        <v/>
      </c>
      <c r="FX114" s="45" t="str">
        <f aca="false">IF(AND(Tasks[[#This Row],[_IsLeaf]]=1,N(Tasks[[#This Row],[Actual Start]])=0,Tasks[[#This Row],[_ShownFcstStart]]&gt;=StatusDate,Tasks[[#This Row],[_ShownFcstStart]]&lt;=LookaheadEnd),Tasks[[#This Row],[_ShownFcstStart]]+Tasks[[#This Row],[_Row]]/100000,"")</f>
        <v/>
      </c>
      <c r="FY114" s="45" t="str">
        <f aca="false">IF(AND(Tasks[[#This Row],[_IsLeaf]]=1,Tasks[[#This Row],[_LeafProgress]]&lt;1,Tasks[[#This Row],[_ShownFcstFinish]]&gt;=StatusDate,Tasks[[#This Row],[_ShownFcstFinish]]&lt;=LookaheadEnd),Tasks[[#This Row],[_ShownFcstFinish]]+Tasks[[#This Row],[_Row]]/100000,"")</f>
        <v/>
      </c>
      <c r="FZ114" s="45" t="str">
        <f aca="false">IF(Tasks[[#This Row],[_LeafCritical]],Tasks[[#This Row],[_ShownFcstStart]]+Tasks[[#This Row],[_Row]]/100000,"")</f>
        <v/>
      </c>
      <c r="GA114" s="45" t="n">
        <f aca="false">Tasks[[#This Row],[_LeafWork]]*Tasks[[#This Row],[_LeafProgress]]</f>
        <v>0</v>
      </c>
      <c r="GB114" s="74" t="str">
        <f aca="false">IF(AND(Tasks[[#This Row],[_IsLeaf]]=1,Tasks[[#This Row],[_LeafProgress]]&gt;=1),IF(N(Tasks[[#This Row],[Actual Finish]])&gt;0,Tasks[[#This Row],[Actual Finish]],Tasks[[#This Row],[_ShownFcstFinish]]),"")</f>
        <v/>
      </c>
    </row>
    <row r="115" customFormat="false" ht="15" hidden="false" customHeight="false" outlineLevel="0" collapsed="false">
      <c r="A115" s="67" t="str">
        <f aca="false">IF(Tasks[[#This Row],[Task Name]]="","",COUNTA(Tasks[[#Headers],[Task Name]]:Tasks[[#This Row],[Task Name]])-1)</f>
        <v/>
      </c>
      <c r="B115" s="21" t="n">
        <v>110</v>
      </c>
      <c r="C11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21"/>
      <c r="E115" s="22"/>
      <c r="F115" s="21"/>
      <c r="G115" s="22"/>
      <c r="H115" s="22"/>
      <c r="I115" s="22"/>
      <c r="J115" s="7"/>
      <c r="K115" s="7"/>
      <c r="L115" s="22"/>
      <c r="M115" s="58" t="str">
        <f aca="false">IF(Tasks[[#This Row],[Task Name]]="","",IF(Tasks[[#This Row],[_IsSummary]],MIN(INDEX(Tasks[_ShownFcstStart],Tasks[[#This Row],[_Row]]+1):INDEX(Tasks[_ShownFcstStart],Tasks[[#This Row],[_Row]]+Tasks[[#This Row],[_Descendants]])),Tasks[[#This Row],[_ShownFcstStart]]))</f>
        <v/>
      </c>
      <c r="N115" s="58" t="str">
        <f aca="false">IF(Tasks[[#This Row],[Task Name]]="","",IF(Tasks[[#This Row],[_IsSummary]],MAX(INDEX(Tasks[_ShownFcstFinish],Tasks[[#This Row],[_Row]]+1):INDEX(Tasks[_ShownFcstFinish],Tasks[[#This Row],[_Row]]+Tasks[[#This Row],[_Descendants]])),Tasks[[#This Row],[_ShownFcstFinish]]))</f>
        <v/>
      </c>
      <c r="O115" s="20" t="str">
        <f aca="false">IF(Tasks[[#This Row],[Task Name]]="","",IF(Tasks[[#This Row],[Progress]]&gt;=1,"Complete",IF(OR(N(Tasks[[#This Row],[Actual Start]])&gt;0,Tasks[[#This Row],[Progress]]&gt;0),IF(Tasks[[#This Row],[Finish Var]]&gt;0,"Behind","In Progress"),IF(Tasks[[#This Row],[Planned Start]]&lt;StatusDate,"Late Start","Not Started"))))</f>
        <v/>
      </c>
      <c r="P115" s="20" t="str">
        <f aca="false">IF(Tasks[[#This Row],[Task Name]]="","",IF(IF(Tasks[[#This Row],[_IsSummary]],COUNTIF(INDEX(Tasks[_LeafCritical],Tasks[[#This Row],[_Row]]+1):INDEX(Tasks[_LeafCritical],Tasks[[#This Row],[_Row]]+Tasks[[#This Row],[_Descendants]]),TRUE())&gt;0,Tasks[[#This Row],[_LeafCritical]]),"Yes",""))</f>
        <v/>
      </c>
      <c r="Q11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15" s="67" t="str">
        <f aca="false">IF(Tasks[[#This Row],[Task Name]]="","",IF(Tasks[[#This Row],[_Level]]&lt;=OutlineShowLevel,"Yes","No"))</f>
        <v/>
      </c>
      <c r="S115" s="7"/>
      <c r="T115" s="21"/>
      <c r="U115" s="22"/>
      <c r="V115" s="7"/>
      <c r="W115" s="67" t="str">
        <f aca="false">IF(Tasks[[#This Row],[Task Name]]="","",IF(Tasks[[#This Row],[Finish]]&gt;=Tasks[[#This Row],[Planned Finish]],NETWORKDAYS.INTL(Tasks[[#This Row],[Planned Finish]],Tasks[[#This Row],[Finish]],WorkWeek,Holidays)-1,1-NETWORKDAYS.INTL(Tasks[[#This Row],[Finish]],Tasks[[#This Row],[Planned Finish]],WorkWeek,Holidays)))</f>
        <v/>
      </c>
      <c r="X115" s="58" t="str">
        <f aca="false">IF(Tasks[[#This Row],[Task Name]]="","",IF(N(Tasks[[#This Row],[Baseline Start]])&gt;0,Tasks[[#This Row],[Baseline Start]],Tasks[[#This Row],[_CalcStart]]))</f>
        <v/>
      </c>
      <c r="Y115" s="58" t="str">
        <f aca="false">IF(Tasks[[#This Row],[Task Name]]="","",IF(N(Tasks[[#This Row],[Baseline Finish]])&gt;0,Tasks[[#This Row],[Baseline Finish]],Tasks[[#This Row],[_CalcFinish]]))</f>
        <v/>
      </c>
      <c r="Z115" s="67" t="str">
        <f aca="false">IF(Tasks[[#This Row],[Task Name]]="","",IF(Tasks[[#This Row],[Start]]&gt;=Tasks[[#This Row],[Planned Start]],NETWORKDAYS.INTL(Tasks[[#This Row],[Planned Start]],Tasks[[#This Row],[Start]],WorkWeek,Holidays)-1,1-NETWORKDAYS.INTL(Tasks[[#This Row],[Start]],Tasks[[#This Row],[Planned Start]],WorkWeek,Holidays)))</f>
        <v/>
      </c>
      <c r="AA115" s="58" t="str">
        <f aca="false">IF(Tasks[[#This Row],[Task Name]]="","",IF(Tasks[[#This Row],[_IsSummary]],MIN(INDEX(Tasks[_LeafLateStart],Tasks[[#This Row],[_Row]]+1):INDEX(Tasks[_LeafLateStart],Tasks[[#This Row],[_Row]]+Tasks[[#This Row],[_Descendants]])),Tasks[[#This Row],[_LeafLateStart]]))</f>
        <v/>
      </c>
      <c r="AB115" s="58" t="str">
        <f aca="false">IF(Tasks[[#This Row],[Task Name]]="","",IF(Tasks[[#This Row],[_IsSummary]],MAX(INDEX(Tasks[_LeafLateFinish],Tasks[[#This Row],[_Row]]+1):INDEX(Tasks[_LeafLateFinish],Tasks[[#This Row],[_Row]]+Tasks[[#This Row],[_Descendants]])),Tasks[[#This Row],[_LeafLateFinish]]))</f>
        <v/>
      </c>
      <c r="AC115" s="67" t="str">
        <f aca="false">IF(Tasks[[#This Row],[Task Name]]="","",IF(Tasks[[#This Row],[_IsSummary]],MIN(INDEX(Tasks[_LeafTotalSlack],Tasks[[#This Row],[_Row]]+1):INDEX(Tasks[_LeafTotalSlack],Tasks[[#This Row],[_Row]]+Tasks[[#This Row],[_Descendants]])),Tasks[[#This Row],[_LeafTotalSlack]]))</f>
        <v/>
      </c>
      <c r="AD11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1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1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15" s="60"/>
      <c r="AH11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1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15" s="69" t="str">
        <f aca="false">IF(Tasks[[#This Row],[Task Name]]="","",IF(Tasks[[#This Row],[_IsSummary]],SUM(INDEX(Tasks[_LeafTotalWork],Tasks[[#This Row],[_Row]]+1):INDEX(Tasks[_LeafTotalWork],Tasks[[#This Row],[_Row]]+Tasks[[#This Row],[_Descendants]])),Tasks[[#This Row],[_LeafTotalWork]]))</f>
        <v/>
      </c>
      <c r="AK11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15" s="70" t="str">
        <f aca="false">IF(Tasks[[#This Row],[Task Name]]="","",IF(Tasks[[#This Row],[_IsSummary]],SUM(INDEX(Tasks[_LeafTotalCost],Tasks[[#This Row],[_Row]]+1):INDEX(Tasks[_LeafTotalCost],Tasks[[#This Row],[_Row]]+Tasks[[#This Row],[_Descendants]])),Tasks[[#This Row],[_LeafTotalCost]]))</f>
        <v/>
      </c>
      <c r="AM115" s="71"/>
      <c r="AN115" s="20" t="str">
        <f aca="false">IF(OR(Tasks[[#This Row],[Task Name]]="",Tasks[[#This Row],[Baseline Duration]]=""),"",Tasks[[#This Row],[BL Source Duration]]-N(Tasks[[#This Row],[Baseline Duration]]))</f>
        <v/>
      </c>
      <c r="AO115" s="69" t="str">
        <f aca="false">IF(OR(Tasks[[#This Row],[Task Name]]="",Tasks[[#This Row],[Baseline Work]]=""),"",Tasks[[#This Row],[Work]]-N(Tasks[[#This Row],[Baseline Work]]))</f>
        <v/>
      </c>
      <c r="AP115" s="70" t="str">
        <f aca="false">IF(OR(Tasks[[#This Row],[Task Name]]="",Tasks[[#This Row],[Baseline Cost]]=""),"",Tasks[[#This Row],[Cost]]-N(Tasks[[#This Row],[Baseline Cost]]))</f>
        <v/>
      </c>
      <c r="AQ115" s="58" t="str">
        <f aca="false">IF(Tasks[[#This Row],[Task Name]]="","",Tasks[[#This Row],[Start]])</f>
        <v/>
      </c>
      <c r="AR115" s="58" t="str">
        <f aca="false">IF(Tasks[[#This Row],[Task Name]]="","",Tasks[[#This Row],[Finish]])</f>
        <v/>
      </c>
      <c r="AS115" s="67" t="str">
        <f aca="false">IF(Tasks[[#This Row],[Task Name]]="","",IF(Tasks[[#This Row],[_IsSummary]],NETWORKDAYS.INTL(Tasks[[#This Row],[Start]],Tasks[[#This Row],[Finish]],WorkWeek,Holidays),N(Tasks[[#This Row],[Duration]])))</f>
        <v/>
      </c>
      <c r="AT115" s="69" t="str">
        <f aca="false">IF(Tasks[[#This Row],[Task Name]]="","",Tasks[[#This Row],[Work]])</f>
        <v/>
      </c>
      <c r="AU115" s="70" t="str">
        <f aca="false">IF(Tasks[[#This Row],[Task Name]]="","",Tasks[[#This Row],[Cost]])</f>
        <v/>
      </c>
      <c r="AV115" s="7"/>
      <c r="AW115" s="7"/>
      <c r="AX115" s="21"/>
      <c r="AY115" s="72"/>
      <c r="AZ115" s="71"/>
      <c r="BA115" s="70" t="str">
        <f aca="false">IF(Tasks[[#This Row],[Task Name]]="","",IF(Tasks[[#This Row],[_IsSummary]],SUM(INDEX(Tasks[_LeafEV],Tasks[[#This Row],[_Row]]+1):INDEX(Tasks[_LeafEV],Tasks[[#This Row],[_Row]]+Tasks[[#This Row],[_Descendants]])),Tasks[[#This Row],[_LeafEV]]))</f>
        <v/>
      </c>
      <c r="BB115" s="70" t="str">
        <f aca="false">IF(Tasks[[#This Row],[Task Name]]="","",IF(Tasks[[#This Row],[_IsSummary]],SUM(INDEX(Tasks[_LeafBudget],Tasks[[#This Row],[_Row]]+1):INDEX(Tasks[_LeafBudget],Tasks[[#This Row],[_Row]]+Tasks[[#This Row],[_Descendants]])),Tasks[[#This Row],[_LeafBudget]]))</f>
        <v/>
      </c>
      <c r="BC115" s="70" t="str">
        <f aca="false">IF(Tasks[[#This Row],[Task Name]]="","",IF(Tasks[[#This Row],[_IsSummary]],SUM(INDEX(Tasks[_LeafPV],Tasks[[#This Row],[_Row]]+1):INDEX(Tasks[_LeafPV],Tasks[[#This Row],[_Row]]+Tasks[[#This Row],[_Descendants]])),Tasks[[#This Row],[_LeafPV]]))</f>
        <v/>
      </c>
      <c r="BD115" s="70" t="str">
        <f aca="false">IF(Tasks[[#This Row],[Task Name]]="","",IF(Tasks[[#This Row],[_IsSummary]],SUM(INDEX(Tasks[_LeafAC],Tasks[[#This Row],[_Row]]+1):INDEX(Tasks[_LeafAC],Tasks[[#This Row],[_Row]]+Tasks[[#This Row],[_Descendants]])),Tasks[[#This Row],[_LeafAC]]))</f>
        <v/>
      </c>
      <c r="BE115" s="45" t="str">
        <f aca="false">IF(Tasks[[#This Row],[Task Name]]="","",MAX(1,N(Tasks[[#This Row],[Level]])))</f>
        <v/>
      </c>
      <c r="BF115" s="45" t="n">
        <f aca="false">ROW()-ROW(Tasks[[#Headers],[ID]])</f>
        <v>110</v>
      </c>
      <c r="BG115" s="45" t="n">
        <f aca="false">IF(OR(Tasks[[#This Row],[Task Name]]="",Tasks[[#This Row],[_Level]]&lt;=1),0,IFERROR(LOOKUP(2,1/(Tasks[[#Headers],[_Level]]:Tasks[[#This Row],[_Level]]=Tasks[[#This Row],[_Level]]-1),ROW(Tasks[[#Headers],[_Level]]:Tasks[[#This Row],[_Level]])),0))</f>
        <v>0</v>
      </c>
      <c r="BH115" s="45" t="n">
        <f aca="false">IFERROR(N(INDEX(Tasks[_Level],Tasks[[#This Row],[_Row]]+1)),0)</f>
        <v>0</v>
      </c>
      <c r="BI115" s="73" t="b">
        <f aca="false">AND(Tasks[[#This Row],[Task Name]]&lt;&gt;"",Tasks[[#This Row],[_NextLevel]]&gt;Tasks[[#This Row],[_Level]])</f>
        <v>0</v>
      </c>
      <c r="BJ115" s="45" t="n">
        <f aca="false">IF(Tasks[[#This Row],[_IsSummary]],COUNTIF(Tasks[WBS],Tasks[[#This Row],[WBS]]&amp;".*"),0)</f>
        <v>0</v>
      </c>
      <c r="BK115" s="45" t="n">
        <f aca="false">IF(AND(Tasks[[#This Row],[Task Name]]&lt;&gt;"",NOT(Tasks[[#This Row],[_IsSummary]])),1,0)</f>
        <v>0</v>
      </c>
      <c r="BL115" s="45" t="n">
        <f aca="false">IF(N(Tasks[[#This Row],[_Pred1UID]])=0,0,IFERROR(MATCH(Tasks[[#This Row],[_Pred1UID]],Tasks[UID],0),-1))</f>
        <v>0</v>
      </c>
      <c r="BM115" s="45" t="n">
        <f aca="false">IF(N(Tasks[[#This Row],[_Pred2UID]])=0,0,IFERROR(MATCH(Tasks[[#This Row],[_Pred2UID]],Tasks[UID],0),-1))</f>
        <v>0</v>
      </c>
      <c r="BN115" s="45" t="n">
        <f aca="false">IF(N(Tasks[[#This Row],[_Pred3UID]])=0,0,IFERROR(MATCH(Tasks[[#This Row],[_Pred3UID]],Tasks[UID],0),-1))</f>
        <v>0</v>
      </c>
      <c r="BO115" s="45" t="n">
        <f aca="false">IF(N(Tasks[[#This Row],[_Pred4UID]])=0,0,IFERROR(MATCH(Tasks[[#This Row],[_Pred4UID]],Tasks[UID],0),-1))</f>
        <v>0</v>
      </c>
      <c r="BP11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1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15" s="74" t="n">
        <f aca="false">IF(OR(Tasks[[#This Row],[_ConstraintCode]]=2,Tasks[[#This Row],[_ConstraintCode]]=3,Tasks[[#This Row],[_ConstraintCode]]=4,Tasks[[#This Row],[_ConstraintCode]]=6),Tasks[[#This Row],[_ConstraintStart]],0)</f>
        <v>0</v>
      </c>
      <c r="BS115" s="74" t="n">
        <f aca="false">IF(OR(Tasks[[#This Row],[_ConstraintCode]]=2,Tasks[[#This Row],[_ConstraintCode]]=3,Tasks[[#This Row],[_ConstraintCode]]=5,Tasks[[#This Row],[_ConstraintCode]]=7),Tasks[[#This Row],[_ConstraintStart]],2958465)</f>
        <v>2958465</v>
      </c>
      <c r="BT11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15" s="74" t="str">
        <f aca="false">IF(NOT(Tasks[[#This Row],[_IsLeaf]]=1),"",IF(N(Tasks[[#This Row],[Duration]])&lt;=0,Tasks[[#This Row],[_LeafCalcStart]],WORKDAY.INTL(Tasks[[#This Row],[_LeafCalcStart]],Tasks[[#This Row],[Duration]]-1,WorkWeek,Holidays)))</f>
        <v/>
      </c>
      <c r="BV11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1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15" s="45" t="str">
        <f aca="false">IF(Tasks[[#This Row],[Predecessors]]="","",TRIM(MID(SUBSTITUTE(SUBSTITUTE(SUBSTITUTE(UPPER(Tasks[[#This Row],[Predecessors]]),";",",")," ",""),",",REPT(" ",99)),1,99)))</f>
        <v/>
      </c>
      <c r="BY115" s="45" t="str">
        <f aca="false">IF(Tasks[[#This Row],[_Pred1Text]]="","",IFERROR(VALUE(LEFT(Tasks[[#This Row],[_Pred1Text]],MIN(FIND("F",Tasks[[#This Row],[_Pred1Text]]&amp;"F"),FIND("S",Tasks[[#This Row],[_Pred1Text]]&amp;"S"),FIND("+",Tasks[[#This Row],[_Pred1Text]]&amp;"+"),FIND("-",Tasks[[#This Row],[_Pred1Text]]&amp;"-"))-1)),""))</f>
        <v/>
      </c>
      <c r="BZ11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1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15" s="45" t="str">
        <f aca="false">IF(Tasks[[#This Row],[_Pred1Text]]="","",TRIM(MID(SUBSTITUTE(SUBSTITUTE(SUBSTITUTE(UPPER(Tasks[[#This Row],[Predecessors]]),";",",")," ",""),",",REPT(" ",99)),100,99)))</f>
        <v/>
      </c>
      <c r="CC115" s="45" t="str">
        <f aca="false">IF(Tasks[[#This Row],[_Pred2Text]]="","",IFERROR(VALUE(LEFT(Tasks[[#This Row],[_Pred2Text]],MIN(FIND("F",Tasks[[#This Row],[_Pred2Text]]&amp;"F"),FIND("S",Tasks[[#This Row],[_Pred2Text]]&amp;"S"),FIND("+",Tasks[[#This Row],[_Pred2Text]]&amp;"+"),FIND("-",Tasks[[#This Row],[_Pred2Text]]&amp;"-"))-1)),""))</f>
        <v/>
      </c>
      <c r="CD11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1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15" s="45" t="str">
        <f aca="false">IF(Tasks[[#This Row],[_Pred2Text]]="","",TRIM(MID(SUBSTITUTE(SUBSTITUTE(SUBSTITUTE(UPPER(Tasks[[#This Row],[Predecessors]]),";",",")," ",""),",",REPT(" ",99)),199,99)))</f>
        <v/>
      </c>
      <c r="CG115" s="45" t="str">
        <f aca="false">IF(Tasks[[#This Row],[_Pred3Text]]="","",IFERROR(VALUE(LEFT(Tasks[[#This Row],[_Pred3Text]],MIN(FIND("F",Tasks[[#This Row],[_Pred3Text]]&amp;"F"),FIND("S",Tasks[[#This Row],[_Pred3Text]]&amp;"S"),FIND("+",Tasks[[#This Row],[_Pred3Text]]&amp;"+"),FIND("-",Tasks[[#This Row],[_Pred3Text]]&amp;"-"))-1)),""))</f>
        <v/>
      </c>
      <c r="CH11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1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15" s="45" t="str">
        <f aca="false">IF(Tasks[[#This Row],[_Pred3Text]]="","",TRIM(MID(SUBSTITUTE(SUBSTITUTE(SUBSTITUTE(UPPER(Tasks[[#This Row],[Predecessors]]),";",",")," ",""),",",REPT(" ",99)),298,99)))</f>
        <v/>
      </c>
      <c r="CK115" s="45" t="str">
        <f aca="false">IF(Tasks[[#This Row],[_Pred4Text]]="","",IFERROR(VALUE(LEFT(Tasks[[#This Row],[_Pred4Text]],MIN(FIND("F",Tasks[[#This Row],[_Pred4Text]]&amp;"F"),FIND("S",Tasks[[#This Row],[_Pred4Text]]&amp;"S"),FIND("+",Tasks[[#This Row],[_Pred4Text]]&amp;"+"),FIND("-",Tasks[[#This Row],[_Pred4Text]]&amp;"-"))-1)),""))</f>
        <v/>
      </c>
      <c r="CL11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1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15" s="45" t="str">
        <f aca="false">IF(OR(Tasks[[#This Row],[Task Name]]="",Tasks[[#This Row],[Resources]]=""),"",TRIM(MID(SUBSTITUTE(Tasks[[#This Row],[Resources]],",",REPT(" ",99)),1,99)))</f>
        <v/>
      </c>
      <c r="CO115" s="45" t="str">
        <f aca="false">IF(Tasks[[#This Row],[_Res1Text]]="","",TRIM(MID(SUBSTITUTE(Tasks[[#This Row],[Resources]],",",REPT(" ",99)),100,99)))</f>
        <v/>
      </c>
      <c r="CP115" s="45" t="str">
        <f aca="false">IF(Tasks[[#This Row],[_Res2Text]]="","",TRIM(MID(SUBSTITUTE(Tasks[[#This Row],[Resources]],",",REPT(" ",99)),199,99)))</f>
        <v/>
      </c>
      <c r="CQ115" s="45" t="str">
        <f aca="false">IF(Tasks[[#This Row],[_Res3Text]]="","",TRIM(MID(SUBSTITUTE(Tasks[[#This Row],[Resources]],",",REPT(" ",99)),298,99)))</f>
        <v/>
      </c>
      <c r="CR11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1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5" s="45" t="n">
        <f aca="false">IF(NOT(Tasks[[#This Row],[_IsLeaf]]=1),0,(Tasks[[#This Row],[_Resource1]]&lt;&gt;"")+(Tasks[[#This Row],[_Res2]]&lt;&gt;"")+(Tasks[[#This Row],[_Res3]]&lt;&gt;"")+(Tasks[[#This Row],[_Res4]]&lt;&gt;""))</f>
        <v>0</v>
      </c>
      <c r="CU11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1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5" s="45" t="n">
        <f aca="false">IF(OR(NOT(Tasks[[#This Row],[_IsLeaf]]=1),Tasks[[#This Row],[_Res2]]=""),0,IF(ISNA(MATCH(Tasks[[#This Row],[_Res2]],res_Name,0)),0,N(Tasks[[#This Row],[Duration]])*HoursPerDay*IF(Tasks[[#This Row],[_Res2Units]]="",DefaultUnits,Tasks[[#This Row],[_Res2Units]])))</f>
        <v>0</v>
      </c>
      <c r="CX115" s="45" t="n">
        <f aca="false">IF(Tasks[[#This Row],[_Res2Work]]=0,0,Tasks[[#This Row],[_Res2Work]]*IFERROR(INDEX(res_Rate,MATCH(Tasks[[#This Row],[_Res2]],res_Name,0)),0))</f>
        <v>0</v>
      </c>
      <c r="CY115" s="45" t="n">
        <f aca="false">IF(AND(AND(Tasks[[#This Row],[_IsLeaf]]=1,Tasks[[#This Row],[_LeafTotalWork]]&gt;0),Tasks[[#This Row],[_Res2Work]]&gt;0),Tasks[[#This Row],[_Res2Work]]/(Tasks[[#This Row],[_FinishWorkday]]-Tasks[[#This Row],[_StartWorkday]]+1),0)</f>
        <v>0</v>
      </c>
      <c r="CZ115" s="45" t="n">
        <f aca="false">Tasks[[#This Row],[_Res2WorkPerWD]]*MAX(0,Tasks[[#This Row],[_StartWorkday]]-1)</f>
        <v>0</v>
      </c>
      <c r="DA115" s="45" t="n">
        <f aca="false">Tasks[[#This Row],[_Res2Work]]*Tasks[[#This Row],[_LeafProgress]]</f>
        <v>0</v>
      </c>
      <c r="DB115" s="45" t="n">
        <f aca="false">IF(Tasks[[#This Row],[_LeafTotalCost]]=0,0,Tasks[[#This Row],[_LeafAC]]*Tasks[[#This Row],[_Res2Cost]]/Tasks[[#This Row],[_LeafTotalCost]])</f>
        <v>0</v>
      </c>
      <c r="DC11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1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15" s="45" t="n">
        <f aca="false">IF(OR(NOT(Tasks[[#This Row],[_IsLeaf]]=1),Tasks[[#This Row],[_Res3]]=""),0,IF(ISNA(MATCH(Tasks[[#This Row],[_Res3]],res_Name,0)),0,N(Tasks[[#This Row],[Duration]])*HoursPerDay*IF(Tasks[[#This Row],[_Res3Units]]="",DefaultUnits,Tasks[[#This Row],[_Res3Units]])))</f>
        <v>0</v>
      </c>
      <c r="DF115" s="45" t="n">
        <f aca="false">IF(Tasks[[#This Row],[_Res3Work]]=0,0,Tasks[[#This Row],[_Res3Work]]*IFERROR(INDEX(res_Rate,MATCH(Tasks[[#This Row],[_Res3]],res_Name,0)),0))</f>
        <v>0</v>
      </c>
      <c r="DG115" s="45" t="n">
        <f aca="false">IF(AND(AND(Tasks[[#This Row],[_IsLeaf]]=1,Tasks[[#This Row],[_LeafTotalWork]]&gt;0),Tasks[[#This Row],[_Res3Work]]&gt;0),Tasks[[#This Row],[_Res3Work]]/(Tasks[[#This Row],[_FinishWorkday]]-Tasks[[#This Row],[_StartWorkday]]+1),0)</f>
        <v>0</v>
      </c>
      <c r="DH115" s="45" t="n">
        <f aca="false">Tasks[[#This Row],[_Res3WorkPerWD]]*MAX(0,Tasks[[#This Row],[_StartWorkday]]-1)</f>
        <v>0</v>
      </c>
      <c r="DI115" s="45" t="n">
        <f aca="false">Tasks[[#This Row],[_Res3Work]]*Tasks[[#This Row],[_LeafProgress]]</f>
        <v>0</v>
      </c>
      <c r="DJ115" s="45" t="n">
        <f aca="false">IF(Tasks[[#This Row],[_LeafTotalCost]]=0,0,Tasks[[#This Row],[_LeafAC]]*Tasks[[#This Row],[_Res3Cost]]/Tasks[[#This Row],[_LeafTotalCost]])</f>
        <v>0</v>
      </c>
      <c r="DK11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1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15" s="45" t="n">
        <f aca="false">IF(OR(NOT(Tasks[[#This Row],[_IsLeaf]]=1),Tasks[[#This Row],[_Res4]]=""),0,IF(ISNA(MATCH(Tasks[[#This Row],[_Res4]],res_Name,0)),0,N(Tasks[[#This Row],[Duration]])*HoursPerDay*IF(Tasks[[#This Row],[_Res4Units]]="",DefaultUnits,Tasks[[#This Row],[_Res4Units]])))</f>
        <v>0</v>
      </c>
      <c r="DN115" s="45" t="n">
        <f aca="false">IF(Tasks[[#This Row],[_Res4Work]]=0,0,Tasks[[#This Row],[_Res4Work]]*IFERROR(INDEX(res_Rate,MATCH(Tasks[[#This Row],[_Res4]],res_Name,0)),0))</f>
        <v>0</v>
      </c>
      <c r="DO115" s="45" t="n">
        <f aca="false">IF(AND(AND(Tasks[[#This Row],[_IsLeaf]]=1,Tasks[[#This Row],[_LeafTotalWork]]&gt;0),Tasks[[#This Row],[_Res4Work]]&gt;0),Tasks[[#This Row],[_Res4Work]]/(Tasks[[#This Row],[_FinishWorkday]]-Tasks[[#This Row],[_StartWorkday]]+1),0)</f>
        <v>0</v>
      </c>
      <c r="DP115" s="45" t="n">
        <f aca="false">Tasks[[#This Row],[_Res4WorkPerWD]]*MAX(0,Tasks[[#This Row],[_StartWorkday]]-1)</f>
        <v>0</v>
      </c>
      <c r="DQ115" s="45" t="n">
        <f aca="false">Tasks[[#This Row],[_Res4Work]]*Tasks[[#This Row],[_LeafProgress]]</f>
        <v>0</v>
      </c>
      <c r="DR115" s="45" t="n">
        <f aca="false">IF(Tasks[[#This Row],[_LeafTotalCost]]=0,0,Tasks[[#This Row],[_LeafAC]]*Tasks[[#This Row],[_Res4Cost]]/Tasks[[#This Row],[_LeafTotalCost]])</f>
        <v>0</v>
      </c>
      <c r="DS115" s="45" t="n">
        <f aca="false">IF(ISNUMBER(Tasks[[#This Row],[% Complete]]),Tasks[[#This Row],[% Complete]],IF(Tasks[[#This Row],[Stage]]="",0,IFERROR(INDEX(stg_Pct,MATCH(Tasks[[#This Row],[Stage]],stg_Name,0)),0)))</f>
        <v>0</v>
      </c>
      <c r="DT115" s="45" t="n">
        <f aca="false">IF(NOT(Tasks[[#This Row],[_IsLeaf]]=1),0,IF(N(Tasks[[#This Row],[Actual Finish]])&gt;0,1,MIN(1,Tasks[[#This Row],[_Pct]])))</f>
        <v>0</v>
      </c>
      <c r="DU115" s="45" t="n">
        <f aca="false">IF(OR(NOT(Tasks[[#This Row],[_IsLeaf]]=1),Tasks[[#This Row],[_Resource1]]=""),0,IF(ISNA(MATCH(Tasks[[#This Row],[_Resource1]],res_Name,0)),0,N(Tasks[[#This Row],[Duration]])*HoursPerDay*IF(Tasks[[#This Row],[_Units1]]="",DefaultUnits,Tasks[[#This Row],[_Units1]])))</f>
        <v>0</v>
      </c>
      <c r="DV115" s="45" t="n">
        <f aca="false">IF(Tasks[[#This Row],[_LeafWork]]=0,0,Tasks[[#This Row],[_LeafWork]]*IFERROR(INDEX(res_Rate,MATCH(Tasks[[#This Row],[_Resource1]],res_Name,0)),0))</f>
        <v>0</v>
      </c>
      <c r="DW115" s="45" t="n">
        <f aca="false">Tasks[[#This Row],[_LeafWork]]+Tasks[[#This Row],[_Res2Work]]+Tasks[[#This Row],[_Res3Work]]+Tasks[[#This Row],[_Res4Work]]</f>
        <v>0</v>
      </c>
      <c r="DX115" s="45" t="n">
        <f aca="false">Tasks[[#This Row],[_LeafCost]]+Tasks[[#This Row],[_Res2Cost]]+Tasks[[#This Row],[_Res3Cost]]+Tasks[[#This Row],[_Res4Cost]]</f>
        <v>0</v>
      </c>
      <c r="DY115" s="45" t="n">
        <f aca="false">IF(Tasks[[#This Row],[_LeafTotalCost]]=0,Tasks[[#This Row],[_LeafAC]],Tasks[[#This Row],[_LeafAC]]*Tasks[[#This Row],[_LeafCost]]/Tasks[[#This Row],[_LeafTotalCost]])</f>
        <v>0</v>
      </c>
      <c r="DZ11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1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1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1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1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1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1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1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15" s="45" t="n">
        <f aca="false">IF(NOT(Tasks[[#This Row],[_IsLeaf]]=1),0,MAX(_xlfn.MAXIFS(Tasks[_Row],Tasks[_Pred1UID],Tasks[[#This Row],[UID]]),_xlfn.MAXIFS(Tasks[_Row],Tasks[_Pred2UID],Tasks[[#This Row],[UID]]),_xlfn.MAXIFS(Tasks[_Row],Tasks[_Pred3UID],Tasks[[#This Row],[UID]]),_xlfn.MAXIFS(Tasks[_Row],Tasks[_Pred4UID],Tasks[[#This Row],[UID]])))</f>
        <v>0</v>
      </c>
      <c r="EI11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1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15" s="74" t="str">
        <f aca="false">IF(NOT(Tasks[[#This Row],[_IsLeaf]]=1),"",IF(N(Tasks[[#This Row],[Duration]])&lt;=0,Tasks[[#This Row],[_LeafLateFinish]],WORKDAY.INTL(Tasks[[#This Row],[_LeafLateFinish]],-(Tasks[[#This Row],[Duration]]-1),WorkWeek,Holidays)))</f>
        <v/>
      </c>
      <c r="EL11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15" s="73" t="b">
        <f aca="false">AND(Tasks[[#This Row],[_IsLeaf]]=1,Tasks[[#This Row],[_LeafProgress]]&lt;1,N(Tasks[[#This Row],[_LeafTotalSlack]])&lt;=CriticalSlackDays)</f>
        <v>0</v>
      </c>
      <c r="EN115" s="45" t="n">
        <f aca="false">IF(AND(Tasks[[#This Row],[_IsLeaf]]=1,Tasks[[#This Row],[_ConstraintCode]]=1,Tasks[[#This Row],[Mode]]&lt;&gt;"Manual",N(Tasks[[#This Row],[Actual Start]])=0),MAX(0,N(Tasks[[#This Row],[Free Slack]])),0)</f>
        <v>0</v>
      </c>
      <c r="EO115" s="74" t="str">
        <f aca="false">IF(NOT(Tasks[[#This Row],[_IsLeaf]]=1),"",IF(Tasks[[#This Row],[_AlapShift]]=0,Tasks[[#This Row],[_LeafCalcStart]],WORKDAY.INTL(Tasks[[#This Row],[_LeafCalcStart]],Tasks[[#This Row],[_AlapShift]],WorkWeek,Holidays)))</f>
        <v/>
      </c>
      <c r="EP115" s="74" t="str">
        <f aca="false">IF(NOT(Tasks[[#This Row],[_IsLeaf]]=1),"",IF(Tasks[[#This Row],[_AlapShift]]=0,Tasks[[#This Row],[_LeafCalcFinish]],WORKDAY.INTL(Tasks[[#This Row],[_LeafCalcFinish]],Tasks[[#This Row],[_AlapShift]],WorkWeek,Holidays)))</f>
        <v/>
      </c>
      <c r="EQ115" s="74" t="str">
        <f aca="false">IF(NOT(Tasks[[#This Row],[_IsLeaf]]=1),"",IF(Tasks[[#This Row],[_AlapShift]]=0,Tasks[[#This Row],[_LeafFcstStart]],WORKDAY.INTL(Tasks[[#This Row],[_LeafFcstStart]],Tasks[[#This Row],[_AlapShift]],WorkWeek,Holidays)))</f>
        <v/>
      </c>
      <c r="ER115" s="74" t="str">
        <f aca="false">IF(NOT(Tasks[[#This Row],[_IsLeaf]]=1),"",IF(Tasks[[#This Row],[_AlapShift]]=0,Tasks[[#This Row],[_LeafFcstFinish]],WORKDAY.INTL(Tasks[[#This Row],[_LeafFcstFinish]],Tasks[[#This Row],[_AlapShift]],WorkWeek,Holidays)))</f>
        <v/>
      </c>
      <c r="ES115" s="74" t="str">
        <f aca="false">IF(Tasks[[#This Row],[Task Name]]="","",IF(Tasks[[#This Row],[_IsSummary]],MIN(INDEX(Tasks[_ShownCalcStart],Tasks[[#This Row],[_Row]]+1):INDEX(Tasks[_ShownCalcStart],Tasks[[#This Row],[_Row]]+Tasks[[#This Row],[_Descendants]])),Tasks[[#This Row],[_ShownCalcStart]]))</f>
        <v/>
      </c>
      <c r="ET115" s="74" t="str">
        <f aca="false">IF(Tasks[[#This Row],[Task Name]]="","",IF(Tasks[[#This Row],[_IsSummary]],MAX(INDEX(Tasks[_ShownCalcFinish],Tasks[[#This Row],[_Row]]+1):INDEX(Tasks[_ShownCalcFinish],Tasks[[#This Row],[_Row]]+Tasks[[#This Row],[_Descendants]])),Tasks[[#This Row],[_ShownCalcFinish]]))</f>
        <v/>
      </c>
      <c r="EU11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1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1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1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1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1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1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1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1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1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1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1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15" s="45" t="n">
        <f aca="false">IF(AND(Tasks[[#This Row],[_IsLeaf]]=1,Tasks[[#This Row],[_LeafTotalWork]]&gt;0),NETWORKDAYS.INTL(ProjectStart,Tasks[[#This Row],[_ShownFcstStart]],WorkWeek,Holidays),0)</f>
        <v>0</v>
      </c>
      <c r="FH115" s="45" t="n">
        <f aca="false">IF(AND(Tasks[[#This Row],[_IsLeaf]]=1,Tasks[[#This Row],[_LeafTotalWork]]&gt;0),MAX(Tasks[[#This Row],[_StartWorkday]],NETWORKDAYS.INTL(ProjectStart,Tasks[[#This Row],[_ShownFcstFinish]],WorkWeek,Holidays)),0)</f>
        <v>0</v>
      </c>
      <c r="FI115" s="45" t="n">
        <f aca="false">IF(AND(Tasks[[#This Row],[_IsLeaf]]=1,Tasks[[#This Row],[_LeafTotalWork]]&gt;0),Tasks[[#This Row],[_LeafWork]]/(Tasks[[#This Row],[_FinishWorkday]]-Tasks[[#This Row],[_StartWorkday]]+1),0)</f>
        <v>0</v>
      </c>
      <c r="FJ115" s="45" t="n">
        <f aca="false">Tasks[[#This Row],[_WorkPerWorkday]]*(Tasks[[#This Row],[_StartWorkday]]-1)</f>
        <v>-0</v>
      </c>
      <c r="FK115" s="45" t="n">
        <f aca="false">IF(Tasks[[#This Row],[_IsLeaf]]=1,MAX(N(Tasks[[#This Row],[Duration]]),0.1),0)</f>
        <v>0</v>
      </c>
      <c r="FL115" s="45" t="n">
        <f aca="false">Tasks[[#This Row],[_WeightDur]]*Tasks[[#This Row],[_LeafProgress]]</f>
        <v>0</v>
      </c>
      <c r="FM11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15" s="45" t="str">
        <f aca="false">IF(AND(Tasks[[#This Row],[_IsLeaf]]=1,N(Tasks[[#This Row],[Duration]])=0,Tasks[[#This Row],[_LeafProgress]]&lt;1),Tasks[[#This Row],[_ShownFcstFinish]]+Tasks[[#This Row],[_Row]]/100000,"")</f>
        <v/>
      </c>
      <c r="FO11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15" s="45" t="n">
        <f aca="false">IF(NOT(Tasks[[#This Row],[_IsLeaf]]=1),0,IF(Tasks[[#This Row],[Baseline Cost]]="",Tasks[[#This Row],[_LeafTotalCost]],N(Tasks[[#This Row],[Baseline Cost]])))</f>
        <v>0</v>
      </c>
      <c r="FQ115" s="45" t="n">
        <f aca="false">Tasks[[#This Row],[_LeafBudget]]*Tasks[[#This Row],[_PlannedPct]]</f>
        <v>0</v>
      </c>
      <c r="FR115" s="45" t="n">
        <f aca="false">Tasks[[#This Row],[_LeafBudget]]*Tasks[[#This Row],[_LeafProgress]]</f>
        <v>0</v>
      </c>
      <c r="FS115" s="45" t="n">
        <f aca="false">IF(NOT(Tasks[[#This Row],[_IsLeaf]]=1),0,IF(Tasks[[#This Row],[Actual Cost]]="",Tasks[[#This Row],[_LeafTotalCost]]*Tasks[[#This Row],[_LeafProgress]],N(Tasks[[#This Row],[Actual Cost]])))</f>
        <v>0</v>
      </c>
      <c r="FT115" s="45" t="str">
        <f aca="false">IF(Tasks[[#This Row],[Task Name]]="","",LEFT(Tasks[[#This Row],[WBS]],FIND(".",Tasks[[#This Row],[WBS]]&amp;".")-1))</f>
        <v/>
      </c>
      <c r="FU115" s="45" t="str">
        <f aca="false">IF(AND(Tasks[[#This Row],[Task Name]]&lt;&gt;"",Tasks[[#This Row],[_Level]]=1),Tasks[[#This Row],[_Row]],"")</f>
        <v/>
      </c>
      <c r="FV115" s="45" t="str">
        <f aca="false">IF(AND(Tasks[[#This Row],[_IsLeaf]]=1,N(Tasks[[#This Row],[Duration]])=0),Tasks[[#This Row],[Planned Finish]]+Tasks[[#This Row],[_Row]]/100000,"")</f>
        <v/>
      </c>
      <c r="FW115" s="45" t="str">
        <f aca="false">IF(AND(Tasks[[#This Row],[_IsLeaf]]=1,Tasks[[#This Row],[_LeafProgress]]&lt;1,OR(N(Tasks[[#This Row],[Finish Var]])&gt;0,Tasks[[#This Row],[Status]]="Late Start")),MAX(0,Tasks[[#This Row],[Finish Var]])+1-Tasks[[#This Row],[_Row]]/1000000,"")</f>
        <v/>
      </c>
      <c r="FX115" s="45" t="str">
        <f aca="false">IF(AND(Tasks[[#This Row],[_IsLeaf]]=1,N(Tasks[[#This Row],[Actual Start]])=0,Tasks[[#This Row],[_ShownFcstStart]]&gt;=StatusDate,Tasks[[#This Row],[_ShownFcstStart]]&lt;=LookaheadEnd),Tasks[[#This Row],[_ShownFcstStart]]+Tasks[[#This Row],[_Row]]/100000,"")</f>
        <v/>
      </c>
      <c r="FY115" s="45" t="str">
        <f aca="false">IF(AND(Tasks[[#This Row],[_IsLeaf]]=1,Tasks[[#This Row],[_LeafProgress]]&lt;1,Tasks[[#This Row],[_ShownFcstFinish]]&gt;=StatusDate,Tasks[[#This Row],[_ShownFcstFinish]]&lt;=LookaheadEnd),Tasks[[#This Row],[_ShownFcstFinish]]+Tasks[[#This Row],[_Row]]/100000,"")</f>
        <v/>
      </c>
      <c r="FZ115" s="45" t="str">
        <f aca="false">IF(Tasks[[#This Row],[_LeafCritical]],Tasks[[#This Row],[_ShownFcstStart]]+Tasks[[#This Row],[_Row]]/100000,"")</f>
        <v/>
      </c>
      <c r="GA115" s="45" t="n">
        <f aca="false">Tasks[[#This Row],[_LeafWork]]*Tasks[[#This Row],[_LeafProgress]]</f>
        <v>0</v>
      </c>
      <c r="GB115" s="74" t="str">
        <f aca="false">IF(AND(Tasks[[#This Row],[_IsLeaf]]=1,Tasks[[#This Row],[_LeafProgress]]&gt;=1),IF(N(Tasks[[#This Row],[Actual Finish]])&gt;0,Tasks[[#This Row],[Actual Finish]],Tasks[[#This Row],[_ShownFcstFinish]]),"")</f>
        <v/>
      </c>
    </row>
    <row r="116" customFormat="false" ht="15" hidden="false" customHeight="false" outlineLevel="0" collapsed="false">
      <c r="A116" s="67" t="str">
        <f aca="false">IF(Tasks[[#This Row],[Task Name]]="","",COUNTA(Tasks[[#Headers],[Task Name]]:Tasks[[#This Row],[Task Name]])-1)</f>
        <v/>
      </c>
      <c r="B116" s="21" t="n">
        <v>111</v>
      </c>
      <c r="C11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21"/>
      <c r="E116" s="22"/>
      <c r="F116" s="21"/>
      <c r="G116" s="22"/>
      <c r="H116" s="22"/>
      <c r="I116" s="22"/>
      <c r="J116" s="7"/>
      <c r="K116" s="7"/>
      <c r="L116" s="22"/>
      <c r="M116" s="58" t="str">
        <f aca="false">IF(Tasks[[#This Row],[Task Name]]="","",IF(Tasks[[#This Row],[_IsSummary]],MIN(INDEX(Tasks[_ShownFcstStart],Tasks[[#This Row],[_Row]]+1):INDEX(Tasks[_ShownFcstStart],Tasks[[#This Row],[_Row]]+Tasks[[#This Row],[_Descendants]])),Tasks[[#This Row],[_ShownFcstStart]]))</f>
        <v/>
      </c>
      <c r="N116" s="58" t="str">
        <f aca="false">IF(Tasks[[#This Row],[Task Name]]="","",IF(Tasks[[#This Row],[_IsSummary]],MAX(INDEX(Tasks[_ShownFcstFinish],Tasks[[#This Row],[_Row]]+1):INDEX(Tasks[_ShownFcstFinish],Tasks[[#This Row],[_Row]]+Tasks[[#This Row],[_Descendants]])),Tasks[[#This Row],[_ShownFcstFinish]]))</f>
        <v/>
      </c>
      <c r="O116" s="20" t="str">
        <f aca="false">IF(Tasks[[#This Row],[Task Name]]="","",IF(Tasks[[#This Row],[Progress]]&gt;=1,"Complete",IF(OR(N(Tasks[[#This Row],[Actual Start]])&gt;0,Tasks[[#This Row],[Progress]]&gt;0),IF(Tasks[[#This Row],[Finish Var]]&gt;0,"Behind","In Progress"),IF(Tasks[[#This Row],[Planned Start]]&lt;StatusDate,"Late Start","Not Started"))))</f>
        <v/>
      </c>
      <c r="P116" s="20" t="str">
        <f aca="false">IF(Tasks[[#This Row],[Task Name]]="","",IF(IF(Tasks[[#This Row],[_IsSummary]],COUNTIF(INDEX(Tasks[_LeafCritical],Tasks[[#This Row],[_Row]]+1):INDEX(Tasks[_LeafCritical],Tasks[[#This Row],[_Row]]+Tasks[[#This Row],[_Descendants]]),TRUE())&gt;0,Tasks[[#This Row],[_LeafCritical]]),"Yes",""))</f>
        <v/>
      </c>
      <c r="Q11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16" s="67" t="str">
        <f aca="false">IF(Tasks[[#This Row],[Task Name]]="","",IF(Tasks[[#This Row],[_Level]]&lt;=OutlineShowLevel,"Yes","No"))</f>
        <v/>
      </c>
      <c r="S116" s="7"/>
      <c r="T116" s="21"/>
      <c r="U116" s="22"/>
      <c r="V116" s="7"/>
      <c r="W116" s="67" t="str">
        <f aca="false">IF(Tasks[[#This Row],[Task Name]]="","",IF(Tasks[[#This Row],[Finish]]&gt;=Tasks[[#This Row],[Planned Finish]],NETWORKDAYS.INTL(Tasks[[#This Row],[Planned Finish]],Tasks[[#This Row],[Finish]],WorkWeek,Holidays)-1,1-NETWORKDAYS.INTL(Tasks[[#This Row],[Finish]],Tasks[[#This Row],[Planned Finish]],WorkWeek,Holidays)))</f>
        <v/>
      </c>
      <c r="X116" s="58" t="str">
        <f aca="false">IF(Tasks[[#This Row],[Task Name]]="","",IF(N(Tasks[[#This Row],[Baseline Start]])&gt;0,Tasks[[#This Row],[Baseline Start]],Tasks[[#This Row],[_CalcStart]]))</f>
        <v/>
      </c>
      <c r="Y116" s="58" t="str">
        <f aca="false">IF(Tasks[[#This Row],[Task Name]]="","",IF(N(Tasks[[#This Row],[Baseline Finish]])&gt;0,Tasks[[#This Row],[Baseline Finish]],Tasks[[#This Row],[_CalcFinish]]))</f>
        <v/>
      </c>
      <c r="Z116" s="67" t="str">
        <f aca="false">IF(Tasks[[#This Row],[Task Name]]="","",IF(Tasks[[#This Row],[Start]]&gt;=Tasks[[#This Row],[Planned Start]],NETWORKDAYS.INTL(Tasks[[#This Row],[Planned Start]],Tasks[[#This Row],[Start]],WorkWeek,Holidays)-1,1-NETWORKDAYS.INTL(Tasks[[#This Row],[Start]],Tasks[[#This Row],[Planned Start]],WorkWeek,Holidays)))</f>
        <v/>
      </c>
      <c r="AA116" s="58" t="str">
        <f aca="false">IF(Tasks[[#This Row],[Task Name]]="","",IF(Tasks[[#This Row],[_IsSummary]],MIN(INDEX(Tasks[_LeafLateStart],Tasks[[#This Row],[_Row]]+1):INDEX(Tasks[_LeafLateStart],Tasks[[#This Row],[_Row]]+Tasks[[#This Row],[_Descendants]])),Tasks[[#This Row],[_LeafLateStart]]))</f>
        <v/>
      </c>
      <c r="AB116" s="58" t="str">
        <f aca="false">IF(Tasks[[#This Row],[Task Name]]="","",IF(Tasks[[#This Row],[_IsSummary]],MAX(INDEX(Tasks[_LeafLateFinish],Tasks[[#This Row],[_Row]]+1):INDEX(Tasks[_LeafLateFinish],Tasks[[#This Row],[_Row]]+Tasks[[#This Row],[_Descendants]])),Tasks[[#This Row],[_LeafLateFinish]]))</f>
        <v/>
      </c>
      <c r="AC116" s="67" t="str">
        <f aca="false">IF(Tasks[[#This Row],[Task Name]]="","",IF(Tasks[[#This Row],[_IsSummary]],MIN(INDEX(Tasks[_LeafTotalSlack],Tasks[[#This Row],[_Row]]+1):INDEX(Tasks[_LeafTotalSlack],Tasks[[#This Row],[_Row]]+Tasks[[#This Row],[_Descendants]])),Tasks[[#This Row],[_LeafTotalSlack]]))</f>
        <v/>
      </c>
      <c r="AD11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1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1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16" s="60"/>
      <c r="AH11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1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16" s="69" t="str">
        <f aca="false">IF(Tasks[[#This Row],[Task Name]]="","",IF(Tasks[[#This Row],[_IsSummary]],SUM(INDEX(Tasks[_LeafTotalWork],Tasks[[#This Row],[_Row]]+1):INDEX(Tasks[_LeafTotalWork],Tasks[[#This Row],[_Row]]+Tasks[[#This Row],[_Descendants]])),Tasks[[#This Row],[_LeafTotalWork]]))</f>
        <v/>
      </c>
      <c r="AK11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16" s="70" t="str">
        <f aca="false">IF(Tasks[[#This Row],[Task Name]]="","",IF(Tasks[[#This Row],[_IsSummary]],SUM(INDEX(Tasks[_LeafTotalCost],Tasks[[#This Row],[_Row]]+1):INDEX(Tasks[_LeafTotalCost],Tasks[[#This Row],[_Row]]+Tasks[[#This Row],[_Descendants]])),Tasks[[#This Row],[_LeafTotalCost]]))</f>
        <v/>
      </c>
      <c r="AM116" s="71"/>
      <c r="AN116" s="20" t="str">
        <f aca="false">IF(OR(Tasks[[#This Row],[Task Name]]="",Tasks[[#This Row],[Baseline Duration]]=""),"",Tasks[[#This Row],[BL Source Duration]]-N(Tasks[[#This Row],[Baseline Duration]]))</f>
        <v/>
      </c>
      <c r="AO116" s="69" t="str">
        <f aca="false">IF(OR(Tasks[[#This Row],[Task Name]]="",Tasks[[#This Row],[Baseline Work]]=""),"",Tasks[[#This Row],[Work]]-N(Tasks[[#This Row],[Baseline Work]]))</f>
        <v/>
      </c>
      <c r="AP116" s="70" t="str">
        <f aca="false">IF(OR(Tasks[[#This Row],[Task Name]]="",Tasks[[#This Row],[Baseline Cost]]=""),"",Tasks[[#This Row],[Cost]]-N(Tasks[[#This Row],[Baseline Cost]]))</f>
        <v/>
      </c>
      <c r="AQ116" s="58" t="str">
        <f aca="false">IF(Tasks[[#This Row],[Task Name]]="","",Tasks[[#This Row],[Start]])</f>
        <v/>
      </c>
      <c r="AR116" s="58" t="str">
        <f aca="false">IF(Tasks[[#This Row],[Task Name]]="","",Tasks[[#This Row],[Finish]])</f>
        <v/>
      </c>
      <c r="AS116" s="67" t="str">
        <f aca="false">IF(Tasks[[#This Row],[Task Name]]="","",IF(Tasks[[#This Row],[_IsSummary]],NETWORKDAYS.INTL(Tasks[[#This Row],[Start]],Tasks[[#This Row],[Finish]],WorkWeek,Holidays),N(Tasks[[#This Row],[Duration]])))</f>
        <v/>
      </c>
      <c r="AT116" s="69" t="str">
        <f aca="false">IF(Tasks[[#This Row],[Task Name]]="","",Tasks[[#This Row],[Work]])</f>
        <v/>
      </c>
      <c r="AU116" s="70" t="str">
        <f aca="false">IF(Tasks[[#This Row],[Task Name]]="","",Tasks[[#This Row],[Cost]])</f>
        <v/>
      </c>
      <c r="AV116" s="7"/>
      <c r="AW116" s="7"/>
      <c r="AX116" s="21"/>
      <c r="AY116" s="72"/>
      <c r="AZ116" s="71"/>
      <c r="BA116" s="70" t="str">
        <f aca="false">IF(Tasks[[#This Row],[Task Name]]="","",IF(Tasks[[#This Row],[_IsSummary]],SUM(INDEX(Tasks[_LeafEV],Tasks[[#This Row],[_Row]]+1):INDEX(Tasks[_LeafEV],Tasks[[#This Row],[_Row]]+Tasks[[#This Row],[_Descendants]])),Tasks[[#This Row],[_LeafEV]]))</f>
        <v/>
      </c>
      <c r="BB116" s="70" t="str">
        <f aca="false">IF(Tasks[[#This Row],[Task Name]]="","",IF(Tasks[[#This Row],[_IsSummary]],SUM(INDEX(Tasks[_LeafBudget],Tasks[[#This Row],[_Row]]+1):INDEX(Tasks[_LeafBudget],Tasks[[#This Row],[_Row]]+Tasks[[#This Row],[_Descendants]])),Tasks[[#This Row],[_LeafBudget]]))</f>
        <v/>
      </c>
      <c r="BC116" s="70" t="str">
        <f aca="false">IF(Tasks[[#This Row],[Task Name]]="","",IF(Tasks[[#This Row],[_IsSummary]],SUM(INDEX(Tasks[_LeafPV],Tasks[[#This Row],[_Row]]+1):INDEX(Tasks[_LeafPV],Tasks[[#This Row],[_Row]]+Tasks[[#This Row],[_Descendants]])),Tasks[[#This Row],[_LeafPV]]))</f>
        <v/>
      </c>
      <c r="BD116" s="70" t="str">
        <f aca="false">IF(Tasks[[#This Row],[Task Name]]="","",IF(Tasks[[#This Row],[_IsSummary]],SUM(INDEX(Tasks[_LeafAC],Tasks[[#This Row],[_Row]]+1):INDEX(Tasks[_LeafAC],Tasks[[#This Row],[_Row]]+Tasks[[#This Row],[_Descendants]])),Tasks[[#This Row],[_LeafAC]]))</f>
        <v/>
      </c>
      <c r="BE116" s="45" t="str">
        <f aca="false">IF(Tasks[[#This Row],[Task Name]]="","",MAX(1,N(Tasks[[#This Row],[Level]])))</f>
        <v/>
      </c>
      <c r="BF116" s="45" t="n">
        <f aca="false">ROW()-ROW(Tasks[[#Headers],[ID]])</f>
        <v>111</v>
      </c>
      <c r="BG116" s="45" t="n">
        <f aca="false">IF(OR(Tasks[[#This Row],[Task Name]]="",Tasks[[#This Row],[_Level]]&lt;=1),0,IFERROR(LOOKUP(2,1/(Tasks[[#Headers],[_Level]]:Tasks[[#This Row],[_Level]]=Tasks[[#This Row],[_Level]]-1),ROW(Tasks[[#Headers],[_Level]]:Tasks[[#This Row],[_Level]])),0))</f>
        <v>0</v>
      </c>
      <c r="BH116" s="45" t="n">
        <f aca="false">IFERROR(N(INDEX(Tasks[_Level],Tasks[[#This Row],[_Row]]+1)),0)</f>
        <v>0</v>
      </c>
      <c r="BI116" s="73" t="b">
        <f aca="false">AND(Tasks[[#This Row],[Task Name]]&lt;&gt;"",Tasks[[#This Row],[_NextLevel]]&gt;Tasks[[#This Row],[_Level]])</f>
        <v>0</v>
      </c>
      <c r="BJ116" s="45" t="n">
        <f aca="false">IF(Tasks[[#This Row],[_IsSummary]],COUNTIF(Tasks[WBS],Tasks[[#This Row],[WBS]]&amp;".*"),0)</f>
        <v>0</v>
      </c>
      <c r="BK116" s="45" t="n">
        <f aca="false">IF(AND(Tasks[[#This Row],[Task Name]]&lt;&gt;"",NOT(Tasks[[#This Row],[_IsSummary]])),1,0)</f>
        <v>0</v>
      </c>
      <c r="BL116" s="45" t="n">
        <f aca="false">IF(N(Tasks[[#This Row],[_Pred1UID]])=0,0,IFERROR(MATCH(Tasks[[#This Row],[_Pred1UID]],Tasks[UID],0),-1))</f>
        <v>0</v>
      </c>
      <c r="BM116" s="45" t="n">
        <f aca="false">IF(N(Tasks[[#This Row],[_Pred2UID]])=0,0,IFERROR(MATCH(Tasks[[#This Row],[_Pred2UID]],Tasks[UID],0),-1))</f>
        <v>0</v>
      </c>
      <c r="BN116" s="45" t="n">
        <f aca="false">IF(N(Tasks[[#This Row],[_Pred3UID]])=0,0,IFERROR(MATCH(Tasks[[#This Row],[_Pred3UID]],Tasks[UID],0),-1))</f>
        <v>0</v>
      </c>
      <c r="BO116" s="45" t="n">
        <f aca="false">IF(N(Tasks[[#This Row],[_Pred4UID]])=0,0,IFERROR(MATCH(Tasks[[#This Row],[_Pred4UID]],Tasks[UID],0),-1))</f>
        <v>0</v>
      </c>
      <c r="BP11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1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16" s="74" t="n">
        <f aca="false">IF(OR(Tasks[[#This Row],[_ConstraintCode]]=2,Tasks[[#This Row],[_ConstraintCode]]=3,Tasks[[#This Row],[_ConstraintCode]]=4,Tasks[[#This Row],[_ConstraintCode]]=6),Tasks[[#This Row],[_ConstraintStart]],0)</f>
        <v>0</v>
      </c>
      <c r="BS116" s="74" t="n">
        <f aca="false">IF(OR(Tasks[[#This Row],[_ConstraintCode]]=2,Tasks[[#This Row],[_ConstraintCode]]=3,Tasks[[#This Row],[_ConstraintCode]]=5,Tasks[[#This Row],[_ConstraintCode]]=7),Tasks[[#This Row],[_ConstraintStart]],2958465)</f>
        <v>2958465</v>
      </c>
      <c r="BT11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16" s="74" t="str">
        <f aca="false">IF(NOT(Tasks[[#This Row],[_IsLeaf]]=1),"",IF(N(Tasks[[#This Row],[Duration]])&lt;=0,Tasks[[#This Row],[_LeafCalcStart]],WORKDAY.INTL(Tasks[[#This Row],[_LeafCalcStart]],Tasks[[#This Row],[Duration]]-1,WorkWeek,Holidays)))</f>
        <v/>
      </c>
      <c r="BV11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1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16" s="45" t="str">
        <f aca="false">IF(Tasks[[#This Row],[Predecessors]]="","",TRIM(MID(SUBSTITUTE(SUBSTITUTE(SUBSTITUTE(UPPER(Tasks[[#This Row],[Predecessors]]),";",",")," ",""),",",REPT(" ",99)),1,99)))</f>
        <v/>
      </c>
      <c r="BY116" s="45" t="str">
        <f aca="false">IF(Tasks[[#This Row],[_Pred1Text]]="","",IFERROR(VALUE(LEFT(Tasks[[#This Row],[_Pred1Text]],MIN(FIND("F",Tasks[[#This Row],[_Pred1Text]]&amp;"F"),FIND("S",Tasks[[#This Row],[_Pred1Text]]&amp;"S"),FIND("+",Tasks[[#This Row],[_Pred1Text]]&amp;"+"),FIND("-",Tasks[[#This Row],[_Pred1Text]]&amp;"-"))-1)),""))</f>
        <v/>
      </c>
      <c r="BZ11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1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16" s="45" t="str">
        <f aca="false">IF(Tasks[[#This Row],[_Pred1Text]]="","",TRIM(MID(SUBSTITUTE(SUBSTITUTE(SUBSTITUTE(UPPER(Tasks[[#This Row],[Predecessors]]),";",",")," ",""),",",REPT(" ",99)),100,99)))</f>
        <v/>
      </c>
      <c r="CC116" s="45" t="str">
        <f aca="false">IF(Tasks[[#This Row],[_Pred2Text]]="","",IFERROR(VALUE(LEFT(Tasks[[#This Row],[_Pred2Text]],MIN(FIND("F",Tasks[[#This Row],[_Pred2Text]]&amp;"F"),FIND("S",Tasks[[#This Row],[_Pred2Text]]&amp;"S"),FIND("+",Tasks[[#This Row],[_Pred2Text]]&amp;"+"),FIND("-",Tasks[[#This Row],[_Pred2Text]]&amp;"-"))-1)),""))</f>
        <v/>
      </c>
      <c r="CD11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1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16" s="45" t="str">
        <f aca="false">IF(Tasks[[#This Row],[_Pred2Text]]="","",TRIM(MID(SUBSTITUTE(SUBSTITUTE(SUBSTITUTE(UPPER(Tasks[[#This Row],[Predecessors]]),";",",")," ",""),",",REPT(" ",99)),199,99)))</f>
        <v/>
      </c>
      <c r="CG116" s="45" t="str">
        <f aca="false">IF(Tasks[[#This Row],[_Pred3Text]]="","",IFERROR(VALUE(LEFT(Tasks[[#This Row],[_Pred3Text]],MIN(FIND("F",Tasks[[#This Row],[_Pred3Text]]&amp;"F"),FIND("S",Tasks[[#This Row],[_Pred3Text]]&amp;"S"),FIND("+",Tasks[[#This Row],[_Pred3Text]]&amp;"+"),FIND("-",Tasks[[#This Row],[_Pred3Text]]&amp;"-"))-1)),""))</f>
        <v/>
      </c>
      <c r="CH11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1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16" s="45" t="str">
        <f aca="false">IF(Tasks[[#This Row],[_Pred3Text]]="","",TRIM(MID(SUBSTITUTE(SUBSTITUTE(SUBSTITUTE(UPPER(Tasks[[#This Row],[Predecessors]]),";",",")," ",""),",",REPT(" ",99)),298,99)))</f>
        <v/>
      </c>
      <c r="CK116" s="45" t="str">
        <f aca="false">IF(Tasks[[#This Row],[_Pred4Text]]="","",IFERROR(VALUE(LEFT(Tasks[[#This Row],[_Pred4Text]],MIN(FIND("F",Tasks[[#This Row],[_Pred4Text]]&amp;"F"),FIND("S",Tasks[[#This Row],[_Pred4Text]]&amp;"S"),FIND("+",Tasks[[#This Row],[_Pred4Text]]&amp;"+"),FIND("-",Tasks[[#This Row],[_Pred4Text]]&amp;"-"))-1)),""))</f>
        <v/>
      </c>
      <c r="CL11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1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16" s="45" t="str">
        <f aca="false">IF(OR(Tasks[[#This Row],[Task Name]]="",Tasks[[#This Row],[Resources]]=""),"",TRIM(MID(SUBSTITUTE(Tasks[[#This Row],[Resources]],",",REPT(" ",99)),1,99)))</f>
        <v/>
      </c>
      <c r="CO116" s="45" t="str">
        <f aca="false">IF(Tasks[[#This Row],[_Res1Text]]="","",TRIM(MID(SUBSTITUTE(Tasks[[#This Row],[Resources]],",",REPT(" ",99)),100,99)))</f>
        <v/>
      </c>
      <c r="CP116" s="45" t="str">
        <f aca="false">IF(Tasks[[#This Row],[_Res2Text]]="","",TRIM(MID(SUBSTITUTE(Tasks[[#This Row],[Resources]],",",REPT(" ",99)),199,99)))</f>
        <v/>
      </c>
      <c r="CQ116" s="45" t="str">
        <f aca="false">IF(Tasks[[#This Row],[_Res3Text]]="","",TRIM(MID(SUBSTITUTE(Tasks[[#This Row],[Resources]],",",REPT(" ",99)),298,99)))</f>
        <v/>
      </c>
      <c r="CR11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1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6" s="45" t="n">
        <f aca="false">IF(NOT(Tasks[[#This Row],[_IsLeaf]]=1),0,(Tasks[[#This Row],[_Resource1]]&lt;&gt;"")+(Tasks[[#This Row],[_Res2]]&lt;&gt;"")+(Tasks[[#This Row],[_Res3]]&lt;&gt;"")+(Tasks[[#This Row],[_Res4]]&lt;&gt;""))</f>
        <v>0</v>
      </c>
      <c r="CU11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1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6" s="45" t="n">
        <f aca="false">IF(OR(NOT(Tasks[[#This Row],[_IsLeaf]]=1),Tasks[[#This Row],[_Res2]]=""),0,IF(ISNA(MATCH(Tasks[[#This Row],[_Res2]],res_Name,0)),0,N(Tasks[[#This Row],[Duration]])*HoursPerDay*IF(Tasks[[#This Row],[_Res2Units]]="",DefaultUnits,Tasks[[#This Row],[_Res2Units]])))</f>
        <v>0</v>
      </c>
      <c r="CX116" s="45" t="n">
        <f aca="false">IF(Tasks[[#This Row],[_Res2Work]]=0,0,Tasks[[#This Row],[_Res2Work]]*IFERROR(INDEX(res_Rate,MATCH(Tasks[[#This Row],[_Res2]],res_Name,0)),0))</f>
        <v>0</v>
      </c>
      <c r="CY116" s="45" t="n">
        <f aca="false">IF(AND(AND(Tasks[[#This Row],[_IsLeaf]]=1,Tasks[[#This Row],[_LeafTotalWork]]&gt;0),Tasks[[#This Row],[_Res2Work]]&gt;0),Tasks[[#This Row],[_Res2Work]]/(Tasks[[#This Row],[_FinishWorkday]]-Tasks[[#This Row],[_StartWorkday]]+1),0)</f>
        <v>0</v>
      </c>
      <c r="CZ116" s="45" t="n">
        <f aca="false">Tasks[[#This Row],[_Res2WorkPerWD]]*MAX(0,Tasks[[#This Row],[_StartWorkday]]-1)</f>
        <v>0</v>
      </c>
      <c r="DA116" s="45" t="n">
        <f aca="false">Tasks[[#This Row],[_Res2Work]]*Tasks[[#This Row],[_LeafProgress]]</f>
        <v>0</v>
      </c>
      <c r="DB116" s="45" t="n">
        <f aca="false">IF(Tasks[[#This Row],[_LeafTotalCost]]=0,0,Tasks[[#This Row],[_LeafAC]]*Tasks[[#This Row],[_Res2Cost]]/Tasks[[#This Row],[_LeafTotalCost]])</f>
        <v>0</v>
      </c>
      <c r="DC11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1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16" s="45" t="n">
        <f aca="false">IF(OR(NOT(Tasks[[#This Row],[_IsLeaf]]=1),Tasks[[#This Row],[_Res3]]=""),0,IF(ISNA(MATCH(Tasks[[#This Row],[_Res3]],res_Name,0)),0,N(Tasks[[#This Row],[Duration]])*HoursPerDay*IF(Tasks[[#This Row],[_Res3Units]]="",DefaultUnits,Tasks[[#This Row],[_Res3Units]])))</f>
        <v>0</v>
      </c>
      <c r="DF116" s="45" t="n">
        <f aca="false">IF(Tasks[[#This Row],[_Res3Work]]=0,0,Tasks[[#This Row],[_Res3Work]]*IFERROR(INDEX(res_Rate,MATCH(Tasks[[#This Row],[_Res3]],res_Name,0)),0))</f>
        <v>0</v>
      </c>
      <c r="DG116" s="45" t="n">
        <f aca="false">IF(AND(AND(Tasks[[#This Row],[_IsLeaf]]=1,Tasks[[#This Row],[_LeafTotalWork]]&gt;0),Tasks[[#This Row],[_Res3Work]]&gt;0),Tasks[[#This Row],[_Res3Work]]/(Tasks[[#This Row],[_FinishWorkday]]-Tasks[[#This Row],[_StartWorkday]]+1),0)</f>
        <v>0</v>
      </c>
      <c r="DH116" s="45" t="n">
        <f aca="false">Tasks[[#This Row],[_Res3WorkPerWD]]*MAX(0,Tasks[[#This Row],[_StartWorkday]]-1)</f>
        <v>0</v>
      </c>
      <c r="DI116" s="45" t="n">
        <f aca="false">Tasks[[#This Row],[_Res3Work]]*Tasks[[#This Row],[_LeafProgress]]</f>
        <v>0</v>
      </c>
      <c r="DJ116" s="45" t="n">
        <f aca="false">IF(Tasks[[#This Row],[_LeafTotalCost]]=0,0,Tasks[[#This Row],[_LeafAC]]*Tasks[[#This Row],[_Res3Cost]]/Tasks[[#This Row],[_LeafTotalCost]])</f>
        <v>0</v>
      </c>
      <c r="DK11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1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16" s="45" t="n">
        <f aca="false">IF(OR(NOT(Tasks[[#This Row],[_IsLeaf]]=1),Tasks[[#This Row],[_Res4]]=""),0,IF(ISNA(MATCH(Tasks[[#This Row],[_Res4]],res_Name,0)),0,N(Tasks[[#This Row],[Duration]])*HoursPerDay*IF(Tasks[[#This Row],[_Res4Units]]="",DefaultUnits,Tasks[[#This Row],[_Res4Units]])))</f>
        <v>0</v>
      </c>
      <c r="DN116" s="45" t="n">
        <f aca="false">IF(Tasks[[#This Row],[_Res4Work]]=0,0,Tasks[[#This Row],[_Res4Work]]*IFERROR(INDEX(res_Rate,MATCH(Tasks[[#This Row],[_Res4]],res_Name,0)),0))</f>
        <v>0</v>
      </c>
      <c r="DO116" s="45" t="n">
        <f aca="false">IF(AND(AND(Tasks[[#This Row],[_IsLeaf]]=1,Tasks[[#This Row],[_LeafTotalWork]]&gt;0),Tasks[[#This Row],[_Res4Work]]&gt;0),Tasks[[#This Row],[_Res4Work]]/(Tasks[[#This Row],[_FinishWorkday]]-Tasks[[#This Row],[_StartWorkday]]+1),0)</f>
        <v>0</v>
      </c>
      <c r="DP116" s="45" t="n">
        <f aca="false">Tasks[[#This Row],[_Res4WorkPerWD]]*MAX(0,Tasks[[#This Row],[_StartWorkday]]-1)</f>
        <v>0</v>
      </c>
      <c r="DQ116" s="45" t="n">
        <f aca="false">Tasks[[#This Row],[_Res4Work]]*Tasks[[#This Row],[_LeafProgress]]</f>
        <v>0</v>
      </c>
      <c r="DR116" s="45" t="n">
        <f aca="false">IF(Tasks[[#This Row],[_LeafTotalCost]]=0,0,Tasks[[#This Row],[_LeafAC]]*Tasks[[#This Row],[_Res4Cost]]/Tasks[[#This Row],[_LeafTotalCost]])</f>
        <v>0</v>
      </c>
      <c r="DS116" s="45" t="n">
        <f aca="false">IF(ISNUMBER(Tasks[[#This Row],[% Complete]]),Tasks[[#This Row],[% Complete]],IF(Tasks[[#This Row],[Stage]]="",0,IFERROR(INDEX(stg_Pct,MATCH(Tasks[[#This Row],[Stage]],stg_Name,0)),0)))</f>
        <v>0</v>
      </c>
      <c r="DT116" s="45" t="n">
        <f aca="false">IF(NOT(Tasks[[#This Row],[_IsLeaf]]=1),0,IF(N(Tasks[[#This Row],[Actual Finish]])&gt;0,1,MIN(1,Tasks[[#This Row],[_Pct]])))</f>
        <v>0</v>
      </c>
      <c r="DU116" s="45" t="n">
        <f aca="false">IF(OR(NOT(Tasks[[#This Row],[_IsLeaf]]=1),Tasks[[#This Row],[_Resource1]]=""),0,IF(ISNA(MATCH(Tasks[[#This Row],[_Resource1]],res_Name,0)),0,N(Tasks[[#This Row],[Duration]])*HoursPerDay*IF(Tasks[[#This Row],[_Units1]]="",DefaultUnits,Tasks[[#This Row],[_Units1]])))</f>
        <v>0</v>
      </c>
      <c r="DV116" s="45" t="n">
        <f aca="false">IF(Tasks[[#This Row],[_LeafWork]]=0,0,Tasks[[#This Row],[_LeafWork]]*IFERROR(INDEX(res_Rate,MATCH(Tasks[[#This Row],[_Resource1]],res_Name,0)),0))</f>
        <v>0</v>
      </c>
      <c r="DW116" s="45" t="n">
        <f aca="false">Tasks[[#This Row],[_LeafWork]]+Tasks[[#This Row],[_Res2Work]]+Tasks[[#This Row],[_Res3Work]]+Tasks[[#This Row],[_Res4Work]]</f>
        <v>0</v>
      </c>
      <c r="DX116" s="45" t="n">
        <f aca="false">Tasks[[#This Row],[_LeafCost]]+Tasks[[#This Row],[_Res2Cost]]+Tasks[[#This Row],[_Res3Cost]]+Tasks[[#This Row],[_Res4Cost]]</f>
        <v>0</v>
      </c>
      <c r="DY116" s="45" t="n">
        <f aca="false">IF(Tasks[[#This Row],[_LeafTotalCost]]=0,Tasks[[#This Row],[_LeafAC]],Tasks[[#This Row],[_LeafAC]]*Tasks[[#This Row],[_LeafCost]]/Tasks[[#This Row],[_LeafTotalCost]])</f>
        <v>0</v>
      </c>
      <c r="DZ11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1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1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1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1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1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1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1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16" s="45" t="n">
        <f aca="false">IF(NOT(Tasks[[#This Row],[_IsLeaf]]=1),0,MAX(_xlfn.MAXIFS(Tasks[_Row],Tasks[_Pred1UID],Tasks[[#This Row],[UID]]),_xlfn.MAXIFS(Tasks[_Row],Tasks[_Pred2UID],Tasks[[#This Row],[UID]]),_xlfn.MAXIFS(Tasks[_Row],Tasks[_Pred3UID],Tasks[[#This Row],[UID]]),_xlfn.MAXIFS(Tasks[_Row],Tasks[_Pred4UID],Tasks[[#This Row],[UID]])))</f>
        <v>0</v>
      </c>
      <c r="EI11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1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16" s="74" t="str">
        <f aca="false">IF(NOT(Tasks[[#This Row],[_IsLeaf]]=1),"",IF(N(Tasks[[#This Row],[Duration]])&lt;=0,Tasks[[#This Row],[_LeafLateFinish]],WORKDAY.INTL(Tasks[[#This Row],[_LeafLateFinish]],-(Tasks[[#This Row],[Duration]]-1),WorkWeek,Holidays)))</f>
        <v/>
      </c>
      <c r="EL11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16" s="73" t="b">
        <f aca="false">AND(Tasks[[#This Row],[_IsLeaf]]=1,Tasks[[#This Row],[_LeafProgress]]&lt;1,N(Tasks[[#This Row],[_LeafTotalSlack]])&lt;=CriticalSlackDays)</f>
        <v>0</v>
      </c>
      <c r="EN116" s="45" t="n">
        <f aca="false">IF(AND(Tasks[[#This Row],[_IsLeaf]]=1,Tasks[[#This Row],[_ConstraintCode]]=1,Tasks[[#This Row],[Mode]]&lt;&gt;"Manual",N(Tasks[[#This Row],[Actual Start]])=0),MAX(0,N(Tasks[[#This Row],[Free Slack]])),0)</f>
        <v>0</v>
      </c>
      <c r="EO116" s="74" t="str">
        <f aca="false">IF(NOT(Tasks[[#This Row],[_IsLeaf]]=1),"",IF(Tasks[[#This Row],[_AlapShift]]=0,Tasks[[#This Row],[_LeafCalcStart]],WORKDAY.INTL(Tasks[[#This Row],[_LeafCalcStart]],Tasks[[#This Row],[_AlapShift]],WorkWeek,Holidays)))</f>
        <v/>
      </c>
      <c r="EP116" s="74" t="str">
        <f aca="false">IF(NOT(Tasks[[#This Row],[_IsLeaf]]=1),"",IF(Tasks[[#This Row],[_AlapShift]]=0,Tasks[[#This Row],[_LeafCalcFinish]],WORKDAY.INTL(Tasks[[#This Row],[_LeafCalcFinish]],Tasks[[#This Row],[_AlapShift]],WorkWeek,Holidays)))</f>
        <v/>
      </c>
      <c r="EQ116" s="74" t="str">
        <f aca="false">IF(NOT(Tasks[[#This Row],[_IsLeaf]]=1),"",IF(Tasks[[#This Row],[_AlapShift]]=0,Tasks[[#This Row],[_LeafFcstStart]],WORKDAY.INTL(Tasks[[#This Row],[_LeafFcstStart]],Tasks[[#This Row],[_AlapShift]],WorkWeek,Holidays)))</f>
        <v/>
      </c>
      <c r="ER116" s="74" t="str">
        <f aca="false">IF(NOT(Tasks[[#This Row],[_IsLeaf]]=1),"",IF(Tasks[[#This Row],[_AlapShift]]=0,Tasks[[#This Row],[_LeafFcstFinish]],WORKDAY.INTL(Tasks[[#This Row],[_LeafFcstFinish]],Tasks[[#This Row],[_AlapShift]],WorkWeek,Holidays)))</f>
        <v/>
      </c>
      <c r="ES116" s="74" t="str">
        <f aca="false">IF(Tasks[[#This Row],[Task Name]]="","",IF(Tasks[[#This Row],[_IsSummary]],MIN(INDEX(Tasks[_ShownCalcStart],Tasks[[#This Row],[_Row]]+1):INDEX(Tasks[_ShownCalcStart],Tasks[[#This Row],[_Row]]+Tasks[[#This Row],[_Descendants]])),Tasks[[#This Row],[_ShownCalcStart]]))</f>
        <v/>
      </c>
      <c r="ET116" s="74" t="str">
        <f aca="false">IF(Tasks[[#This Row],[Task Name]]="","",IF(Tasks[[#This Row],[_IsSummary]],MAX(INDEX(Tasks[_ShownCalcFinish],Tasks[[#This Row],[_Row]]+1):INDEX(Tasks[_ShownCalcFinish],Tasks[[#This Row],[_Row]]+Tasks[[#This Row],[_Descendants]])),Tasks[[#This Row],[_ShownCalcFinish]]))</f>
        <v/>
      </c>
      <c r="EU11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1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1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1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1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1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1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1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1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1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1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1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16" s="45" t="n">
        <f aca="false">IF(AND(Tasks[[#This Row],[_IsLeaf]]=1,Tasks[[#This Row],[_LeafTotalWork]]&gt;0),NETWORKDAYS.INTL(ProjectStart,Tasks[[#This Row],[_ShownFcstStart]],WorkWeek,Holidays),0)</f>
        <v>0</v>
      </c>
      <c r="FH116" s="45" t="n">
        <f aca="false">IF(AND(Tasks[[#This Row],[_IsLeaf]]=1,Tasks[[#This Row],[_LeafTotalWork]]&gt;0),MAX(Tasks[[#This Row],[_StartWorkday]],NETWORKDAYS.INTL(ProjectStart,Tasks[[#This Row],[_ShownFcstFinish]],WorkWeek,Holidays)),0)</f>
        <v>0</v>
      </c>
      <c r="FI116" s="45" t="n">
        <f aca="false">IF(AND(Tasks[[#This Row],[_IsLeaf]]=1,Tasks[[#This Row],[_LeafTotalWork]]&gt;0),Tasks[[#This Row],[_LeafWork]]/(Tasks[[#This Row],[_FinishWorkday]]-Tasks[[#This Row],[_StartWorkday]]+1),0)</f>
        <v>0</v>
      </c>
      <c r="FJ116" s="45" t="n">
        <f aca="false">Tasks[[#This Row],[_WorkPerWorkday]]*(Tasks[[#This Row],[_StartWorkday]]-1)</f>
        <v>-0</v>
      </c>
      <c r="FK116" s="45" t="n">
        <f aca="false">IF(Tasks[[#This Row],[_IsLeaf]]=1,MAX(N(Tasks[[#This Row],[Duration]]),0.1),0)</f>
        <v>0</v>
      </c>
      <c r="FL116" s="45" t="n">
        <f aca="false">Tasks[[#This Row],[_WeightDur]]*Tasks[[#This Row],[_LeafProgress]]</f>
        <v>0</v>
      </c>
      <c r="FM11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16" s="45" t="str">
        <f aca="false">IF(AND(Tasks[[#This Row],[_IsLeaf]]=1,N(Tasks[[#This Row],[Duration]])=0,Tasks[[#This Row],[_LeafProgress]]&lt;1),Tasks[[#This Row],[_ShownFcstFinish]]+Tasks[[#This Row],[_Row]]/100000,"")</f>
        <v/>
      </c>
      <c r="FO11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16" s="45" t="n">
        <f aca="false">IF(NOT(Tasks[[#This Row],[_IsLeaf]]=1),0,IF(Tasks[[#This Row],[Baseline Cost]]="",Tasks[[#This Row],[_LeafTotalCost]],N(Tasks[[#This Row],[Baseline Cost]])))</f>
        <v>0</v>
      </c>
      <c r="FQ116" s="45" t="n">
        <f aca="false">Tasks[[#This Row],[_LeafBudget]]*Tasks[[#This Row],[_PlannedPct]]</f>
        <v>0</v>
      </c>
      <c r="FR116" s="45" t="n">
        <f aca="false">Tasks[[#This Row],[_LeafBudget]]*Tasks[[#This Row],[_LeafProgress]]</f>
        <v>0</v>
      </c>
      <c r="FS116" s="45" t="n">
        <f aca="false">IF(NOT(Tasks[[#This Row],[_IsLeaf]]=1),0,IF(Tasks[[#This Row],[Actual Cost]]="",Tasks[[#This Row],[_LeafTotalCost]]*Tasks[[#This Row],[_LeafProgress]],N(Tasks[[#This Row],[Actual Cost]])))</f>
        <v>0</v>
      </c>
      <c r="FT116" s="45" t="str">
        <f aca="false">IF(Tasks[[#This Row],[Task Name]]="","",LEFT(Tasks[[#This Row],[WBS]],FIND(".",Tasks[[#This Row],[WBS]]&amp;".")-1))</f>
        <v/>
      </c>
      <c r="FU116" s="45" t="str">
        <f aca="false">IF(AND(Tasks[[#This Row],[Task Name]]&lt;&gt;"",Tasks[[#This Row],[_Level]]=1),Tasks[[#This Row],[_Row]],"")</f>
        <v/>
      </c>
      <c r="FV116" s="45" t="str">
        <f aca="false">IF(AND(Tasks[[#This Row],[_IsLeaf]]=1,N(Tasks[[#This Row],[Duration]])=0),Tasks[[#This Row],[Planned Finish]]+Tasks[[#This Row],[_Row]]/100000,"")</f>
        <v/>
      </c>
      <c r="FW116" s="45" t="str">
        <f aca="false">IF(AND(Tasks[[#This Row],[_IsLeaf]]=1,Tasks[[#This Row],[_LeafProgress]]&lt;1,OR(N(Tasks[[#This Row],[Finish Var]])&gt;0,Tasks[[#This Row],[Status]]="Late Start")),MAX(0,Tasks[[#This Row],[Finish Var]])+1-Tasks[[#This Row],[_Row]]/1000000,"")</f>
        <v/>
      </c>
      <c r="FX116" s="45" t="str">
        <f aca="false">IF(AND(Tasks[[#This Row],[_IsLeaf]]=1,N(Tasks[[#This Row],[Actual Start]])=0,Tasks[[#This Row],[_ShownFcstStart]]&gt;=StatusDate,Tasks[[#This Row],[_ShownFcstStart]]&lt;=LookaheadEnd),Tasks[[#This Row],[_ShownFcstStart]]+Tasks[[#This Row],[_Row]]/100000,"")</f>
        <v/>
      </c>
      <c r="FY116" s="45" t="str">
        <f aca="false">IF(AND(Tasks[[#This Row],[_IsLeaf]]=1,Tasks[[#This Row],[_LeafProgress]]&lt;1,Tasks[[#This Row],[_ShownFcstFinish]]&gt;=StatusDate,Tasks[[#This Row],[_ShownFcstFinish]]&lt;=LookaheadEnd),Tasks[[#This Row],[_ShownFcstFinish]]+Tasks[[#This Row],[_Row]]/100000,"")</f>
        <v/>
      </c>
      <c r="FZ116" s="45" t="str">
        <f aca="false">IF(Tasks[[#This Row],[_LeafCritical]],Tasks[[#This Row],[_ShownFcstStart]]+Tasks[[#This Row],[_Row]]/100000,"")</f>
        <v/>
      </c>
      <c r="GA116" s="45" t="n">
        <f aca="false">Tasks[[#This Row],[_LeafWork]]*Tasks[[#This Row],[_LeafProgress]]</f>
        <v>0</v>
      </c>
      <c r="GB116" s="74" t="str">
        <f aca="false">IF(AND(Tasks[[#This Row],[_IsLeaf]]=1,Tasks[[#This Row],[_LeafProgress]]&gt;=1),IF(N(Tasks[[#This Row],[Actual Finish]])&gt;0,Tasks[[#This Row],[Actual Finish]],Tasks[[#This Row],[_ShownFcstFinish]]),"")</f>
        <v/>
      </c>
    </row>
    <row r="117" customFormat="false" ht="15" hidden="false" customHeight="false" outlineLevel="0" collapsed="false">
      <c r="A117" s="67" t="str">
        <f aca="false">IF(Tasks[[#This Row],[Task Name]]="","",COUNTA(Tasks[[#Headers],[Task Name]]:Tasks[[#This Row],[Task Name]])-1)</f>
        <v/>
      </c>
      <c r="B117" s="21" t="n">
        <v>112</v>
      </c>
      <c r="C11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21"/>
      <c r="E117" s="22"/>
      <c r="F117" s="21"/>
      <c r="G117" s="22"/>
      <c r="H117" s="22"/>
      <c r="I117" s="22"/>
      <c r="J117" s="7"/>
      <c r="K117" s="7"/>
      <c r="L117" s="22"/>
      <c r="M117" s="58" t="str">
        <f aca="false">IF(Tasks[[#This Row],[Task Name]]="","",IF(Tasks[[#This Row],[_IsSummary]],MIN(INDEX(Tasks[_ShownFcstStart],Tasks[[#This Row],[_Row]]+1):INDEX(Tasks[_ShownFcstStart],Tasks[[#This Row],[_Row]]+Tasks[[#This Row],[_Descendants]])),Tasks[[#This Row],[_ShownFcstStart]]))</f>
        <v/>
      </c>
      <c r="N117" s="58" t="str">
        <f aca="false">IF(Tasks[[#This Row],[Task Name]]="","",IF(Tasks[[#This Row],[_IsSummary]],MAX(INDEX(Tasks[_ShownFcstFinish],Tasks[[#This Row],[_Row]]+1):INDEX(Tasks[_ShownFcstFinish],Tasks[[#This Row],[_Row]]+Tasks[[#This Row],[_Descendants]])),Tasks[[#This Row],[_ShownFcstFinish]]))</f>
        <v/>
      </c>
      <c r="O117" s="20" t="str">
        <f aca="false">IF(Tasks[[#This Row],[Task Name]]="","",IF(Tasks[[#This Row],[Progress]]&gt;=1,"Complete",IF(OR(N(Tasks[[#This Row],[Actual Start]])&gt;0,Tasks[[#This Row],[Progress]]&gt;0),IF(Tasks[[#This Row],[Finish Var]]&gt;0,"Behind","In Progress"),IF(Tasks[[#This Row],[Planned Start]]&lt;StatusDate,"Late Start","Not Started"))))</f>
        <v/>
      </c>
      <c r="P117" s="20" t="str">
        <f aca="false">IF(Tasks[[#This Row],[Task Name]]="","",IF(IF(Tasks[[#This Row],[_IsSummary]],COUNTIF(INDEX(Tasks[_LeafCritical],Tasks[[#This Row],[_Row]]+1):INDEX(Tasks[_LeafCritical],Tasks[[#This Row],[_Row]]+Tasks[[#This Row],[_Descendants]]),TRUE())&gt;0,Tasks[[#This Row],[_LeafCritical]]),"Yes",""))</f>
        <v/>
      </c>
      <c r="Q11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17" s="67" t="str">
        <f aca="false">IF(Tasks[[#This Row],[Task Name]]="","",IF(Tasks[[#This Row],[_Level]]&lt;=OutlineShowLevel,"Yes","No"))</f>
        <v/>
      </c>
      <c r="S117" s="7"/>
      <c r="T117" s="21"/>
      <c r="U117" s="22"/>
      <c r="V117" s="7"/>
      <c r="W117" s="67" t="str">
        <f aca="false">IF(Tasks[[#This Row],[Task Name]]="","",IF(Tasks[[#This Row],[Finish]]&gt;=Tasks[[#This Row],[Planned Finish]],NETWORKDAYS.INTL(Tasks[[#This Row],[Planned Finish]],Tasks[[#This Row],[Finish]],WorkWeek,Holidays)-1,1-NETWORKDAYS.INTL(Tasks[[#This Row],[Finish]],Tasks[[#This Row],[Planned Finish]],WorkWeek,Holidays)))</f>
        <v/>
      </c>
      <c r="X117" s="58" t="str">
        <f aca="false">IF(Tasks[[#This Row],[Task Name]]="","",IF(N(Tasks[[#This Row],[Baseline Start]])&gt;0,Tasks[[#This Row],[Baseline Start]],Tasks[[#This Row],[_CalcStart]]))</f>
        <v/>
      </c>
      <c r="Y117" s="58" t="str">
        <f aca="false">IF(Tasks[[#This Row],[Task Name]]="","",IF(N(Tasks[[#This Row],[Baseline Finish]])&gt;0,Tasks[[#This Row],[Baseline Finish]],Tasks[[#This Row],[_CalcFinish]]))</f>
        <v/>
      </c>
      <c r="Z117" s="67" t="str">
        <f aca="false">IF(Tasks[[#This Row],[Task Name]]="","",IF(Tasks[[#This Row],[Start]]&gt;=Tasks[[#This Row],[Planned Start]],NETWORKDAYS.INTL(Tasks[[#This Row],[Planned Start]],Tasks[[#This Row],[Start]],WorkWeek,Holidays)-1,1-NETWORKDAYS.INTL(Tasks[[#This Row],[Start]],Tasks[[#This Row],[Planned Start]],WorkWeek,Holidays)))</f>
        <v/>
      </c>
      <c r="AA117" s="58" t="str">
        <f aca="false">IF(Tasks[[#This Row],[Task Name]]="","",IF(Tasks[[#This Row],[_IsSummary]],MIN(INDEX(Tasks[_LeafLateStart],Tasks[[#This Row],[_Row]]+1):INDEX(Tasks[_LeafLateStart],Tasks[[#This Row],[_Row]]+Tasks[[#This Row],[_Descendants]])),Tasks[[#This Row],[_LeafLateStart]]))</f>
        <v/>
      </c>
      <c r="AB117" s="58" t="str">
        <f aca="false">IF(Tasks[[#This Row],[Task Name]]="","",IF(Tasks[[#This Row],[_IsSummary]],MAX(INDEX(Tasks[_LeafLateFinish],Tasks[[#This Row],[_Row]]+1):INDEX(Tasks[_LeafLateFinish],Tasks[[#This Row],[_Row]]+Tasks[[#This Row],[_Descendants]])),Tasks[[#This Row],[_LeafLateFinish]]))</f>
        <v/>
      </c>
      <c r="AC117" s="67" t="str">
        <f aca="false">IF(Tasks[[#This Row],[Task Name]]="","",IF(Tasks[[#This Row],[_IsSummary]],MIN(INDEX(Tasks[_LeafTotalSlack],Tasks[[#This Row],[_Row]]+1):INDEX(Tasks[_LeafTotalSlack],Tasks[[#This Row],[_Row]]+Tasks[[#This Row],[_Descendants]])),Tasks[[#This Row],[_LeafTotalSlack]]))</f>
        <v/>
      </c>
      <c r="AD11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1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1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17" s="60"/>
      <c r="AH11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1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17" s="69" t="str">
        <f aca="false">IF(Tasks[[#This Row],[Task Name]]="","",IF(Tasks[[#This Row],[_IsSummary]],SUM(INDEX(Tasks[_LeafTotalWork],Tasks[[#This Row],[_Row]]+1):INDEX(Tasks[_LeafTotalWork],Tasks[[#This Row],[_Row]]+Tasks[[#This Row],[_Descendants]])),Tasks[[#This Row],[_LeafTotalWork]]))</f>
        <v/>
      </c>
      <c r="AK11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17" s="70" t="str">
        <f aca="false">IF(Tasks[[#This Row],[Task Name]]="","",IF(Tasks[[#This Row],[_IsSummary]],SUM(INDEX(Tasks[_LeafTotalCost],Tasks[[#This Row],[_Row]]+1):INDEX(Tasks[_LeafTotalCost],Tasks[[#This Row],[_Row]]+Tasks[[#This Row],[_Descendants]])),Tasks[[#This Row],[_LeafTotalCost]]))</f>
        <v/>
      </c>
      <c r="AM117" s="71"/>
      <c r="AN117" s="20" t="str">
        <f aca="false">IF(OR(Tasks[[#This Row],[Task Name]]="",Tasks[[#This Row],[Baseline Duration]]=""),"",Tasks[[#This Row],[BL Source Duration]]-N(Tasks[[#This Row],[Baseline Duration]]))</f>
        <v/>
      </c>
      <c r="AO117" s="69" t="str">
        <f aca="false">IF(OR(Tasks[[#This Row],[Task Name]]="",Tasks[[#This Row],[Baseline Work]]=""),"",Tasks[[#This Row],[Work]]-N(Tasks[[#This Row],[Baseline Work]]))</f>
        <v/>
      </c>
      <c r="AP117" s="70" t="str">
        <f aca="false">IF(OR(Tasks[[#This Row],[Task Name]]="",Tasks[[#This Row],[Baseline Cost]]=""),"",Tasks[[#This Row],[Cost]]-N(Tasks[[#This Row],[Baseline Cost]]))</f>
        <v/>
      </c>
      <c r="AQ117" s="58" t="str">
        <f aca="false">IF(Tasks[[#This Row],[Task Name]]="","",Tasks[[#This Row],[Start]])</f>
        <v/>
      </c>
      <c r="AR117" s="58" t="str">
        <f aca="false">IF(Tasks[[#This Row],[Task Name]]="","",Tasks[[#This Row],[Finish]])</f>
        <v/>
      </c>
      <c r="AS117" s="67" t="str">
        <f aca="false">IF(Tasks[[#This Row],[Task Name]]="","",IF(Tasks[[#This Row],[_IsSummary]],NETWORKDAYS.INTL(Tasks[[#This Row],[Start]],Tasks[[#This Row],[Finish]],WorkWeek,Holidays),N(Tasks[[#This Row],[Duration]])))</f>
        <v/>
      </c>
      <c r="AT117" s="69" t="str">
        <f aca="false">IF(Tasks[[#This Row],[Task Name]]="","",Tasks[[#This Row],[Work]])</f>
        <v/>
      </c>
      <c r="AU117" s="70" t="str">
        <f aca="false">IF(Tasks[[#This Row],[Task Name]]="","",Tasks[[#This Row],[Cost]])</f>
        <v/>
      </c>
      <c r="AV117" s="7"/>
      <c r="AW117" s="7"/>
      <c r="AX117" s="21"/>
      <c r="AY117" s="72"/>
      <c r="AZ117" s="71"/>
      <c r="BA117" s="70" t="str">
        <f aca="false">IF(Tasks[[#This Row],[Task Name]]="","",IF(Tasks[[#This Row],[_IsSummary]],SUM(INDEX(Tasks[_LeafEV],Tasks[[#This Row],[_Row]]+1):INDEX(Tasks[_LeafEV],Tasks[[#This Row],[_Row]]+Tasks[[#This Row],[_Descendants]])),Tasks[[#This Row],[_LeafEV]]))</f>
        <v/>
      </c>
      <c r="BB117" s="70" t="str">
        <f aca="false">IF(Tasks[[#This Row],[Task Name]]="","",IF(Tasks[[#This Row],[_IsSummary]],SUM(INDEX(Tasks[_LeafBudget],Tasks[[#This Row],[_Row]]+1):INDEX(Tasks[_LeafBudget],Tasks[[#This Row],[_Row]]+Tasks[[#This Row],[_Descendants]])),Tasks[[#This Row],[_LeafBudget]]))</f>
        <v/>
      </c>
      <c r="BC117" s="70" t="str">
        <f aca="false">IF(Tasks[[#This Row],[Task Name]]="","",IF(Tasks[[#This Row],[_IsSummary]],SUM(INDEX(Tasks[_LeafPV],Tasks[[#This Row],[_Row]]+1):INDEX(Tasks[_LeafPV],Tasks[[#This Row],[_Row]]+Tasks[[#This Row],[_Descendants]])),Tasks[[#This Row],[_LeafPV]]))</f>
        <v/>
      </c>
      <c r="BD117" s="70" t="str">
        <f aca="false">IF(Tasks[[#This Row],[Task Name]]="","",IF(Tasks[[#This Row],[_IsSummary]],SUM(INDEX(Tasks[_LeafAC],Tasks[[#This Row],[_Row]]+1):INDEX(Tasks[_LeafAC],Tasks[[#This Row],[_Row]]+Tasks[[#This Row],[_Descendants]])),Tasks[[#This Row],[_LeafAC]]))</f>
        <v/>
      </c>
      <c r="BE117" s="45" t="str">
        <f aca="false">IF(Tasks[[#This Row],[Task Name]]="","",MAX(1,N(Tasks[[#This Row],[Level]])))</f>
        <v/>
      </c>
      <c r="BF117" s="45" t="n">
        <f aca="false">ROW()-ROW(Tasks[[#Headers],[ID]])</f>
        <v>112</v>
      </c>
      <c r="BG117" s="45" t="n">
        <f aca="false">IF(OR(Tasks[[#This Row],[Task Name]]="",Tasks[[#This Row],[_Level]]&lt;=1),0,IFERROR(LOOKUP(2,1/(Tasks[[#Headers],[_Level]]:Tasks[[#This Row],[_Level]]=Tasks[[#This Row],[_Level]]-1),ROW(Tasks[[#Headers],[_Level]]:Tasks[[#This Row],[_Level]])),0))</f>
        <v>0</v>
      </c>
      <c r="BH117" s="45" t="n">
        <f aca="false">IFERROR(N(INDEX(Tasks[_Level],Tasks[[#This Row],[_Row]]+1)),0)</f>
        <v>0</v>
      </c>
      <c r="BI117" s="73" t="b">
        <f aca="false">AND(Tasks[[#This Row],[Task Name]]&lt;&gt;"",Tasks[[#This Row],[_NextLevel]]&gt;Tasks[[#This Row],[_Level]])</f>
        <v>0</v>
      </c>
      <c r="BJ117" s="45" t="n">
        <f aca="false">IF(Tasks[[#This Row],[_IsSummary]],COUNTIF(Tasks[WBS],Tasks[[#This Row],[WBS]]&amp;".*"),0)</f>
        <v>0</v>
      </c>
      <c r="BK117" s="45" t="n">
        <f aca="false">IF(AND(Tasks[[#This Row],[Task Name]]&lt;&gt;"",NOT(Tasks[[#This Row],[_IsSummary]])),1,0)</f>
        <v>0</v>
      </c>
      <c r="BL117" s="45" t="n">
        <f aca="false">IF(N(Tasks[[#This Row],[_Pred1UID]])=0,0,IFERROR(MATCH(Tasks[[#This Row],[_Pred1UID]],Tasks[UID],0),-1))</f>
        <v>0</v>
      </c>
      <c r="BM117" s="45" t="n">
        <f aca="false">IF(N(Tasks[[#This Row],[_Pred2UID]])=0,0,IFERROR(MATCH(Tasks[[#This Row],[_Pred2UID]],Tasks[UID],0),-1))</f>
        <v>0</v>
      </c>
      <c r="BN117" s="45" t="n">
        <f aca="false">IF(N(Tasks[[#This Row],[_Pred3UID]])=0,0,IFERROR(MATCH(Tasks[[#This Row],[_Pred3UID]],Tasks[UID],0),-1))</f>
        <v>0</v>
      </c>
      <c r="BO117" s="45" t="n">
        <f aca="false">IF(N(Tasks[[#This Row],[_Pred4UID]])=0,0,IFERROR(MATCH(Tasks[[#This Row],[_Pred4UID]],Tasks[UID],0),-1))</f>
        <v>0</v>
      </c>
      <c r="BP11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1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17" s="74" t="n">
        <f aca="false">IF(OR(Tasks[[#This Row],[_ConstraintCode]]=2,Tasks[[#This Row],[_ConstraintCode]]=3,Tasks[[#This Row],[_ConstraintCode]]=4,Tasks[[#This Row],[_ConstraintCode]]=6),Tasks[[#This Row],[_ConstraintStart]],0)</f>
        <v>0</v>
      </c>
      <c r="BS117" s="74" t="n">
        <f aca="false">IF(OR(Tasks[[#This Row],[_ConstraintCode]]=2,Tasks[[#This Row],[_ConstraintCode]]=3,Tasks[[#This Row],[_ConstraintCode]]=5,Tasks[[#This Row],[_ConstraintCode]]=7),Tasks[[#This Row],[_ConstraintStart]],2958465)</f>
        <v>2958465</v>
      </c>
      <c r="BT11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17" s="74" t="str">
        <f aca="false">IF(NOT(Tasks[[#This Row],[_IsLeaf]]=1),"",IF(N(Tasks[[#This Row],[Duration]])&lt;=0,Tasks[[#This Row],[_LeafCalcStart]],WORKDAY.INTL(Tasks[[#This Row],[_LeafCalcStart]],Tasks[[#This Row],[Duration]]-1,WorkWeek,Holidays)))</f>
        <v/>
      </c>
      <c r="BV11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1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17" s="45" t="str">
        <f aca="false">IF(Tasks[[#This Row],[Predecessors]]="","",TRIM(MID(SUBSTITUTE(SUBSTITUTE(SUBSTITUTE(UPPER(Tasks[[#This Row],[Predecessors]]),";",",")," ",""),",",REPT(" ",99)),1,99)))</f>
        <v/>
      </c>
      <c r="BY117" s="45" t="str">
        <f aca="false">IF(Tasks[[#This Row],[_Pred1Text]]="","",IFERROR(VALUE(LEFT(Tasks[[#This Row],[_Pred1Text]],MIN(FIND("F",Tasks[[#This Row],[_Pred1Text]]&amp;"F"),FIND("S",Tasks[[#This Row],[_Pred1Text]]&amp;"S"),FIND("+",Tasks[[#This Row],[_Pred1Text]]&amp;"+"),FIND("-",Tasks[[#This Row],[_Pred1Text]]&amp;"-"))-1)),""))</f>
        <v/>
      </c>
      <c r="BZ11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1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17" s="45" t="str">
        <f aca="false">IF(Tasks[[#This Row],[_Pred1Text]]="","",TRIM(MID(SUBSTITUTE(SUBSTITUTE(SUBSTITUTE(UPPER(Tasks[[#This Row],[Predecessors]]),";",",")," ",""),",",REPT(" ",99)),100,99)))</f>
        <v/>
      </c>
      <c r="CC117" s="45" t="str">
        <f aca="false">IF(Tasks[[#This Row],[_Pred2Text]]="","",IFERROR(VALUE(LEFT(Tasks[[#This Row],[_Pred2Text]],MIN(FIND("F",Tasks[[#This Row],[_Pred2Text]]&amp;"F"),FIND("S",Tasks[[#This Row],[_Pred2Text]]&amp;"S"),FIND("+",Tasks[[#This Row],[_Pred2Text]]&amp;"+"),FIND("-",Tasks[[#This Row],[_Pred2Text]]&amp;"-"))-1)),""))</f>
        <v/>
      </c>
      <c r="CD11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1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17" s="45" t="str">
        <f aca="false">IF(Tasks[[#This Row],[_Pred2Text]]="","",TRIM(MID(SUBSTITUTE(SUBSTITUTE(SUBSTITUTE(UPPER(Tasks[[#This Row],[Predecessors]]),";",",")," ",""),",",REPT(" ",99)),199,99)))</f>
        <v/>
      </c>
      <c r="CG117" s="45" t="str">
        <f aca="false">IF(Tasks[[#This Row],[_Pred3Text]]="","",IFERROR(VALUE(LEFT(Tasks[[#This Row],[_Pred3Text]],MIN(FIND("F",Tasks[[#This Row],[_Pred3Text]]&amp;"F"),FIND("S",Tasks[[#This Row],[_Pred3Text]]&amp;"S"),FIND("+",Tasks[[#This Row],[_Pred3Text]]&amp;"+"),FIND("-",Tasks[[#This Row],[_Pred3Text]]&amp;"-"))-1)),""))</f>
        <v/>
      </c>
      <c r="CH11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1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17" s="45" t="str">
        <f aca="false">IF(Tasks[[#This Row],[_Pred3Text]]="","",TRIM(MID(SUBSTITUTE(SUBSTITUTE(SUBSTITUTE(UPPER(Tasks[[#This Row],[Predecessors]]),";",",")," ",""),",",REPT(" ",99)),298,99)))</f>
        <v/>
      </c>
      <c r="CK117" s="45" t="str">
        <f aca="false">IF(Tasks[[#This Row],[_Pred4Text]]="","",IFERROR(VALUE(LEFT(Tasks[[#This Row],[_Pred4Text]],MIN(FIND("F",Tasks[[#This Row],[_Pred4Text]]&amp;"F"),FIND("S",Tasks[[#This Row],[_Pred4Text]]&amp;"S"),FIND("+",Tasks[[#This Row],[_Pred4Text]]&amp;"+"),FIND("-",Tasks[[#This Row],[_Pred4Text]]&amp;"-"))-1)),""))</f>
        <v/>
      </c>
      <c r="CL11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1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17" s="45" t="str">
        <f aca="false">IF(OR(Tasks[[#This Row],[Task Name]]="",Tasks[[#This Row],[Resources]]=""),"",TRIM(MID(SUBSTITUTE(Tasks[[#This Row],[Resources]],",",REPT(" ",99)),1,99)))</f>
        <v/>
      </c>
      <c r="CO117" s="45" t="str">
        <f aca="false">IF(Tasks[[#This Row],[_Res1Text]]="","",TRIM(MID(SUBSTITUTE(Tasks[[#This Row],[Resources]],",",REPT(" ",99)),100,99)))</f>
        <v/>
      </c>
      <c r="CP117" s="45" t="str">
        <f aca="false">IF(Tasks[[#This Row],[_Res2Text]]="","",TRIM(MID(SUBSTITUTE(Tasks[[#This Row],[Resources]],",",REPT(" ",99)),199,99)))</f>
        <v/>
      </c>
      <c r="CQ117" s="45" t="str">
        <f aca="false">IF(Tasks[[#This Row],[_Res3Text]]="","",TRIM(MID(SUBSTITUTE(Tasks[[#This Row],[Resources]],",",REPT(" ",99)),298,99)))</f>
        <v/>
      </c>
      <c r="CR11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1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7" s="45" t="n">
        <f aca="false">IF(NOT(Tasks[[#This Row],[_IsLeaf]]=1),0,(Tasks[[#This Row],[_Resource1]]&lt;&gt;"")+(Tasks[[#This Row],[_Res2]]&lt;&gt;"")+(Tasks[[#This Row],[_Res3]]&lt;&gt;"")+(Tasks[[#This Row],[_Res4]]&lt;&gt;""))</f>
        <v>0</v>
      </c>
      <c r="CU11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1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7" s="45" t="n">
        <f aca="false">IF(OR(NOT(Tasks[[#This Row],[_IsLeaf]]=1),Tasks[[#This Row],[_Res2]]=""),0,IF(ISNA(MATCH(Tasks[[#This Row],[_Res2]],res_Name,0)),0,N(Tasks[[#This Row],[Duration]])*HoursPerDay*IF(Tasks[[#This Row],[_Res2Units]]="",DefaultUnits,Tasks[[#This Row],[_Res2Units]])))</f>
        <v>0</v>
      </c>
      <c r="CX117" s="45" t="n">
        <f aca="false">IF(Tasks[[#This Row],[_Res2Work]]=0,0,Tasks[[#This Row],[_Res2Work]]*IFERROR(INDEX(res_Rate,MATCH(Tasks[[#This Row],[_Res2]],res_Name,0)),0))</f>
        <v>0</v>
      </c>
      <c r="CY117" s="45" t="n">
        <f aca="false">IF(AND(AND(Tasks[[#This Row],[_IsLeaf]]=1,Tasks[[#This Row],[_LeafTotalWork]]&gt;0),Tasks[[#This Row],[_Res2Work]]&gt;0),Tasks[[#This Row],[_Res2Work]]/(Tasks[[#This Row],[_FinishWorkday]]-Tasks[[#This Row],[_StartWorkday]]+1),0)</f>
        <v>0</v>
      </c>
      <c r="CZ117" s="45" t="n">
        <f aca="false">Tasks[[#This Row],[_Res2WorkPerWD]]*MAX(0,Tasks[[#This Row],[_StartWorkday]]-1)</f>
        <v>0</v>
      </c>
      <c r="DA117" s="45" t="n">
        <f aca="false">Tasks[[#This Row],[_Res2Work]]*Tasks[[#This Row],[_LeafProgress]]</f>
        <v>0</v>
      </c>
      <c r="DB117" s="45" t="n">
        <f aca="false">IF(Tasks[[#This Row],[_LeafTotalCost]]=0,0,Tasks[[#This Row],[_LeafAC]]*Tasks[[#This Row],[_Res2Cost]]/Tasks[[#This Row],[_LeafTotalCost]])</f>
        <v>0</v>
      </c>
      <c r="DC11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1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17" s="45" t="n">
        <f aca="false">IF(OR(NOT(Tasks[[#This Row],[_IsLeaf]]=1),Tasks[[#This Row],[_Res3]]=""),0,IF(ISNA(MATCH(Tasks[[#This Row],[_Res3]],res_Name,0)),0,N(Tasks[[#This Row],[Duration]])*HoursPerDay*IF(Tasks[[#This Row],[_Res3Units]]="",DefaultUnits,Tasks[[#This Row],[_Res3Units]])))</f>
        <v>0</v>
      </c>
      <c r="DF117" s="45" t="n">
        <f aca="false">IF(Tasks[[#This Row],[_Res3Work]]=0,0,Tasks[[#This Row],[_Res3Work]]*IFERROR(INDEX(res_Rate,MATCH(Tasks[[#This Row],[_Res3]],res_Name,0)),0))</f>
        <v>0</v>
      </c>
      <c r="DG117" s="45" t="n">
        <f aca="false">IF(AND(AND(Tasks[[#This Row],[_IsLeaf]]=1,Tasks[[#This Row],[_LeafTotalWork]]&gt;0),Tasks[[#This Row],[_Res3Work]]&gt;0),Tasks[[#This Row],[_Res3Work]]/(Tasks[[#This Row],[_FinishWorkday]]-Tasks[[#This Row],[_StartWorkday]]+1),0)</f>
        <v>0</v>
      </c>
      <c r="DH117" s="45" t="n">
        <f aca="false">Tasks[[#This Row],[_Res3WorkPerWD]]*MAX(0,Tasks[[#This Row],[_StartWorkday]]-1)</f>
        <v>0</v>
      </c>
      <c r="DI117" s="45" t="n">
        <f aca="false">Tasks[[#This Row],[_Res3Work]]*Tasks[[#This Row],[_LeafProgress]]</f>
        <v>0</v>
      </c>
      <c r="DJ117" s="45" t="n">
        <f aca="false">IF(Tasks[[#This Row],[_LeafTotalCost]]=0,0,Tasks[[#This Row],[_LeafAC]]*Tasks[[#This Row],[_Res3Cost]]/Tasks[[#This Row],[_LeafTotalCost]])</f>
        <v>0</v>
      </c>
      <c r="DK11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1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17" s="45" t="n">
        <f aca="false">IF(OR(NOT(Tasks[[#This Row],[_IsLeaf]]=1),Tasks[[#This Row],[_Res4]]=""),0,IF(ISNA(MATCH(Tasks[[#This Row],[_Res4]],res_Name,0)),0,N(Tasks[[#This Row],[Duration]])*HoursPerDay*IF(Tasks[[#This Row],[_Res4Units]]="",DefaultUnits,Tasks[[#This Row],[_Res4Units]])))</f>
        <v>0</v>
      </c>
      <c r="DN117" s="45" t="n">
        <f aca="false">IF(Tasks[[#This Row],[_Res4Work]]=0,0,Tasks[[#This Row],[_Res4Work]]*IFERROR(INDEX(res_Rate,MATCH(Tasks[[#This Row],[_Res4]],res_Name,0)),0))</f>
        <v>0</v>
      </c>
      <c r="DO117" s="45" t="n">
        <f aca="false">IF(AND(AND(Tasks[[#This Row],[_IsLeaf]]=1,Tasks[[#This Row],[_LeafTotalWork]]&gt;0),Tasks[[#This Row],[_Res4Work]]&gt;0),Tasks[[#This Row],[_Res4Work]]/(Tasks[[#This Row],[_FinishWorkday]]-Tasks[[#This Row],[_StartWorkday]]+1),0)</f>
        <v>0</v>
      </c>
      <c r="DP117" s="45" t="n">
        <f aca="false">Tasks[[#This Row],[_Res4WorkPerWD]]*MAX(0,Tasks[[#This Row],[_StartWorkday]]-1)</f>
        <v>0</v>
      </c>
      <c r="DQ117" s="45" t="n">
        <f aca="false">Tasks[[#This Row],[_Res4Work]]*Tasks[[#This Row],[_LeafProgress]]</f>
        <v>0</v>
      </c>
      <c r="DR117" s="45" t="n">
        <f aca="false">IF(Tasks[[#This Row],[_LeafTotalCost]]=0,0,Tasks[[#This Row],[_LeafAC]]*Tasks[[#This Row],[_Res4Cost]]/Tasks[[#This Row],[_LeafTotalCost]])</f>
        <v>0</v>
      </c>
      <c r="DS117" s="45" t="n">
        <f aca="false">IF(ISNUMBER(Tasks[[#This Row],[% Complete]]),Tasks[[#This Row],[% Complete]],IF(Tasks[[#This Row],[Stage]]="",0,IFERROR(INDEX(stg_Pct,MATCH(Tasks[[#This Row],[Stage]],stg_Name,0)),0)))</f>
        <v>0</v>
      </c>
      <c r="DT117" s="45" t="n">
        <f aca="false">IF(NOT(Tasks[[#This Row],[_IsLeaf]]=1),0,IF(N(Tasks[[#This Row],[Actual Finish]])&gt;0,1,MIN(1,Tasks[[#This Row],[_Pct]])))</f>
        <v>0</v>
      </c>
      <c r="DU117" s="45" t="n">
        <f aca="false">IF(OR(NOT(Tasks[[#This Row],[_IsLeaf]]=1),Tasks[[#This Row],[_Resource1]]=""),0,IF(ISNA(MATCH(Tasks[[#This Row],[_Resource1]],res_Name,0)),0,N(Tasks[[#This Row],[Duration]])*HoursPerDay*IF(Tasks[[#This Row],[_Units1]]="",DefaultUnits,Tasks[[#This Row],[_Units1]])))</f>
        <v>0</v>
      </c>
      <c r="DV117" s="45" t="n">
        <f aca="false">IF(Tasks[[#This Row],[_LeafWork]]=0,0,Tasks[[#This Row],[_LeafWork]]*IFERROR(INDEX(res_Rate,MATCH(Tasks[[#This Row],[_Resource1]],res_Name,0)),0))</f>
        <v>0</v>
      </c>
      <c r="DW117" s="45" t="n">
        <f aca="false">Tasks[[#This Row],[_LeafWork]]+Tasks[[#This Row],[_Res2Work]]+Tasks[[#This Row],[_Res3Work]]+Tasks[[#This Row],[_Res4Work]]</f>
        <v>0</v>
      </c>
      <c r="DX117" s="45" t="n">
        <f aca="false">Tasks[[#This Row],[_LeafCost]]+Tasks[[#This Row],[_Res2Cost]]+Tasks[[#This Row],[_Res3Cost]]+Tasks[[#This Row],[_Res4Cost]]</f>
        <v>0</v>
      </c>
      <c r="DY117" s="45" t="n">
        <f aca="false">IF(Tasks[[#This Row],[_LeafTotalCost]]=0,Tasks[[#This Row],[_LeafAC]],Tasks[[#This Row],[_LeafAC]]*Tasks[[#This Row],[_LeafCost]]/Tasks[[#This Row],[_LeafTotalCost]])</f>
        <v>0</v>
      </c>
      <c r="DZ11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1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1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1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1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1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1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1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17" s="45" t="n">
        <f aca="false">IF(NOT(Tasks[[#This Row],[_IsLeaf]]=1),0,MAX(_xlfn.MAXIFS(Tasks[_Row],Tasks[_Pred1UID],Tasks[[#This Row],[UID]]),_xlfn.MAXIFS(Tasks[_Row],Tasks[_Pred2UID],Tasks[[#This Row],[UID]]),_xlfn.MAXIFS(Tasks[_Row],Tasks[_Pred3UID],Tasks[[#This Row],[UID]]),_xlfn.MAXIFS(Tasks[_Row],Tasks[_Pred4UID],Tasks[[#This Row],[UID]])))</f>
        <v>0</v>
      </c>
      <c r="EI11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1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17" s="74" t="str">
        <f aca="false">IF(NOT(Tasks[[#This Row],[_IsLeaf]]=1),"",IF(N(Tasks[[#This Row],[Duration]])&lt;=0,Tasks[[#This Row],[_LeafLateFinish]],WORKDAY.INTL(Tasks[[#This Row],[_LeafLateFinish]],-(Tasks[[#This Row],[Duration]]-1),WorkWeek,Holidays)))</f>
        <v/>
      </c>
      <c r="EL11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17" s="73" t="b">
        <f aca="false">AND(Tasks[[#This Row],[_IsLeaf]]=1,Tasks[[#This Row],[_LeafProgress]]&lt;1,N(Tasks[[#This Row],[_LeafTotalSlack]])&lt;=CriticalSlackDays)</f>
        <v>0</v>
      </c>
      <c r="EN117" s="45" t="n">
        <f aca="false">IF(AND(Tasks[[#This Row],[_IsLeaf]]=1,Tasks[[#This Row],[_ConstraintCode]]=1,Tasks[[#This Row],[Mode]]&lt;&gt;"Manual",N(Tasks[[#This Row],[Actual Start]])=0),MAX(0,N(Tasks[[#This Row],[Free Slack]])),0)</f>
        <v>0</v>
      </c>
      <c r="EO117" s="74" t="str">
        <f aca="false">IF(NOT(Tasks[[#This Row],[_IsLeaf]]=1),"",IF(Tasks[[#This Row],[_AlapShift]]=0,Tasks[[#This Row],[_LeafCalcStart]],WORKDAY.INTL(Tasks[[#This Row],[_LeafCalcStart]],Tasks[[#This Row],[_AlapShift]],WorkWeek,Holidays)))</f>
        <v/>
      </c>
      <c r="EP117" s="74" t="str">
        <f aca="false">IF(NOT(Tasks[[#This Row],[_IsLeaf]]=1),"",IF(Tasks[[#This Row],[_AlapShift]]=0,Tasks[[#This Row],[_LeafCalcFinish]],WORKDAY.INTL(Tasks[[#This Row],[_LeafCalcFinish]],Tasks[[#This Row],[_AlapShift]],WorkWeek,Holidays)))</f>
        <v/>
      </c>
      <c r="EQ117" s="74" t="str">
        <f aca="false">IF(NOT(Tasks[[#This Row],[_IsLeaf]]=1),"",IF(Tasks[[#This Row],[_AlapShift]]=0,Tasks[[#This Row],[_LeafFcstStart]],WORKDAY.INTL(Tasks[[#This Row],[_LeafFcstStart]],Tasks[[#This Row],[_AlapShift]],WorkWeek,Holidays)))</f>
        <v/>
      </c>
      <c r="ER117" s="74" t="str">
        <f aca="false">IF(NOT(Tasks[[#This Row],[_IsLeaf]]=1),"",IF(Tasks[[#This Row],[_AlapShift]]=0,Tasks[[#This Row],[_LeafFcstFinish]],WORKDAY.INTL(Tasks[[#This Row],[_LeafFcstFinish]],Tasks[[#This Row],[_AlapShift]],WorkWeek,Holidays)))</f>
        <v/>
      </c>
      <c r="ES117" s="74" t="str">
        <f aca="false">IF(Tasks[[#This Row],[Task Name]]="","",IF(Tasks[[#This Row],[_IsSummary]],MIN(INDEX(Tasks[_ShownCalcStart],Tasks[[#This Row],[_Row]]+1):INDEX(Tasks[_ShownCalcStart],Tasks[[#This Row],[_Row]]+Tasks[[#This Row],[_Descendants]])),Tasks[[#This Row],[_ShownCalcStart]]))</f>
        <v/>
      </c>
      <c r="ET117" s="74" t="str">
        <f aca="false">IF(Tasks[[#This Row],[Task Name]]="","",IF(Tasks[[#This Row],[_IsSummary]],MAX(INDEX(Tasks[_ShownCalcFinish],Tasks[[#This Row],[_Row]]+1):INDEX(Tasks[_ShownCalcFinish],Tasks[[#This Row],[_Row]]+Tasks[[#This Row],[_Descendants]])),Tasks[[#This Row],[_ShownCalcFinish]]))</f>
        <v/>
      </c>
      <c r="EU11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1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1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1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1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1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1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1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1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1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1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1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17" s="45" t="n">
        <f aca="false">IF(AND(Tasks[[#This Row],[_IsLeaf]]=1,Tasks[[#This Row],[_LeafTotalWork]]&gt;0),NETWORKDAYS.INTL(ProjectStart,Tasks[[#This Row],[_ShownFcstStart]],WorkWeek,Holidays),0)</f>
        <v>0</v>
      </c>
      <c r="FH117" s="45" t="n">
        <f aca="false">IF(AND(Tasks[[#This Row],[_IsLeaf]]=1,Tasks[[#This Row],[_LeafTotalWork]]&gt;0),MAX(Tasks[[#This Row],[_StartWorkday]],NETWORKDAYS.INTL(ProjectStart,Tasks[[#This Row],[_ShownFcstFinish]],WorkWeek,Holidays)),0)</f>
        <v>0</v>
      </c>
      <c r="FI117" s="45" t="n">
        <f aca="false">IF(AND(Tasks[[#This Row],[_IsLeaf]]=1,Tasks[[#This Row],[_LeafTotalWork]]&gt;0),Tasks[[#This Row],[_LeafWork]]/(Tasks[[#This Row],[_FinishWorkday]]-Tasks[[#This Row],[_StartWorkday]]+1),0)</f>
        <v>0</v>
      </c>
      <c r="FJ117" s="45" t="n">
        <f aca="false">Tasks[[#This Row],[_WorkPerWorkday]]*(Tasks[[#This Row],[_StartWorkday]]-1)</f>
        <v>-0</v>
      </c>
      <c r="FK117" s="45" t="n">
        <f aca="false">IF(Tasks[[#This Row],[_IsLeaf]]=1,MAX(N(Tasks[[#This Row],[Duration]]),0.1),0)</f>
        <v>0</v>
      </c>
      <c r="FL117" s="45" t="n">
        <f aca="false">Tasks[[#This Row],[_WeightDur]]*Tasks[[#This Row],[_LeafProgress]]</f>
        <v>0</v>
      </c>
      <c r="FM11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17" s="45" t="str">
        <f aca="false">IF(AND(Tasks[[#This Row],[_IsLeaf]]=1,N(Tasks[[#This Row],[Duration]])=0,Tasks[[#This Row],[_LeafProgress]]&lt;1),Tasks[[#This Row],[_ShownFcstFinish]]+Tasks[[#This Row],[_Row]]/100000,"")</f>
        <v/>
      </c>
      <c r="FO11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17" s="45" t="n">
        <f aca="false">IF(NOT(Tasks[[#This Row],[_IsLeaf]]=1),0,IF(Tasks[[#This Row],[Baseline Cost]]="",Tasks[[#This Row],[_LeafTotalCost]],N(Tasks[[#This Row],[Baseline Cost]])))</f>
        <v>0</v>
      </c>
      <c r="FQ117" s="45" t="n">
        <f aca="false">Tasks[[#This Row],[_LeafBudget]]*Tasks[[#This Row],[_PlannedPct]]</f>
        <v>0</v>
      </c>
      <c r="FR117" s="45" t="n">
        <f aca="false">Tasks[[#This Row],[_LeafBudget]]*Tasks[[#This Row],[_LeafProgress]]</f>
        <v>0</v>
      </c>
      <c r="FS117" s="45" t="n">
        <f aca="false">IF(NOT(Tasks[[#This Row],[_IsLeaf]]=1),0,IF(Tasks[[#This Row],[Actual Cost]]="",Tasks[[#This Row],[_LeafTotalCost]]*Tasks[[#This Row],[_LeafProgress]],N(Tasks[[#This Row],[Actual Cost]])))</f>
        <v>0</v>
      </c>
      <c r="FT117" s="45" t="str">
        <f aca="false">IF(Tasks[[#This Row],[Task Name]]="","",LEFT(Tasks[[#This Row],[WBS]],FIND(".",Tasks[[#This Row],[WBS]]&amp;".")-1))</f>
        <v/>
      </c>
      <c r="FU117" s="45" t="str">
        <f aca="false">IF(AND(Tasks[[#This Row],[Task Name]]&lt;&gt;"",Tasks[[#This Row],[_Level]]=1),Tasks[[#This Row],[_Row]],"")</f>
        <v/>
      </c>
      <c r="FV117" s="45" t="str">
        <f aca="false">IF(AND(Tasks[[#This Row],[_IsLeaf]]=1,N(Tasks[[#This Row],[Duration]])=0),Tasks[[#This Row],[Planned Finish]]+Tasks[[#This Row],[_Row]]/100000,"")</f>
        <v/>
      </c>
      <c r="FW117" s="45" t="str">
        <f aca="false">IF(AND(Tasks[[#This Row],[_IsLeaf]]=1,Tasks[[#This Row],[_LeafProgress]]&lt;1,OR(N(Tasks[[#This Row],[Finish Var]])&gt;0,Tasks[[#This Row],[Status]]="Late Start")),MAX(0,Tasks[[#This Row],[Finish Var]])+1-Tasks[[#This Row],[_Row]]/1000000,"")</f>
        <v/>
      </c>
      <c r="FX117" s="45" t="str">
        <f aca="false">IF(AND(Tasks[[#This Row],[_IsLeaf]]=1,N(Tasks[[#This Row],[Actual Start]])=0,Tasks[[#This Row],[_ShownFcstStart]]&gt;=StatusDate,Tasks[[#This Row],[_ShownFcstStart]]&lt;=LookaheadEnd),Tasks[[#This Row],[_ShownFcstStart]]+Tasks[[#This Row],[_Row]]/100000,"")</f>
        <v/>
      </c>
      <c r="FY117" s="45" t="str">
        <f aca="false">IF(AND(Tasks[[#This Row],[_IsLeaf]]=1,Tasks[[#This Row],[_LeafProgress]]&lt;1,Tasks[[#This Row],[_ShownFcstFinish]]&gt;=StatusDate,Tasks[[#This Row],[_ShownFcstFinish]]&lt;=LookaheadEnd),Tasks[[#This Row],[_ShownFcstFinish]]+Tasks[[#This Row],[_Row]]/100000,"")</f>
        <v/>
      </c>
      <c r="FZ117" s="45" t="str">
        <f aca="false">IF(Tasks[[#This Row],[_LeafCritical]],Tasks[[#This Row],[_ShownFcstStart]]+Tasks[[#This Row],[_Row]]/100000,"")</f>
        <v/>
      </c>
      <c r="GA117" s="45" t="n">
        <f aca="false">Tasks[[#This Row],[_LeafWork]]*Tasks[[#This Row],[_LeafProgress]]</f>
        <v>0</v>
      </c>
      <c r="GB117" s="74" t="str">
        <f aca="false">IF(AND(Tasks[[#This Row],[_IsLeaf]]=1,Tasks[[#This Row],[_LeafProgress]]&gt;=1),IF(N(Tasks[[#This Row],[Actual Finish]])&gt;0,Tasks[[#This Row],[Actual Finish]],Tasks[[#This Row],[_ShownFcstFinish]]),"")</f>
        <v/>
      </c>
    </row>
    <row r="118" customFormat="false" ht="15" hidden="false" customHeight="false" outlineLevel="0" collapsed="false">
      <c r="A118" s="67" t="str">
        <f aca="false">IF(Tasks[[#This Row],[Task Name]]="","",COUNTA(Tasks[[#Headers],[Task Name]]:Tasks[[#This Row],[Task Name]])-1)</f>
        <v/>
      </c>
      <c r="B118" s="21" t="n">
        <v>113</v>
      </c>
      <c r="C11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21"/>
      <c r="E118" s="22"/>
      <c r="F118" s="21"/>
      <c r="G118" s="22"/>
      <c r="H118" s="22"/>
      <c r="I118" s="22"/>
      <c r="J118" s="7"/>
      <c r="K118" s="7"/>
      <c r="L118" s="22"/>
      <c r="M118" s="58" t="str">
        <f aca="false">IF(Tasks[[#This Row],[Task Name]]="","",IF(Tasks[[#This Row],[_IsSummary]],MIN(INDEX(Tasks[_ShownFcstStart],Tasks[[#This Row],[_Row]]+1):INDEX(Tasks[_ShownFcstStart],Tasks[[#This Row],[_Row]]+Tasks[[#This Row],[_Descendants]])),Tasks[[#This Row],[_ShownFcstStart]]))</f>
        <v/>
      </c>
      <c r="N118" s="58" t="str">
        <f aca="false">IF(Tasks[[#This Row],[Task Name]]="","",IF(Tasks[[#This Row],[_IsSummary]],MAX(INDEX(Tasks[_ShownFcstFinish],Tasks[[#This Row],[_Row]]+1):INDEX(Tasks[_ShownFcstFinish],Tasks[[#This Row],[_Row]]+Tasks[[#This Row],[_Descendants]])),Tasks[[#This Row],[_ShownFcstFinish]]))</f>
        <v/>
      </c>
      <c r="O118" s="20" t="str">
        <f aca="false">IF(Tasks[[#This Row],[Task Name]]="","",IF(Tasks[[#This Row],[Progress]]&gt;=1,"Complete",IF(OR(N(Tasks[[#This Row],[Actual Start]])&gt;0,Tasks[[#This Row],[Progress]]&gt;0),IF(Tasks[[#This Row],[Finish Var]]&gt;0,"Behind","In Progress"),IF(Tasks[[#This Row],[Planned Start]]&lt;StatusDate,"Late Start","Not Started"))))</f>
        <v/>
      </c>
      <c r="P118" s="20" t="str">
        <f aca="false">IF(Tasks[[#This Row],[Task Name]]="","",IF(IF(Tasks[[#This Row],[_IsSummary]],COUNTIF(INDEX(Tasks[_LeafCritical],Tasks[[#This Row],[_Row]]+1):INDEX(Tasks[_LeafCritical],Tasks[[#This Row],[_Row]]+Tasks[[#This Row],[_Descendants]]),TRUE())&gt;0,Tasks[[#This Row],[_LeafCritical]]),"Yes",""))</f>
        <v/>
      </c>
      <c r="Q11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18" s="67" t="str">
        <f aca="false">IF(Tasks[[#This Row],[Task Name]]="","",IF(Tasks[[#This Row],[_Level]]&lt;=OutlineShowLevel,"Yes","No"))</f>
        <v/>
      </c>
      <c r="S118" s="7"/>
      <c r="T118" s="21"/>
      <c r="U118" s="22"/>
      <c r="V118" s="7"/>
      <c r="W118" s="67" t="str">
        <f aca="false">IF(Tasks[[#This Row],[Task Name]]="","",IF(Tasks[[#This Row],[Finish]]&gt;=Tasks[[#This Row],[Planned Finish]],NETWORKDAYS.INTL(Tasks[[#This Row],[Planned Finish]],Tasks[[#This Row],[Finish]],WorkWeek,Holidays)-1,1-NETWORKDAYS.INTL(Tasks[[#This Row],[Finish]],Tasks[[#This Row],[Planned Finish]],WorkWeek,Holidays)))</f>
        <v/>
      </c>
      <c r="X118" s="58" t="str">
        <f aca="false">IF(Tasks[[#This Row],[Task Name]]="","",IF(N(Tasks[[#This Row],[Baseline Start]])&gt;0,Tasks[[#This Row],[Baseline Start]],Tasks[[#This Row],[_CalcStart]]))</f>
        <v/>
      </c>
      <c r="Y118" s="58" t="str">
        <f aca="false">IF(Tasks[[#This Row],[Task Name]]="","",IF(N(Tasks[[#This Row],[Baseline Finish]])&gt;0,Tasks[[#This Row],[Baseline Finish]],Tasks[[#This Row],[_CalcFinish]]))</f>
        <v/>
      </c>
      <c r="Z118" s="67" t="str">
        <f aca="false">IF(Tasks[[#This Row],[Task Name]]="","",IF(Tasks[[#This Row],[Start]]&gt;=Tasks[[#This Row],[Planned Start]],NETWORKDAYS.INTL(Tasks[[#This Row],[Planned Start]],Tasks[[#This Row],[Start]],WorkWeek,Holidays)-1,1-NETWORKDAYS.INTL(Tasks[[#This Row],[Start]],Tasks[[#This Row],[Planned Start]],WorkWeek,Holidays)))</f>
        <v/>
      </c>
      <c r="AA118" s="58" t="str">
        <f aca="false">IF(Tasks[[#This Row],[Task Name]]="","",IF(Tasks[[#This Row],[_IsSummary]],MIN(INDEX(Tasks[_LeafLateStart],Tasks[[#This Row],[_Row]]+1):INDEX(Tasks[_LeafLateStart],Tasks[[#This Row],[_Row]]+Tasks[[#This Row],[_Descendants]])),Tasks[[#This Row],[_LeafLateStart]]))</f>
        <v/>
      </c>
      <c r="AB118" s="58" t="str">
        <f aca="false">IF(Tasks[[#This Row],[Task Name]]="","",IF(Tasks[[#This Row],[_IsSummary]],MAX(INDEX(Tasks[_LeafLateFinish],Tasks[[#This Row],[_Row]]+1):INDEX(Tasks[_LeafLateFinish],Tasks[[#This Row],[_Row]]+Tasks[[#This Row],[_Descendants]])),Tasks[[#This Row],[_LeafLateFinish]]))</f>
        <v/>
      </c>
      <c r="AC118" s="67" t="str">
        <f aca="false">IF(Tasks[[#This Row],[Task Name]]="","",IF(Tasks[[#This Row],[_IsSummary]],MIN(INDEX(Tasks[_LeafTotalSlack],Tasks[[#This Row],[_Row]]+1):INDEX(Tasks[_LeafTotalSlack],Tasks[[#This Row],[_Row]]+Tasks[[#This Row],[_Descendants]])),Tasks[[#This Row],[_LeafTotalSlack]]))</f>
        <v/>
      </c>
      <c r="AD11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1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1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18" s="60"/>
      <c r="AH11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1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18" s="69" t="str">
        <f aca="false">IF(Tasks[[#This Row],[Task Name]]="","",IF(Tasks[[#This Row],[_IsSummary]],SUM(INDEX(Tasks[_LeafTotalWork],Tasks[[#This Row],[_Row]]+1):INDEX(Tasks[_LeafTotalWork],Tasks[[#This Row],[_Row]]+Tasks[[#This Row],[_Descendants]])),Tasks[[#This Row],[_LeafTotalWork]]))</f>
        <v/>
      </c>
      <c r="AK11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18" s="70" t="str">
        <f aca="false">IF(Tasks[[#This Row],[Task Name]]="","",IF(Tasks[[#This Row],[_IsSummary]],SUM(INDEX(Tasks[_LeafTotalCost],Tasks[[#This Row],[_Row]]+1):INDEX(Tasks[_LeafTotalCost],Tasks[[#This Row],[_Row]]+Tasks[[#This Row],[_Descendants]])),Tasks[[#This Row],[_LeafTotalCost]]))</f>
        <v/>
      </c>
      <c r="AM118" s="71"/>
      <c r="AN118" s="20" t="str">
        <f aca="false">IF(OR(Tasks[[#This Row],[Task Name]]="",Tasks[[#This Row],[Baseline Duration]]=""),"",Tasks[[#This Row],[BL Source Duration]]-N(Tasks[[#This Row],[Baseline Duration]]))</f>
        <v/>
      </c>
      <c r="AO118" s="69" t="str">
        <f aca="false">IF(OR(Tasks[[#This Row],[Task Name]]="",Tasks[[#This Row],[Baseline Work]]=""),"",Tasks[[#This Row],[Work]]-N(Tasks[[#This Row],[Baseline Work]]))</f>
        <v/>
      </c>
      <c r="AP118" s="70" t="str">
        <f aca="false">IF(OR(Tasks[[#This Row],[Task Name]]="",Tasks[[#This Row],[Baseline Cost]]=""),"",Tasks[[#This Row],[Cost]]-N(Tasks[[#This Row],[Baseline Cost]]))</f>
        <v/>
      </c>
      <c r="AQ118" s="58" t="str">
        <f aca="false">IF(Tasks[[#This Row],[Task Name]]="","",Tasks[[#This Row],[Start]])</f>
        <v/>
      </c>
      <c r="AR118" s="58" t="str">
        <f aca="false">IF(Tasks[[#This Row],[Task Name]]="","",Tasks[[#This Row],[Finish]])</f>
        <v/>
      </c>
      <c r="AS118" s="67" t="str">
        <f aca="false">IF(Tasks[[#This Row],[Task Name]]="","",IF(Tasks[[#This Row],[_IsSummary]],NETWORKDAYS.INTL(Tasks[[#This Row],[Start]],Tasks[[#This Row],[Finish]],WorkWeek,Holidays),N(Tasks[[#This Row],[Duration]])))</f>
        <v/>
      </c>
      <c r="AT118" s="69" t="str">
        <f aca="false">IF(Tasks[[#This Row],[Task Name]]="","",Tasks[[#This Row],[Work]])</f>
        <v/>
      </c>
      <c r="AU118" s="70" t="str">
        <f aca="false">IF(Tasks[[#This Row],[Task Name]]="","",Tasks[[#This Row],[Cost]])</f>
        <v/>
      </c>
      <c r="AV118" s="7"/>
      <c r="AW118" s="7"/>
      <c r="AX118" s="21"/>
      <c r="AY118" s="72"/>
      <c r="AZ118" s="71"/>
      <c r="BA118" s="70" t="str">
        <f aca="false">IF(Tasks[[#This Row],[Task Name]]="","",IF(Tasks[[#This Row],[_IsSummary]],SUM(INDEX(Tasks[_LeafEV],Tasks[[#This Row],[_Row]]+1):INDEX(Tasks[_LeafEV],Tasks[[#This Row],[_Row]]+Tasks[[#This Row],[_Descendants]])),Tasks[[#This Row],[_LeafEV]]))</f>
        <v/>
      </c>
      <c r="BB118" s="70" t="str">
        <f aca="false">IF(Tasks[[#This Row],[Task Name]]="","",IF(Tasks[[#This Row],[_IsSummary]],SUM(INDEX(Tasks[_LeafBudget],Tasks[[#This Row],[_Row]]+1):INDEX(Tasks[_LeafBudget],Tasks[[#This Row],[_Row]]+Tasks[[#This Row],[_Descendants]])),Tasks[[#This Row],[_LeafBudget]]))</f>
        <v/>
      </c>
      <c r="BC118" s="70" t="str">
        <f aca="false">IF(Tasks[[#This Row],[Task Name]]="","",IF(Tasks[[#This Row],[_IsSummary]],SUM(INDEX(Tasks[_LeafPV],Tasks[[#This Row],[_Row]]+1):INDEX(Tasks[_LeafPV],Tasks[[#This Row],[_Row]]+Tasks[[#This Row],[_Descendants]])),Tasks[[#This Row],[_LeafPV]]))</f>
        <v/>
      </c>
      <c r="BD118" s="70" t="str">
        <f aca="false">IF(Tasks[[#This Row],[Task Name]]="","",IF(Tasks[[#This Row],[_IsSummary]],SUM(INDEX(Tasks[_LeafAC],Tasks[[#This Row],[_Row]]+1):INDEX(Tasks[_LeafAC],Tasks[[#This Row],[_Row]]+Tasks[[#This Row],[_Descendants]])),Tasks[[#This Row],[_LeafAC]]))</f>
        <v/>
      </c>
      <c r="BE118" s="45" t="str">
        <f aca="false">IF(Tasks[[#This Row],[Task Name]]="","",MAX(1,N(Tasks[[#This Row],[Level]])))</f>
        <v/>
      </c>
      <c r="BF118" s="45" t="n">
        <f aca="false">ROW()-ROW(Tasks[[#Headers],[ID]])</f>
        <v>113</v>
      </c>
      <c r="BG118" s="45" t="n">
        <f aca="false">IF(OR(Tasks[[#This Row],[Task Name]]="",Tasks[[#This Row],[_Level]]&lt;=1),0,IFERROR(LOOKUP(2,1/(Tasks[[#Headers],[_Level]]:Tasks[[#This Row],[_Level]]=Tasks[[#This Row],[_Level]]-1),ROW(Tasks[[#Headers],[_Level]]:Tasks[[#This Row],[_Level]])),0))</f>
        <v>0</v>
      </c>
      <c r="BH118" s="45" t="n">
        <f aca="false">IFERROR(N(INDEX(Tasks[_Level],Tasks[[#This Row],[_Row]]+1)),0)</f>
        <v>0</v>
      </c>
      <c r="BI118" s="73" t="b">
        <f aca="false">AND(Tasks[[#This Row],[Task Name]]&lt;&gt;"",Tasks[[#This Row],[_NextLevel]]&gt;Tasks[[#This Row],[_Level]])</f>
        <v>0</v>
      </c>
      <c r="BJ118" s="45" t="n">
        <f aca="false">IF(Tasks[[#This Row],[_IsSummary]],COUNTIF(Tasks[WBS],Tasks[[#This Row],[WBS]]&amp;".*"),0)</f>
        <v>0</v>
      </c>
      <c r="BK118" s="45" t="n">
        <f aca="false">IF(AND(Tasks[[#This Row],[Task Name]]&lt;&gt;"",NOT(Tasks[[#This Row],[_IsSummary]])),1,0)</f>
        <v>0</v>
      </c>
      <c r="BL118" s="45" t="n">
        <f aca="false">IF(N(Tasks[[#This Row],[_Pred1UID]])=0,0,IFERROR(MATCH(Tasks[[#This Row],[_Pred1UID]],Tasks[UID],0),-1))</f>
        <v>0</v>
      </c>
      <c r="BM118" s="45" t="n">
        <f aca="false">IF(N(Tasks[[#This Row],[_Pred2UID]])=0,0,IFERROR(MATCH(Tasks[[#This Row],[_Pred2UID]],Tasks[UID],0),-1))</f>
        <v>0</v>
      </c>
      <c r="BN118" s="45" t="n">
        <f aca="false">IF(N(Tasks[[#This Row],[_Pred3UID]])=0,0,IFERROR(MATCH(Tasks[[#This Row],[_Pred3UID]],Tasks[UID],0),-1))</f>
        <v>0</v>
      </c>
      <c r="BO118" s="45" t="n">
        <f aca="false">IF(N(Tasks[[#This Row],[_Pred4UID]])=0,0,IFERROR(MATCH(Tasks[[#This Row],[_Pred4UID]],Tasks[UID],0),-1))</f>
        <v>0</v>
      </c>
      <c r="BP11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1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18" s="74" t="n">
        <f aca="false">IF(OR(Tasks[[#This Row],[_ConstraintCode]]=2,Tasks[[#This Row],[_ConstraintCode]]=3,Tasks[[#This Row],[_ConstraintCode]]=4,Tasks[[#This Row],[_ConstraintCode]]=6),Tasks[[#This Row],[_ConstraintStart]],0)</f>
        <v>0</v>
      </c>
      <c r="BS118" s="74" t="n">
        <f aca="false">IF(OR(Tasks[[#This Row],[_ConstraintCode]]=2,Tasks[[#This Row],[_ConstraintCode]]=3,Tasks[[#This Row],[_ConstraintCode]]=5,Tasks[[#This Row],[_ConstraintCode]]=7),Tasks[[#This Row],[_ConstraintStart]],2958465)</f>
        <v>2958465</v>
      </c>
      <c r="BT11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18" s="74" t="str">
        <f aca="false">IF(NOT(Tasks[[#This Row],[_IsLeaf]]=1),"",IF(N(Tasks[[#This Row],[Duration]])&lt;=0,Tasks[[#This Row],[_LeafCalcStart]],WORKDAY.INTL(Tasks[[#This Row],[_LeafCalcStart]],Tasks[[#This Row],[Duration]]-1,WorkWeek,Holidays)))</f>
        <v/>
      </c>
      <c r="BV11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1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18" s="45" t="str">
        <f aca="false">IF(Tasks[[#This Row],[Predecessors]]="","",TRIM(MID(SUBSTITUTE(SUBSTITUTE(SUBSTITUTE(UPPER(Tasks[[#This Row],[Predecessors]]),";",",")," ",""),",",REPT(" ",99)),1,99)))</f>
        <v/>
      </c>
      <c r="BY118" s="45" t="str">
        <f aca="false">IF(Tasks[[#This Row],[_Pred1Text]]="","",IFERROR(VALUE(LEFT(Tasks[[#This Row],[_Pred1Text]],MIN(FIND("F",Tasks[[#This Row],[_Pred1Text]]&amp;"F"),FIND("S",Tasks[[#This Row],[_Pred1Text]]&amp;"S"),FIND("+",Tasks[[#This Row],[_Pred1Text]]&amp;"+"),FIND("-",Tasks[[#This Row],[_Pred1Text]]&amp;"-"))-1)),""))</f>
        <v/>
      </c>
      <c r="BZ11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1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18" s="45" t="str">
        <f aca="false">IF(Tasks[[#This Row],[_Pred1Text]]="","",TRIM(MID(SUBSTITUTE(SUBSTITUTE(SUBSTITUTE(UPPER(Tasks[[#This Row],[Predecessors]]),";",",")," ",""),",",REPT(" ",99)),100,99)))</f>
        <v/>
      </c>
      <c r="CC118" s="45" t="str">
        <f aca="false">IF(Tasks[[#This Row],[_Pred2Text]]="","",IFERROR(VALUE(LEFT(Tasks[[#This Row],[_Pred2Text]],MIN(FIND("F",Tasks[[#This Row],[_Pred2Text]]&amp;"F"),FIND("S",Tasks[[#This Row],[_Pred2Text]]&amp;"S"),FIND("+",Tasks[[#This Row],[_Pred2Text]]&amp;"+"),FIND("-",Tasks[[#This Row],[_Pred2Text]]&amp;"-"))-1)),""))</f>
        <v/>
      </c>
      <c r="CD11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1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18" s="45" t="str">
        <f aca="false">IF(Tasks[[#This Row],[_Pred2Text]]="","",TRIM(MID(SUBSTITUTE(SUBSTITUTE(SUBSTITUTE(UPPER(Tasks[[#This Row],[Predecessors]]),";",",")," ",""),",",REPT(" ",99)),199,99)))</f>
        <v/>
      </c>
      <c r="CG118" s="45" t="str">
        <f aca="false">IF(Tasks[[#This Row],[_Pred3Text]]="","",IFERROR(VALUE(LEFT(Tasks[[#This Row],[_Pred3Text]],MIN(FIND("F",Tasks[[#This Row],[_Pred3Text]]&amp;"F"),FIND("S",Tasks[[#This Row],[_Pred3Text]]&amp;"S"),FIND("+",Tasks[[#This Row],[_Pred3Text]]&amp;"+"),FIND("-",Tasks[[#This Row],[_Pred3Text]]&amp;"-"))-1)),""))</f>
        <v/>
      </c>
      <c r="CH11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1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18" s="45" t="str">
        <f aca="false">IF(Tasks[[#This Row],[_Pred3Text]]="","",TRIM(MID(SUBSTITUTE(SUBSTITUTE(SUBSTITUTE(UPPER(Tasks[[#This Row],[Predecessors]]),";",",")," ",""),",",REPT(" ",99)),298,99)))</f>
        <v/>
      </c>
      <c r="CK118" s="45" t="str">
        <f aca="false">IF(Tasks[[#This Row],[_Pred4Text]]="","",IFERROR(VALUE(LEFT(Tasks[[#This Row],[_Pred4Text]],MIN(FIND("F",Tasks[[#This Row],[_Pred4Text]]&amp;"F"),FIND("S",Tasks[[#This Row],[_Pred4Text]]&amp;"S"),FIND("+",Tasks[[#This Row],[_Pred4Text]]&amp;"+"),FIND("-",Tasks[[#This Row],[_Pred4Text]]&amp;"-"))-1)),""))</f>
        <v/>
      </c>
      <c r="CL11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1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18" s="45" t="str">
        <f aca="false">IF(OR(Tasks[[#This Row],[Task Name]]="",Tasks[[#This Row],[Resources]]=""),"",TRIM(MID(SUBSTITUTE(Tasks[[#This Row],[Resources]],",",REPT(" ",99)),1,99)))</f>
        <v/>
      </c>
      <c r="CO118" s="45" t="str">
        <f aca="false">IF(Tasks[[#This Row],[_Res1Text]]="","",TRIM(MID(SUBSTITUTE(Tasks[[#This Row],[Resources]],",",REPT(" ",99)),100,99)))</f>
        <v/>
      </c>
      <c r="CP118" s="45" t="str">
        <f aca="false">IF(Tasks[[#This Row],[_Res2Text]]="","",TRIM(MID(SUBSTITUTE(Tasks[[#This Row],[Resources]],",",REPT(" ",99)),199,99)))</f>
        <v/>
      </c>
      <c r="CQ118" s="45" t="str">
        <f aca="false">IF(Tasks[[#This Row],[_Res3Text]]="","",TRIM(MID(SUBSTITUTE(Tasks[[#This Row],[Resources]],",",REPT(" ",99)),298,99)))</f>
        <v/>
      </c>
      <c r="CR11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1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8" s="45" t="n">
        <f aca="false">IF(NOT(Tasks[[#This Row],[_IsLeaf]]=1),0,(Tasks[[#This Row],[_Resource1]]&lt;&gt;"")+(Tasks[[#This Row],[_Res2]]&lt;&gt;"")+(Tasks[[#This Row],[_Res3]]&lt;&gt;"")+(Tasks[[#This Row],[_Res4]]&lt;&gt;""))</f>
        <v>0</v>
      </c>
      <c r="CU11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1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8" s="45" t="n">
        <f aca="false">IF(OR(NOT(Tasks[[#This Row],[_IsLeaf]]=1),Tasks[[#This Row],[_Res2]]=""),0,IF(ISNA(MATCH(Tasks[[#This Row],[_Res2]],res_Name,0)),0,N(Tasks[[#This Row],[Duration]])*HoursPerDay*IF(Tasks[[#This Row],[_Res2Units]]="",DefaultUnits,Tasks[[#This Row],[_Res2Units]])))</f>
        <v>0</v>
      </c>
      <c r="CX118" s="45" t="n">
        <f aca="false">IF(Tasks[[#This Row],[_Res2Work]]=0,0,Tasks[[#This Row],[_Res2Work]]*IFERROR(INDEX(res_Rate,MATCH(Tasks[[#This Row],[_Res2]],res_Name,0)),0))</f>
        <v>0</v>
      </c>
      <c r="CY118" s="45" t="n">
        <f aca="false">IF(AND(AND(Tasks[[#This Row],[_IsLeaf]]=1,Tasks[[#This Row],[_LeafTotalWork]]&gt;0),Tasks[[#This Row],[_Res2Work]]&gt;0),Tasks[[#This Row],[_Res2Work]]/(Tasks[[#This Row],[_FinishWorkday]]-Tasks[[#This Row],[_StartWorkday]]+1),0)</f>
        <v>0</v>
      </c>
      <c r="CZ118" s="45" t="n">
        <f aca="false">Tasks[[#This Row],[_Res2WorkPerWD]]*MAX(0,Tasks[[#This Row],[_StartWorkday]]-1)</f>
        <v>0</v>
      </c>
      <c r="DA118" s="45" t="n">
        <f aca="false">Tasks[[#This Row],[_Res2Work]]*Tasks[[#This Row],[_LeafProgress]]</f>
        <v>0</v>
      </c>
      <c r="DB118" s="45" t="n">
        <f aca="false">IF(Tasks[[#This Row],[_LeafTotalCost]]=0,0,Tasks[[#This Row],[_LeafAC]]*Tasks[[#This Row],[_Res2Cost]]/Tasks[[#This Row],[_LeafTotalCost]])</f>
        <v>0</v>
      </c>
      <c r="DC11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1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18" s="45" t="n">
        <f aca="false">IF(OR(NOT(Tasks[[#This Row],[_IsLeaf]]=1),Tasks[[#This Row],[_Res3]]=""),0,IF(ISNA(MATCH(Tasks[[#This Row],[_Res3]],res_Name,0)),0,N(Tasks[[#This Row],[Duration]])*HoursPerDay*IF(Tasks[[#This Row],[_Res3Units]]="",DefaultUnits,Tasks[[#This Row],[_Res3Units]])))</f>
        <v>0</v>
      </c>
      <c r="DF118" s="45" t="n">
        <f aca="false">IF(Tasks[[#This Row],[_Res3Work]]=0,0,Tasks[[#This Row],[_Res3Work]]*IFERROR(INDEX(res_Rate,MATCH(Tasks[[#This Row],[_Res3]],res_Name,0)),0))</f>
        <v>0</v>
      </c>
      <c r="DG118" s="45" t="n">
        <f aca="false">IF(AND(AND(Tasks[[#This Row],[_IsLeaf]]=1,Tasks[[#This Row],[_LeafTotalWork]]&gt;0),Tasks[[#This Row],[_Res3Work]]&gt;0),Tasks[[#This Row],[_Res3Work]]/(Tasks[[#This Row],[_FinishWorkday]]-Tasks[[#This Row],[_StartWorkday]]+1),0)</f>
        <v>0</v>
      </c>
      <c r="DH118" s="45" t="n">
        <f aca="false">Tasks[[#This Row],[_Res3WorkPerWD]]*MAX(0,Tasks[[#This Row],[_StartWorkday]]-1)</f>
        <v>0</v>
      </c>
      <c r="DI118" s="45" t="n">
        <f aca="false">Tasks[[#This Row],[_Res3Work]]*Tasks[[#This Row],[_LeafProgress]]</f>
        <v>0</v>
      </c>
      <c r="DJ118" s="45" t="n">
        <f aca="false">IF(Tasks[[#This Row],[_LeafTotalCost]]=0,0,Tasks[[#This Row],[_LeafAC]]*Tasks[[#This Row],[_Res3Cost]]/Tasks[[#This Row],[_LeafTotalCost]])</f>
        <v>0</v>
      </c>
      <c r="DK11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1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18" s="45" t="n">
        <f aca="false">IF(OR(NOT(Tasks[[#This Row],[_IsLeaf]]=1),Tasks[[#This Row],[_Res4]]=""),0,IF(ISNA(MATCH(Tasks[[#This Row],[_Res4]],res_Name,0)),0,N(Tasks[[#This Row],[Duration]])*HoursPerDay*IF(Tasks[[#This Row],[_Res4Units]]="",DefaultUnits,Tasks[[#This Row],[_Res4Units]])))</f>
        <v>0</v>
      </c>
      <c r="DN118" s="45" t="n">
        <f aca="false">IF(Tasks[[#This Row],[_Res4Work]]=0,0,Tasks[[#This Row],[_Res4Work]]*IFERROR(INDEX(res_Rate,MATCH(Tasks[[#This Row],[_Res4]],res_Name,0)),0))</f>
        <v>0</v>
      </c>
      <c r="DO118" s="45" t="n">
        <f aca="false">IF(AND(AND(Tasks[[#This Row],[_IsLeaf]]=1,Tasks[[#This Row],[_LeafTotalWork]]&gt;0),Tasks[[#This Row],[_Res4Work]]&gt;0),Tasks[[#This Row],[_Res4Work]]/(Tasks[[#This Row],[_FinishWorkday]]-Tasks[[#This Row],[_StartWorkday]]+1),0)</f>
        <v>0</v>
      </c>
      <c r="DP118" s="45" t="n">
        <f aca="false">Tasks[[#This Row],[_Res4WorkPerWD]]*MAX(0,Tasks[[#This Row],[_StartWorkday]]-1)</f>
        <v>0</v>
      </c>
      <c r="DQ118" s="45" t="n">
        <f aca="false">Tasks[[#This Row],[_Res4Work]]*Tasks[[#This Row],[_LeafProgress]]</f>
        <v>0</v>
      </c>
      <c r="DR118" s="45" t="n">
        <f aca="false">IF(Tasks[[#This Row],[_LeafTotalCost]]=0,0,Tasks[[#This Row],[_LeafAC]]*Tasks[[#This Row],[_Res4Cost]]/Tasks[[#This Row],[_LeafTotalCost]])</f>
        <v>0</v>
      </c>
      <c r="DS118" s="45" t="n">
        <f aca="false">IF(ISNUMBER(Tasks[[#This Row],[% Complete]]),Tasks[[#This Row],[% Complete]],IF(Tasks[[#This Row],[Stage]]="",0,IFERROR(INDEX(stg_Pct,MATCH(Tasks[[#This Row],[Stage]],stg_Name,0)),0)))</f>
        <v>0</v>
      </c>
      <c r="DT118" s="45" t="n">
        <f aca="false">IF(NOT(Tasks[[#This Row],[_IsLeaf]]=1),0,IF(N(Tasks[[#This Row],[Actual Finish]])&gt;0,1,MIN(1,Tasks[[#This Row],[_Pct]])))</f>
        <v>0</v>
      </c>
      <c r="DU118" s="45" t="n">
        <f aca="false">IF(OR(NOT(Tasks[[#This Row],[_IsLeaf]]=1),Tasks[[#This Row],[_Resource1]]=""),0,IF(ISNA(MATCH(Tasks[[#This Row],[_Resource1]],res_Name,0)),0,N(Tasks[[#This Row],[Duration]])*HoursPerDay*IF(Tasks[[#This Row],[_Units1]]="",DefaultUnits,Tasks[[#This Row],[_Units1]])))</f>
        <v>0</v>
      </c>
      <c r="DV118" s="45" t="n">
        <f aca="false">IF(Tasks[[#This Row],[_LeafWork]]=0,0,Tasks[[#This Row],[_LeafWork]]*IFERROR(INDEX(res_Rate,MATCH(Tasks[[#This Row],[_Resource1]],res_Name,0)),0))</f>
        <v>0</v>
      </c>
      <c r="DW118" s="45" t="n">
        <f aca="false">Tasks[[#This Row],[_LeafWork]]+Tasks[[#This Row],[_Res2Work]]+Tasks[[#This Row],[_Res3Work]]+Tasks[[#This Row],[_Res4Work]]</f>
        <v>0</v>
      </c>
      <c r="DX118" s="45" t="n">
        <f aca="false">Tasks[[#This Row],[_LeafCost]]+Tasks[[#This Row],[_Res2Cost]]+Tasks[[#This Row],[_Res3Cost]]+Tasks[[#This Row],[_Res4Cost]]</f>
        <v>0</v>
      </c>
      <c r="DY118" s="45" t="n">
        <f aca="false">IF(Tasks[[#This Row],[_LeafTotalCost]]=0,Tasks[[#This Row],[_LeafAC]],Tasks[[#This Row],[_LeafAC]]*Tasks[[#This Row],[_LeafCost]]/Tasks[[#This Row],[_LeafTotalCost]])</f>
        <v>0</v>
      </c>
      <c r="DZ11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1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1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1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1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1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1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1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18" s="45" t="n">
        <f aca="false">IF(NOT(Tasks[[#This Row],[_IsLeaf]]=1),0,MAX(_xlfn.MAXIFS(Tasks[_Row],Tasks[_Pred1UID],Tasks[[#This Row],[UID]]),_xlfn.MAXIFS(Tasks[_Row],Tasks[_Pred2UID],Tasks[[#This Row],[UID]]),_xlfn.MAXIFS(Tasks[_Row],Tasks[_Pred3UID],Tasks[[#This Row],[UID]]),_xlfn.MAXIFS(Tasks[_Row],Tasks[_Pred4UID],Tasks[[#This Row],[UID]])))</f>
        <v>0</v>
      </c>
      <c r="EI11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1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18" s="74" t="str">
        <f aca="false">IF(NOT(Tasks[[#This Row],[_IsLeaf]]=1),"",IF(N(Tasks[[#This Row],[Duration]])&lt;=0,Tasks[[#This Row],[_LeafLateFinish]],WORKDAY.INTL(Tasks[[#This Row],[_LeafLateFinish]],-(Tasks[[#This Row],[Duration]]-1),WorkWeek,Holidays)))</f>
        <v/>
      </c>
      <c r="EL11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18" s="73" t="b">
        <f aca="false">AND(Tasks[[#This Row],[_IsLeaf]]=1,Tasks[[#This Row],[_LeafProgress]]&lt;1,N(Tasks[[#This Row],[_LeafTotalSlack]])&lt;=CriticalSlackDays)</f>
        <v>0</v>
      </c>
      <c r="EN118" s="45" t="n">
        <f aca="false">IF(AND(Tasks[[#This Row],[_IsLeaf]]=1,Tasks[[#This Row],[_ConstraintCode]]=1,Tasks[[#This Row],[Mode]]&lt;&gt;"Manual",N(Tasks[[#This Row],[Actual Start]])=0),MAX(0,N(Tasks[[#This Row],[Free Slack]])),0)</f>
        <v>0</v>
      </c>
      <c r="EO118" s="74" t="str">
        <f aca="false">IF(NOT(Tasks[[#This Row],[_IsLeaf]]=1),"",IF(Tasks[[#This Row],[_AlapShift]]=0,Tasks[[#This Row],[_LeafCalcStart]],WORKDAY.INTL(Tasks[[#This Row],[_LeafCalcStart]],Tasks[[#This Row],[_AlapShift]],WorkWeek,Holidays)))</f>
        <v/>
      </c>
      <c r="EP118" s="74" t="str">
        <f aca="false">IF(NOT(Tasks[[#This Row],[_IsLeaf]]=1),"",IF(Tasks[[#This Row],[_AlapShift]]=0,Tasks[[#This Row],[_LeafCalcFinish]],WORKDAY.INTL(Tasks[[#This Row],[_LeafCalcFinish]],Tasks[[#This Row],[_AlapShift]],WorkWeek,Holidays)))</f>
        <v/>
      </c>
      <c r="EQ118" s="74" t="str">
        <f aca="false">IF(NOT(Tasks[[#This Row],[_IsLeaf]]=1),"",IF(Tasks[[#This Row],[_AlapShift]]=0,Tasks[[#This Row],[_LeafFcstStart]],WORKDAY.INTL(Tasks[[#This Row],[_LeafFcstStart]],Tasks[[#This Row],[_AlapShift]],WorkWeek,Holidays)))</f>
        <v/>
      </c>
      <c r="ER118" s="74" t="str">
        <f aca="false">IF(NOT(Tasks[[#This Row],[_IsLeaf]]=1),"",IF(Tasks[[#This Row],[_AlapShift]]=0,Tasks[[#This Row],[_LeafFcstFinish]],WORKDAY.INTL(Tasks[[#This Row],[_LeafFcstFinish]],Tasks[[#This Row],[_AlapShift]],WorkWeek,Holidays)))</f>
        <v/>
      </c>
      <c r="ES118" s="74" t="str">
        <f aca="false">IF(Tasks[[#This Row],[Task Name]]="","",IF(Tasks[[#This Row],[_IsSummary]],MIN(INDEX(Tasks[_ShownCalcStart],Tasks[[#This Row],[_Row]]+1):INDEX(Tasks[_ShownCalcStart],Tasks[[#This Row],[_Row]]+Tasks[[#This Row],[_Descendants]])),Tasks[[#This Row],[_ShownCalcStart]]))</f>
        <v/>
      </c>
      <c r="ET118" s="74" t="str">
        <f aca="false">IF(Tasks[[#This Row],[Task Name]]="","",IF(Tasks[[#This Row],[_IsSummary]],MAX(INDEX(Tasks[_ShownCalcFinish],Tasks[[#This Row],[_Row]]+1):INDEX(Tasks[_ShownCalcFinish],Tasks[[#This Row],[_Row]]+Tasks[[#This Row],[_Descendants]])),Tasks[[#This Row],[_ShownCalcFinish]]))</f>
        <v/>
      </c>
      <c r="EU11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1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1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1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1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1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1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1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1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1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1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1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18" s="45" t="n">
        <f aca="false">IF(AND(Tasks[[#This Row],[_IsLeaf]]=1,Tasks[[#This Row],[_LeafTotalWork]]&gt;0),NETWORKDAYS.INTL(ProjectStart,Tasks[[#This Row],[_ShownFcstStart]],WorkWeek,Holidays),0)</f>
        <v>0</v>
      </c>
      <c r="FH118" s="45" t="n">
        <f aca="false">IF(AND(Tasks[[#This Row],[_IsLeaf]]=1,Tasks[[#This Row],[_LeafTotalWork]]&gt;0),MAX(Tasks[[#This Row],[_StartWorkday]],NETWORKDAYS.INTL(ProjectStart,Tasks[[#This Row],[_ShownFcstFinish]],WorkWeek,Holidays)),0)</f>
        <v>0</v>
      </c>
      <c r="FI118" s="45" t="n">
        <f aca="false">IF(AND(Tasks[[#This Row],[_IsLeaf]]=1,Tasks[[#This Row],[_LeafTotalWork]]&gt;0),Tasks[[#This Row],[_LeafWork]]/(Tasks[[#This Row],[_FinishWorkday]]-Tasks[[#This Row],[_StartWorkday]]+1),0)</f>
        <v>0</v>
      </c>
      <c r="FJ118" s="45" t="n">
        <f aca="false">Tasks[[#This Row],[_WorkPerWorkday]]*(Tasks[[#This Row],[_StartWorkday]]-1)</f>
        <v>-0</v>
      </c>
      <c r="FK118" s="45" t="n">
        <f aca="false">IF(Tasks[[#This Row],[_IsLeaf]]=1,MAX(N(Tasks[[#This Row],[Duration]]),0.1),0)</f>
        <v>0</v>
      </c>
      <c r="FL118" s="45" t="n">
        <f aca="false">Tasks[[#This Row],[_WeightDur]]*Tasks[[#This Row],[_LeafProgress]]</f>
        <v>0</v>
      </c>
      <c r="FM11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18" s="45" t="str">
        <f aca="false">IF(AND(Tasks[[#This Row],[_IsLeaf]]=1,N(Tasks[[#This Row],[Duration]])=0,Tasks[[#This Row],[_LeafProgress]]&lt;1),Tasks[[#This Row],[_ShownFcstFinish]]+Tasks[[#This Row],[_Row]]/100000,"")</f>
        <v/>
      </c>
      <c r="FO11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18" s="45" t="n">
        <f aca="false">IF(NOT(Tasks[[#This Row],[_IsLeaf]]=1),0,IF(Tasks[[#This Row],[Baseline Cost]]="",Tasks[[#This Row],[_LeafTotalCost]],N(Tasks[[#This Row],[Baseline Cost]])))</f>
        <v>0</v>
      </c>
      <c r="FQ118" s="45" t="n">
        <f aca="false">Tasks[[#This Row],[_LeafBudget]]*Tasks[[#This Row],[_PlannedPct]]</f>
        <v>0</v>
      </c>
      <c r="FR118" s="45" t="n">
        <f aca="false">Tasks[[#This Row],[_LeafBudget]]*Tasks[[#This Row],[_LeafProgress]]</f>
        <v>0</v>
      </c>
      <c r="FS118" s="45" t="n">
        <f aca="false">IF(NOT(Tasks[[#This Row],[_IsLeaf]]=1),0,IF(Tasks[[#This Row],[Actual Cost]]="",Tasks[[#This Row],[_LeafTotalCost]]*Tasks[[#This Row],[_LeafProgress]],N(Tasks[[#This Row],[Actual Cost]])))</f>
        <v>0</v>
      </c>
      <c r="FT118" s="45" t="str">
        <f aca="false">IF(Tasks[[#This Row],[Task Name]]="","",LEFT(Tasks[[#This Row],[WBS]],FIND(".",Tasks[[#This Row],[WBS]]&amp;".")-1))</f>
        <v/>
      </c>
      <c r="FU118" s="45" t="str">
        <f aca="false">IF(AND(Tasks[[#This Row],[Task Name]]&lt;&gt;"",Tasks[[#This Row],[_Level]]=1),Tasks[[#This Row],[_Row]],"")</f>
        <v/>
      </c>
      <c r="FV118" s="45" t="str">
        <f aca="false">IF(AND(Tasks[[#This Row],[_IsLeaf]]=1,N(Tasks[[#This Row],[Duration]])=0),Tasks[[#This Row],[Planned Finish]]+Tasks[[#This Row],[_Row]]/100000,"")</f>
        <v/>
      </c>
      <c r="FW118" s="45" t="str">
        <f aca="false">IF(AND(Tasks[[#This Row],[_IsLeaf]]=1,Tasks[[#This Row],[_LeafProgress]]&lt;1,OR(N(Tasks[[#This Row],[Finish Var]])&gt;0,Tasks[[#This Row],[Status]]="Late Start")),MAX(0,Tasks[[#This Row],[Finish Var]])+1-Tasks[[#This Row],[_Row]]/1000000,"")</f>
        <v/>
      </c>
      <c r="FX118" s="45" t="str">
        <f aca="false">IF(AND(Tasks[[#This Row],[_IsLeaf]]=1,N(Tasks[[#This Row],[Actual Start]])=0,Tasks[[#This Row],[_ShownFcstStart]]&gt;=StatusDate,Tasks[[#This Row],[_ShownFcstStart]]&lt;=LookaheadEnd),Tasks[[#This Row],[_ShownFcstStart]]+Tasks[[#This Row],[_Row]]/100000,"")</f>
        <v/>
      </c>
      <c r="FY118" s="45" t="str">
        <f aca="false">IF(AND(Tasks[[#This Row],[_IsLeaf]]=1,Tasks[[#This Row],[_LeafProgress]]&lt;1,Tasks[[#This Row],[_ShownFcstFinish]]&gt;=StatusDate,Tasks[[#This Row],[_ShownFcstFinish]]&lt;=LookaheadEnd),Tasks[[#This Row],[_ShownFcstFinish]]+Tasks[[#This Row],[_Row]]/100000,"")</f>
        <v/>
      </c>
      <c r="FZ118" s="45" t="str">
        <f aca="false">IF(Tasks[[#This Row],[_LeafCritical]],Tasks[[#This Row],[_ShownFcstStart]]+Tasks[[#This Row],[_Row]]/100000,"")</f>
        <v/>
      </c>
      <c r="GA118" s="45" t="n">
        <f aca="false">Tasks[[#This Row],[_LeafWork]]*Tasks[[#This Row],[_LeafProgress]]</f>
        <v>0</v>
      </c>
      <c r="GB118" s="74" t="str">
        <f aca="false">IF(AND(Tasks[[#This Row],[_IsLeaf]]=1,Tasks[[#This Row],[_LeafProgress]]&gt;=1),IF(N(Tasks[[#This Row],[Actual Finish]])&gt;0,Tasks[[#This Row],[Actual Finish]],Tasks[[#This Row],[_ShownFcstFinish]]),"")</f>
        <v/>
      </c>
    </row>
    <row r="119" customFormat="false" ht="15" hidden="false" customHeight="false" outlineLevel="0" collapsed="false">
      <c r="A119" s="67" t="str">
        <f aca="false">IF(Tasks[[#This Row],[Task Name]]="","",COUNTA(Tasks[[#Headers],[Task Name]]:Tasks[[#This Row],[Task Name]])-1)</f>
        <v/>
      </c>
      <c r="B119" s="21" t="n">
        <v>114</v>
      </c>
      <c r="C11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21"/>
      <c r="E119" s="22"/>
      <c r="F119" s="21"/>
      <c r="G119" s="22"/>
      <c r="H119" s="22"/>
      <c r="I119" s="22"/>
      <c r="J119" s="7"/>
      <c r="K119" s="7"/>
      <c r="L119" s="22"/>
      <c r="M119" s="58" t="str">
        <f aca="false">IF(Tasks[[#This Row],[Task Name]]="","",IF(Tasks[[#This Row],[_IsSummary]],MIN(INDEX(Tasks[_ShownFcstStart],Tasks[[#This Row],[_Row]]+1):INDEX(Tasks[_ShownFcstStart],Tasks[[#This Row],[_Row]]+Tasks[[#This Row],[_Descendants]])),Tasks[[#This Row],[_ShownFcstStart]]))</f>
        <v/>
      </c>
      <c r="N119" s="58" t="str">
        <f aca="false">IF(Tasks[[#This Row],[Task Name]]="","",IF(Tasks[[#This Row],[_IsSummary]],MAX(INDEX(Tasks[_ShownFcstFinish],Tasks[[#This Row],[_Row]]+1):INDEX(Tasks[_ShownFcstFinish],Tasks[[#This Row],[_Row]]+Tasks[[#This Row],[_Descendants]])),Tasks[[#This Row],[_ShownFcstFinish]]))</f>
        <v/>
      </c>
      <c r="O119" s="20" t="str">
        <f aca="false">IF(Tasks[[#This Row],[Task Name]]="","",IF(Tasks[[#This Row],[Progress]]&gt;=1,"Complete",IF(OR(N(Tasks[[#This Row],[Actual Start]])&gt;0,Tasks[[#This Row],[Progress]]&gt;0),IF(Tasks[[#This Row],[Finish Var]]&gt;0,"Behind","In Progress"),IF(Tasks[[#This Row],[Planned Start]]&lt;StatusDate,"Late Start","Not Started"))))</f>
        <v/>
      </c>
      <c r="P119" s="20" t="str">
        <f aca="false">IF(Tasks[[#This Row],[Task Name]]="","",IF(IF(Tasks[[#This Row],[_IsSummary]],COUNTIF(INDEX(Tasks[_LeafCritical],Tasks[[#This Row],[_Row]]+1):INDEX(Tasks[_LeafCritical],Tasks[[#This Row],[_Row]]+Tasks[[#This Row],[_Descendants]]),TRUE())&gt;0,Tasks[[#This Row],[_LeafCritical]]),"Yes",""))</f>
        <v/>
      </c>
      <c r="Q11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19" s="67" t="str">
        <f aca="false">IF(Tasks[[#This Row],[Task Name]]="","",IF(Tasks[[#This Row],[_Level]]&lt;=OutlineShowLevel,"Yes","No"))</f>
        <v/>
      </c>
      <c r="S119" s="7"/>
      <c r="T119" s="21"/>
      <c r="U119" s="22"/>
      <c r="V119" s="7"/>
      <c r="W119" s="67" t="str">
        <f aca="false">IF(Tasks[[#This Row],[Task Name]]="","",IF(Tasks[[#This Row],[Finish]]&gt;=Tasks[[#This Row],[Planned Finish]],NETWORKDAYS.INTL(Tasks[[#This Row],[Planned Finish]],Tasks[[#This Row],[Finish]],WorkWeek,Holidays)-1,1-NETWORKDAYS.INTL(Tasks[[#This Row],[Finish]],Tasks[[#This Row],[Planned Finish]],WorkWeek,Holidays)))</f>
        <v/>
      </c>
      <c r="X119" s="58" t="str">
        <f aca="false">IF(Tasks[[#This Row],[Task Name]]="","",IF(N(Tasks[[#This Row],[Baseline Start]])&gt;0,Tasks[[#This Row],[Baseline Start]],Tasks[[#This Row],[_CalcStart]]))</f>
        <v/>
      </c>
      <c r="Y119" s="58" t="str">
        <f aca="false">IF(Tasks[[#This Row],[Task Name]]="","",IF(N(Tasks[[#This Row],[Baseline Finish]])&gt;0,Tasks[[#This Row],[Baseline Finish]],Tasks[[#This Row],[_CalcFinish]]))</f>
        <v/>
      </c>
      <c r="Z119" s="67" t="str">
        <f aca="false">IF(Tasks[[#This Row],[Task Name]]="","",IF(Tasks[[#This Row],[Start]]&gt;=Tasks[[#This Row],[Planned Start]],NETWORKDAYS.INTL(Tasks[[#This Row],[Planned Start]],Tasks[[#This Row],[Start]],WorkWeek,Holidays)-1,1-NETWORKDAYS.INTL(Tasks[[#This Row],[Start]],Tasks[[#This Row],[Planned Start]],WorkWeek,Holidays)))</f>
        <v/>
      </c>
      <c r="AA119" s="58" t="str">
        <f aca="false">IF(Tasks[[#This Row],[Task Name]]="","",IF(Tasks[[#This Row],[_IsSummary]],MIN(INDEX(Tasks[_LeafLateStart],Tasks[[#This Row],[_Row]]+1):INDEX(Tasks[_LeafLateStart],Tasks[[#This Row],[_Row]]+Tasks[[#This Row],[_Descendants]])),Tasks[[#This Row],[_LeafLateStart]]))</f>
        <v/>
      </c>
      <c r="AB119" s="58" t="str">
        <f aca="false">IF(Tasks[[#This Row],[Task Name]]="","",IF(Tasks[[#This Row],[_IsSummary]],MAX(INDEX(Tasks[_LeafLateFinish],Tasks[[#This Row],[_Row]]+1):INDEX(Tasks[_LeafLateFinish],Tasks[[#This Row],[_Row]]+Tasks[[#This Row],[_Descendants]])),Tasks[[#This Row],[_LeafLateFinish]]))</f>
        <v/>
      </c>
      <c r="AC119" s="67" t="str">
        <f aca="false">IF(Tasks[[#This Row],[Task Name]]="","",IF(Tasks[[#This Row],[_IsSummary]],MIN(INDEX(Tasks[_LeafTotalSlack],Tasks[[#This Row],[_Row]]+1):INDEX(Tasks[_LeafTotalSlack],Tasks[[#This Row],[_Row]]+Tasks[[#This Row],[_Descendants]])),Tasks[[#This Row],[_LeafTotalSlack]]))</f>
        <v/>
      </c>
      <c r="AD11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1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1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19" s="60"/>
      <c r="AH11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1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19" s="69" t="str">
        <f aca="false">IF(Tasks[[#This Row],[Task Name]]="","",IF(Tasks[[#This Row],[_IsSummary]],SUM(INDEX(Tasks[_LeafTotalWork],Tasks[[#This Row],[_Row]]+1):INDEX(Tasks[_LeafTotalWork],Tasks[[#This Row],[_Row]]+Tasks[[#This Row],[_Descendants]])),Tasks[[#This Row],[_LeafTotalWork]]))</f>
        <v/>
      </c>
      <c r="AK11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19" s="70" t="str">
        <f aca="false">IF(Tasks[[#This Row],[Task Name]]="","",IF(Tasks[[#This Row],[_IsSummary]],SUM(INDEX(Tasks[_LeafTotalCost],Tasks[[#This Row],[_Row]]+1):INDEX(Tasks[_LeafTotalCost],Tasks[[#This Row],[_Row]]+Tasks[[#This Row],[_Descendants]])),Tasks[[#This Row],[_LeafTotalCost]]))</f>
        <v/>
      </c>
      <c r="AM119" s="71"/>
      <c r="AN119" s="20" t="str">
        <f aca="false">IF(OR(Tasks[[#This Row],[Task Name]]="",Tasks[[#This Row],[Baseline Duration]]=""),"",Tasks[[#This Row],[BL Source Duration]]-N(Tasks[[#This Row],[Baseline Duration]]))</f>
        <v/>
      </c>
      <c r="AO119" s="69" t="str">
        <f aca="false">IF(OR(Tasks[[#This Row],[Task Name]]="",Tasks[[#This Row],[Baseline Work]]=""),"",Tasks[[#This Row],[Work]]-N(Tasks[[#This Row],[Baseline Work]]))</f>
        <v/>
      </c>
      <c r="AP119" s="70" t="str">
        <f aca="false">IF(OR(Tasks[[#This Row],[Task Name]]="",Tasks[[#This Row],[Baseline Cost]]=""),"",Tasks[[#This Row],[Cost]]-N(Tasks[[#This Row],[Baseline Cost]]))</f>
        <v/>
      </c>
      <c r="AQ119" s="58" t="str">
        <f aca="false">IF(Tasks[[#This Row],[Task Name]]="","",Tasks[[#This Row],[Start]])</f>
        <v/>
      </c>
      <c r="AR119" s="58" t="str">
        <f aca="false">IF(Tasks[[#This Row],[Task Name]]="","",Tasks[[#This Row],[Finish]])</f>
        <v/>
      </c>
      <c r="AS119" s="67" t="str">
        <f aca="false">IF(Tasks[[#This Row],[Task Name]]="","",IF(Tasks[[#This Row],[_IsSummary]],NETWORKDAYS.INTL(Tasks[[#This Row],[Start]],Tasks[[#This Row],[Finish]],WorkWeek,Holidays),N(Tasks[[#This Row],[Duration]])))</f>
        <v/>
      </c>
      <c r="AT119" s="69" t="str">
        <f aca="false">IF(Tasks[[#This Row],[Task Name]]="","",Tasks[[#This Row],[Work]])</f>
        <v/>
      </c>
      <c r="AU119" s="70" t="str">
        <f aca="false">IF(Tasks[[#This Row],[Task Name]]="","",Tasks[[#This Row],[Cost]])</f>
        <v/>
      </c>
      <c r="AV119" s="7"/>
      <c r="AW119" s="7"/>
      <c r="AX119" s="21"/>
      <c r="AY119" s="72"/>
      <c r="AZ119" s="71"/>
      <c r="BA119" s="70" t="str">
        <f aca="false">IF(Tasks[[#This Row],[Task Name]]="","",IF(Tasks[[#This Row],[_IsSummary]],SUM(INDEX(Tasks[_LeafEV],Tasks[[#This Row],[_Row]]+1):INDEX(Tasks[_LeafEV],Tasks[[#This Row],[_Row]]+Tasks[[#This Row],[_Descendants]])),Tasks[[#This Row],[_LeafEV]]))</f>
        <v/>
      </c>
      <c r="BB119" s="70" t="str">
        <f aca="false">IF(Tasks[[#This Row],[Task Name]]="","",IF(Tasks[[#This Row],[_IsSummary]],SUM(INDEX(Tasks[_LeafBudget],Tasks[[#This Row],[_Row]]+1):INDEX(Tasks[_LeafBudget],Tasks[[#This Row],[_Row]]+Tasks[[#This Row],[_Descendants]])),Tasks[[#This Row],[_LeafBudget]]))</f>
        <v/>
      </c>
      <c r="BC119" s="70" t="str">
        <f aca="false">IF(Tasks[[#This Row],[Task Name]]="","",IF(Tasks[[#This Row],[_IsSummary]],SUM(INDEX(Tasks[_LeafPV],Tasks[[#This Row],[_Row]]+1):INDEX(Tasks[_LeafPV],Tasks[[#This Row],[_Row]]+Tasks[[#This Row],[_Descendants]])),Tasks[[#This Row],[_LeafPV]]))</f>
        <v/>
      </c>
      <c r="BD119" s="70" t="str">
        <f aca="false">IF(Tasks[[#This Row],[Task Name]]="","",IF(Tasks[[#This Row],[_IsSummary]],SUM(INDEX(Tasks[_LeafAC],Tasks[[#This Row],[_Row]]+1):INDEX(Tasks[_LeafAC],Tasks[[#This Row],[_Row]]+Tasks[[#This Row],[_Descendants]])),Tasks[[#This Row],[_LeafAC]]))</f>
        <v/>
      </c>
      <c r="BE119" s="45" t="str">
        <f aca="false">IF(Tasks[[#This Row],[Task Name]]="","",MAX(1,N(Tasks[[#This Row],[Level]])))</f>
        <v/>
      </c>
      <c r="BF119" s="45" t="n">
        <f aca="false">ROW()-ROW(Tasks[[#Headers],[ID]])</f>
        <v>114</v>
      </c>
      <c r="BG119" s="45" t="n">
        <f aca="false">IF(OR(Tasks[[#This Row],[Task Name]]="",Tasks[[#This Row],[_Level]]&lt;=1),0,IFERROR(LOOKUP(2,1/(Tasks[[#Headers],[_Level]]:Tasks[[#This Row],[_Level]]=Tasks[[#This Row],[_Level]]-1),ROW(Tasks[[#Headers],[_Level]]:Tasks[[#This Row],[_Level]])),0))</f>
        <v>0</v>
      </c>
      <c r="BH119" s="45" t="n">
        <f aca="false">IFERROR(N(INDEX(Tasks[_Level],Tasks[[#This Row],[_Row]]+1)),0)</f>
        <v>0</v>
      </c>
      <c r="BI119" s="73" t="b">
        <f aca="false">AND(Tasks[[#This Row],[Task Name]]&lt;&gt;"",Tasks[[#This Row],[_NextLevel]]&gt;Tasks[[#This Row],[_Level]])</f>
        <v>0</v>
      </c>
      <c r="BJ119" s="45" t="n">
        <f aca="false">IF(Tasks[[#This Row],[_IsSummary]],COUNTIF(Tasks[WBS],Tasks[[#This Row],[WBS]]&amp;".*"),0)</f>
        <v>0</v>
      </c>
      <c r="BK119" s="45" t="n">
        <f aca="false">IF(AND(Tasks[[#This Row],[Task Name]]&lt;&gt;"",NOT(Tasks[[#This Row],[_IsSummary]])),1,0)</f>
        <v>0</v>
      </c>
      <c r="BL119" s="45" t="n">
        <f aca="false">IF(N(Tasks[[#This Row],[_Pred1UID]])=0,0,IFERROR(MATCH(Tasks[[#This Row],[_Pred1UID]],Tasks[UID],0),-1))</f>
        <v>0</v>
      </c>
      <c r="BM119" s="45" t="n">
        <f aca="false">IF(N(Tasks[[#This Row],[_Pred2UID]])=0,0,IFERROR(MATCH(Tasks[[#This Row],[_Pred2UID]],Tasks[UID],0),-1))</f>
        <v>0</v>
      </c>
      <c r="BN119" s="45" t="n">
        <f aca="false">IF(N(Tasks[[#This Row],[_Pred3UID]])=0,0,IFERROR(MATCH(Tasks[[#This Row],[_Pred3UID]],Tasks[UID],0),-1))</f>
        <v>0</v>
      </c>
      <c r="BO119" s="45" t="n">
        <f aca="false">IF(N(Tasks[[#This Row],[_Pred4UID]])=0,0,IFERROR(MATCH(Tasks[[#This Row],[_Pred4UID]],Tasks[UID],0),-1))</f>
        <v>0</v>
      </c>
      <c r="BP11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1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19" s="74" t="n">
        <f aca="false">IF(OR(Tasks[[#This Row],[_ConstraintCode]]=2,Tasks[[#This Row],[_ConstraintCode]]=3,Tasks[[#This Row],[_ConstraintCode]]=4,Tasks[[#This Row],[_ConstraintCode]]=6),Tasks[[#This Row],[_ConstraintStart]],0)</f>
        <v>0</v>
      </c>
      <c r="BS119" s="74" t="n">
        <f aca="false">IF(OR(Tasks[[#This Row],[_ConstraintCode]]=2,Tasks[[#This Row],[_ConstraintCode]]=3,Tasks[[#This Row],[_ConstraintCode]]=5,Tasks[[#This Row],[_ConstraintCode]]=7),Tasks[[#This Row],[_ConstraintStart]],2958465)</f>
        <v>2958465</v>
      </c>
      <c r="BT11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19" s="74" t="str">
        <f aca="false">IF(NOT(Tasks[[#This Row],[_IsLeaf]]=1),"",IF(N(Tasks[[#This Row],[Duration]])&lt;=0,Tasks[[#This Row],[_LeafCalcStart]],WORKDAY.INTL(Tasks[[#This Row],[_LeafCalcStart]],Tasks[[#This Row],[Duration]]-1,WorkWeek,Holidays)))</f>
        <v/>
      </c>
      <c r="BV11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1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19" s="45" t="str">
        <f aca="false">IF(Tasks[[#This Row],[Predecessors]]="","",TRIM(MID(SUBSTITUTE(SUBSTITUTE(SUBSTITUTE(UPPER(Tasks[[#This Row],[Predecessors]]),";",",")," ",""),",",REPT(" ",99)),1,99)))</f>
        <v/>
      </c>
      <c r="BY119" s="45" t="str">
        <f aca="false">IF(Tasks[[#This Row],[_Pred1Text]]="","",IFERROR(VALUE(LEFT(Tasks[[#This Row],[_Pred1Text]],MIN(FIND("F",Tasks[[#This Row],[_Pred1Text]]&amp;"F"),FIND("S",Tasks[[#This Row],[_Pred1Text]]&amp;"S"),FIND("+",Tasks[[#This Row],[_Pred1Text]]&amp;"+"),FIND("-",Tasks[[#This Row],[_Pred1Text]]&amp;"-"))-1)),""))</f>
        <v/>
      </c>
      <c r="BZ11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1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19" s="45" t="str">
        <f aca="false">IF(Tasks[[#This Row],[_Pred1Text]]="","",TRIM(MID(SUBSTITUTE(SUBSTITUTE(SUBSTITUTE(UPPER(Tasks[[#This Row],[Predecessors]]),";",",")," ",""),",",REPT(" ",99)),100,99)))</f>
        <v/>
      </c>
      <c r="CC119" s="45" t="str">
        <f aca="false">IF(Tasks[[#This Row],[_Pred2Text]]="","",IFERROR(VALUE(LEFT(Tasks[[#This Row],[_Pred2Text]],MIN(FIND("F",Tasks[[#This Row],[_Pred2Text]]&amp;"F"),FIND("S",Tasks[[#This Row],[_Pred2Text]]&amp;"S"),FIND("+",Tasks[[#This Row],[_Pred2Text]]&amp;"+"),FIND("-",Tasks[[#This Row],[_Pred2Text]]&amp;"-"))-1)),""))</f>
        <v/>
      </c>
      <c r="CD11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1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19" s="45" t="str">
        <f aca="false">IF(Tasks[[#This Row],[_Pred2Text]]="","",TRIM(MID(SUBSTITUTE(SUBSTITUTE(SUBSTITUTE(UPPER(Tasks[[#This Row],[Predecessors]]),";",",")," ",""),",",REPT(" ",99)),199,99)))</f>
        <v/>
      </c>
      <c r="CG119" s="45" t="str">
        <f aca="false">IF(Tasks[[#This Row],[_Pred3Text]]="","",IFERROR(VALUE(LEFT(Tasks[[#This Row],[_Pred3Text]],MIN(FIND("F",Tasks[[#This Row],[_Pred3Text]]&amp;"F"),FIND("S",Tasks[[#This Row],[_Pred3Text]]&amp;"S"),FIND("+",Tasks[[#This Row],[_Pred3Text]]&amp;"+"),FIND("-",Tasks[[#This Row],[_Pred3Text]]&amp;"-"))-1)),""))</f>
        <v/>
      </c>
      <c r="CH11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1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19" s="45" t="str">
        <f aca="false">IF(Tasks[[#This Row],[_Pred3Text]]="","",TRIM(MID(SUBSTITUTE(SUBSTITUTE(SUBSTITUTE(UPPER(Tasks[[#This Row],[Predecessors]]),";",",")," ",""),",",REPT(" ",99)),298,99)))</f>
        <v/>
      </c>
      <c r="CK119" s="45" t="str">
        <f aca="false">IF(Tasks[[#This Row],[_Pred4Text]]="","",IFERROR(VALUE(LEFT(Tasks[[#This Row],[_Pred4Text]],MIN(FIND("F",Tasks[[#This Row],[_Pred4Text]]&amp;"F"),FIND("S",Tasks[[#This Row],[_Pred4Text]]&amp;"S"),FIND("+",Tasks[[#This Row],[_Pred4Text]]&amp;"+"),FIND("-",Tasks[[#This Row],[_Pred4Text]]&amp;"-"))-1)),""))</f>
        <v/>
      </c>
      <c r="CL11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1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19" s="45" t="str">
        <f aca="false">IF(OR(Tasks[[#This Row],[Task Name]]="",Tasks[[#This Row],[Resources]]=""),"",TRIM(MID(SUBSTITUTE(Tasks[[#This Row],[Resources]],",",REPT(" ",99)),1,99)))</f>
        <v/>
      </c>
      <c r="CO119" s="45" t="str">
        <f aca="false">IF(Tasks[[#This Row],[_Res1Text]]="","",TRIM(MID(SUBSTITUTE(Tasks[[#This Row],[Resources]],",",REPT(" ",99)),100,99)))</f>
        <v/>
      </c>
      <c r="CP119" s="45" t="str">
        <f aca="false">IF(Tasks[[#This Row],[_Res2Text]]="","",TRIM(MID(SUBSTITUTE(Tasks[[#This Row],[Resources]],",",REPT(" ",99)),199,99)))</f>
        <v/>
      </c>
      <c r="CQ119" s="45" t="str">
        <f aca="false">IF(Tasks[[#This Row],[_Res3Text]]="","",TRIM(MID(SUBSTITUTE(Tasks[[#This Row],[Resources]],",",REPT(" ",99)),298,99)))</f>
        <v/>
      </c>
      <c r="CR11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1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9" s="45" t="n">
        <f aca="false">IF(NOT(Tasks[[#This Row],[_IsLeaf]]=1),0,(Tasks[[#This Row],[_Resource1]]&lt;&gt;"")+(Tasks[[#This Row],[_Res2]]&lt;&gt;"")+(Tasks[[#This Row],[_Res3]]&lt;&gt;"")+(Tasks[[#This Row],[_Res4]]&lt;&gt;""))</f>
        <v>0</v>
      </c>
      <c r="CU11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1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9" s="45" t="n">
        <f aca="false">IF(OR(NOT(Tasks[[#This Row],[_IsLeaf]]=1),Tasks[[#This Row],[_Res2]]=""),0,IF(ISNA(MATCH(Tasks[[#This Row],[_Res2]],res_Name,0)),0,N(Tasks[[#This Row],[Duration]])*HoursPerDay*IF(Tasks[[#This Row],[_Res2Units]]="",DefaultUnits,Tasks[[#This Row],[_Res2Units]])))</f>
        <v>0</v>
      </c>
      <c r="CX119" s="45" t="n">
        <f aca="false">IF(Tasks[[#This Row],[_Res2Work]]=0,0,Tasks[[#This Row],[_Res2Work]]*IFERROR(INDEX(res_Rate,MATCH(Tasks[[#This Row],[_Res2]],res_Name,0)),0))</f>
        <v>0</v>
      </c>
      <c r="CY119" s="45" t="n">
        <f aca="false">IF(AND(AND(Tasks[[#This Row],[_IsLeaf]]=1,Tasks[[#This Row],[_LeafTotalWork]]&gt;0),Tasks[[#This Row],[_Res2Work]]&gt;0),Tasks[[#This Row],[_Res2Work]]/(Tasks[[#This Row],[_FinishWorkday]]-Tasks[[#This Row],[_StartWorkday]]+1),0)</f>
        <v>0</v>
      </c>
      <c r="CZ119" s="45" t="n">
        <f aca="false">Tasks[[#This Row],[_Res2WorkPerWD]]*MAX(0,Tasks[[#This Row],[_StartWorkday]]-1)</f>
        <v>0</v>
      </c>
      <c r="DA119" s="45" t="n">
        <f aca="false">Tasks[[#This Row],[_Res2Work]]*Tasks[[#This Row],[_LeafProgress]]</f>
        <v>0</v>
      </c>
      <c r="DB119" s="45" t="n">
        <f aca="false">IF(Tasks[[#This Row],[_LeafTotalCost]]=0,0,Tasks[[#This Row],[_LeafAC]]*Tasks[[#This Row],[_Res2Cost]]/Tasks[[#This Row],[_LeafTotalCost]])</f>
        <v>0</v>
      </c>
      <c r="DC11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1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19" s="45" t="n">
        <f aca="false">IF(OR(NOT(Tasks[[#This Row],[_IsLeaf]]=1),Tasks[[#This Row],[_Res3]]=""),0,IF(ISNA(MATCH(Tasks[[#This Row],[_Res3]],res_Name,0)),0,N(Tasks[[#This Row],[Duration]])*HoursPerDay*IF(Tasks[[#This Row],[_Res3Units]]="",DefaultUnits,Tasks[[#This Row],[_Res3Units]])))</f>
        <v>0</v>
      </c>
      <c r="DF119" s="45" t="n">
        <f aca="false">IF(Tasks[[#This Row],[_Res3Work]]=0,0,Tasks[[#This Row],[_Res3Work]]*IFERROR(INDEX(res_Rate,MATCH(Tasks[[#This Row],[_Res3]],res_Name,0)),0))</f>
        <v>0</v>
      </c>
      <c r="DG119" s="45" t="n">
        <f aca="false">IF(AND(AND(Tasks[[#This Row],[_IsLeaf]]=1,Tasks[[#This Row],[_LeafTotalWork]]&gt;0),Tasks[[#This Row],[_Res3Work]]&gt;0),Tasks[[#This Row],[_Res3Work]]/(Tasks[[#This Row],[_FinishWorkday]]-Tasks[[#This Row],[_StartWorkday]]+1),0)</f>
        <v>0</v>
      </c>
      <c r="DH119" s="45" t="n">
        <f aca="false">Tasks[[#This Row],[_Res3WorkPerWD]]*MAX(0,Tasks[[#This Row],[_StartWorkday]]-1)</f>
        <v>0</v>
      </c>
      <c r="DI119" s="45" t="n">
        <f aca="false">Tasks[[#This Row],[_Res3Work]]*Tasks[[#This Row],[_LeafProgress]]</f>
        <v>0</v>
      </c>
      <c r="DJ119" s="45" t="n">
        <f aca="false">IF(Tasks[[#This Row],[_LeafTotalCost]]=0,0,Tasks[[#This Row],[_LeafAC]]*Tasks[[#This Row],[_Res3Cost]]/Tasks[[#This Row],[_LeafTotalCost]])</f>
        <v>0</v>
      </c>
      <c r="DK11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1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19" s="45" t="n">
        <f aca="false">IF(OR(NOT(Tasks[[#This Row],[_IsLeaf]]=1),Tasks[[#This Row],[_Res4]]=""),0,IF(ISNA(MATCH(Tasks[[#This Row],[_Res4]],res_Name,0)),0,N(Tasks[[#This Row],[Duration]])*HoursPerDay*IF(Tasks[[#This Row],[_Res4Units]]="",DefaultUnits,Tasks[[#This Row],[_Res4Units]])))</f>
        <v>0</v>
      </c>
      <c r="DN119" s="45" t="n">
        <f aca="false">IF(Tasks[[#This Row],[_Res4Work]]=0,0,Tasks[[#This Row],[_Res4Work]]*IFERROR(INDEX(res_Rate,MATCH(Tasks[[#This Row],[_Res4]],res_Name,0)),0))</f>
        <v>0</v>
      </c>
      <c r="DO119" s="45" t="n">
        <f aca="false">IF(AND(AND(Tasks[[#This Row],[_IsLeaf]]=1,Tasks[[#This Row],[_LeafTotalWork]]&gt;0),Tasks[[#This Row],[_Res4Work]]&gt;0),Tasks[[#This Row],[_Res4Work]]/(Tasks[[#This Row],[_FinishWorkday]]-Tasks[[#This Row],[_StartWorkday]]+1),0)</f>
        <v>0</v>
      </c>
      <c r="DP119" s="45" t="n">
        <f aca="false">Tasks[[#This Row],[_Res4WorkPerWD]]*MAX(0,Tasks[[#This Row],[_StartWorkday]]-1)</f>
        <v>0</v>
      </c>
      <c r="DQ119" s="45" t="n">
        <f aca="false">Tasks[[#This Row],[_Res4Work]]*Tasks[[#This Row],[_LeafProgress]]</f>
        <v>0</v>
      </c>
      <c r="DR119" s="45" t="n">
        <f aca="false">IF(Tasks[[#This Row],[_LeafTotalCost]]=0,0,Tasks[[#This Row],[_LeafAC]]*Tasks[[#This Row],[_Res4Cost]]/Tasks[[#This Row],[_LeafTotalCost]])</f>
        <v>0</v>
      </c>
      <c r="DS119" s="45" t="n">
        <f aca="false">IF(ISNUMBER(Tasks[[#This Row],[% Complete]]),Tasks[[#This Row],[% Complete]],IF(Tasks[[#This Row],[Stage]]="",0,IFERROR(INDEX(stg_Pct,MATCH(Tasks[[#This Row],[Stage]],stg_Name,0)),0)))</f>
        <v>0</v>
      </c>
      <c r="DT119" s="45" t="n">
        <f aca="false">IF(NOT(Tasks[[#This Row],[_IsLeaf]]=1),0,IF(N(Tasks[[#This Row],[Actual Finish]])&gt;0,1,MIN(1,Tasks[[#This Row],[_Pct]])))</f>
        <v>0</v>
      </c>
      <c r="DU119" s="45" t="n">
        <f aca="false">IF(OR(NOT(Tasks[[#This Row],[_IsLeaf]]=1),Tasks[[#This Row],[_Resource1]]=""),0,IF(ISNA(MATCH(Tasks[[#This Row],[_Resource1]],res_Name,0)),0,N(Tasks[[#This Row],[Duration]])*HoursPerDay*IF(Tasks[[#This Row],[_Units1]]="",DefaultUnits,Tasks[[#This Row],[_Units1]])))</f>
        <v>0</v>
      </c>
      <c r="DV119" s="45" t="n">
        <f aca="false">IF(Tasks[[#This Row],[_LeafWork]]=0,0,Tasks[[#This Row],[_LeafWork]]*IFERROR(INDEX(res_Rate,MATCH(Tasks[[#This Row],[_Resource1]],res_Name,0)),0))</f>
        <v>0</v>
      </c>
      <c r="DW119" s="45" t="n">
        <f aca="false">Tasks[[#This Row],[_LeafWork]]+Tasks[[#This Row],[_Res2Work]]+Tasks[[#This Row],[_Res3Work]]+Tasks[[#This Row],[_Res4Work]]</f>
        <v>0</v>
      </c>
      <c r="DX119" s="45" t="n">
        <f aca="false">Tasks[[#This Row],[_LeafCost]]+Tasks[[#This Row],[_Res2Cost]]+Tasks[[#This Row],[_Res3Cost]]+Tasks[[#This Row],[_Res4Cost]]</f>
        <v>0</v>
      </c>
      <c r="DY119" s="45" t="n">
        <f aca="false">IF(Tasks[[#This Row],[_LeafTotalCost]]=0,Tasks[[#This Row],[_LeafAC]],Tasks[[#This Row],[_LeafAC]]*Tasks[[#This Row],[_LeafCost]]/Tasks[[#This Row],[_LeafTotalCost]])</f>
        <v>0</v>
      </c>
      <c r="DZ11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1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1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1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1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1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1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1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19" s="45" t="n">
        <f aca="false">IF(NOT(Tasks[[#This Row],[_IsLeaf]]=1),0,MAX(_xlfn.MAXIFS(Tasks[_Row],Tasks[_Pred1UID],Tasks[[#This Row],[UID]]),_xlfn.MAXIFS(Tasks[_Row],Tasks[_Pred2UID],Tasks[[#This Row],[UID]]),_xlfn.MAXIFS(Tasks[_Row],Tasks[_Pred3UID],Tasks[[#This Row],[UID]]),_xlfn.MAXIFS(Tasks[_Row],Tasks[_Pred4UID],Tasks[[#This Row],[UID]])))</f>
        <v>0</v>
      </c>
      <c r="EI11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1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19" s="74" t="str">
        <f aca="false">IF(NOT(Tasks[[#This Row],[_IsLeaf]]=1),"",IF(N(Tasks[[#This Row],[Duration]])&lt;=0,Tasks[[#This Row],[_LeafLateFinish]],WORKDAY.INTL(Tasks[[#This Row],[_LeafLateFinish]],-(Tasks[[#This Row],[Duration]]-1),WorkWeek,Holidays)))</f>
        <v/>
      </c>
      <c r="EL11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19" s="73" t="b">
        <f aca="false">AND(Tasks[[#This Row],[_IsLeaf]]=1,Tasks[[#This Row],[_LeafProgress]]&lt;1,N(Tasks[[#This Row],[_LeafTotalSlack]])&lt;=CriticalSlackDays)</f>
        <v>0</v>
      </c>
      <c r="EN119" s="45" t="n">
        <f aca="false">IF(AND(Tasks[[#This Row],[_IsLeaf]]=1,Tasks[[#This Row],[_ConstraintCode]]=1,Tasks[[#This Row],[Mode]]&lt;&gt;"Manual",N(Tasks[[#This Row],[Actual Start]])=0),MAX(0,N(Tasks[[#This Row],[Free Slack]])),0)</f>
        <v>0</v>
      </c>
      <c r="EO119" s="74" t="str">
        <f aca="false">IF(NOT(Tasks[[#This Row],[_IsLeaf]]=1),"",IF(Tasks[[#This Row],[_AlapShift]]=0,Tasks[[#This Row],[_LeafCalcStart]],WORKDAY.INTL(Tasks[[#This Row],[_LeafCalcStart]],Tasks[[#This Row],[_AlapShift]],WorkWeek,Holidays)))</f>
        <v/>
      </c>
      <c r="EP119" s="74" t="str">
        <f aca="false">IF(NOT(Tasks[[#This Row],[_IsLeaf]]=1),"",IF(Tasks[[#This Row],[_AlapShift]]=0,Tasks[[#This Row],[_LeafCalcFinish]],WORKDAY.INTL(Tasks[[#This Row],[_LeafCalcFinish]],Tasks[[#This Row],[_AlapShift]],WorkWeek,Holidays)))</f>
        <v/>
      </c>
      <c r="EQ119" s="74" t="str">
        <f aca="false">IF(NOT(Tasks[[#This Row],[_IsLeaf]]=1),"",IF(Tasks[[#This Row],[_AlapShift]]=0,Tasks[[#This Row],[_LeafFcstStart]],WORKDAY.INTL(Tasks[[#This Row],[_LeafFcstStart]],Tasks[[#This Row],[_AlapShift]],WorkWeek,Holidays)))</f>
        <v/>
      </c>
      <c r="ER119" s="74" t="str">
        <f aca="false">IF(NOT(Tasks[[#This Row],[_IsLeaf]]=1),"",IF(Tasks[[#This Row],[_AlapShift]]=0,Tasks[[#This Row],[_LeafFcstFinish]],WORKDAY.INTL(Tasks[[#This Row],[_LeafFcstFinish]],Tasks[[#This Row],[_AlapShift]],WorkWeek,Holidays)))</f>
        <v/>
      </c>
      <c r="ES119" s="74" t="str">
        <f aca="false">IF(Tasks[[#This Row],[Task Name]]="","",IF(Tasks[[#This Row],[_IsSummary]],MIN(INDEX(Tasks[_ShownCalcStart],Tasks[[#This Row],[_Row]]+1):INDEX(Tasks[_ShownCalcStart],Tasks[[#This Row],[_Row]]+Tasks[[#This Row],[_Descendants]])),Tasks[[#This Row],[_ShownCalcStart]]))</f>
        <v/>
      </c>
      <c r="ET119" s="74" t="str">
        <f aca="false">IF(Tasks[[#This Row],[Task Name]]="","",IF(Tasks[[#This Row],[_IsSummary]],MAX(INDEX(Tasks[_ShownCalcFinish],Tasks[[#This Row],[_Row]]+1):INDEX(Tasks[_ShownCalcFinish],Tasks[[#This Row],[_Row]]+Tasks[[#This Row],[_Descendants]])),Tasks[[#This Row],[_ShownCalcFinish]]))</f>
        <v/>
      </c>
      <c r="EU11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1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1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1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1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1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1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1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1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1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1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1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19" s="45" t="n">
        <f aca="false">IF(AND(Tasks[[#This Row],[_IsLeaf]]=1,Tasks[[#This Row],[_LeafTotalWork]]&gt;0),NETWORKDAYS.INTL(ProjectStart,Tasks[[#This Row],[_ShownFcstStart]],WorkWeek,Holidays),0)</f>
        <v>0</v>
      </c>
      <c r="FH119" s="45" t="n">
        <f aca="false">IF(AND(Tasks[[#This Row],[_IsLeaf]]=1,Tasks[[#This Row],[_LeafTotalWork]]&gt;0),MAX(Tasks[[#This Row],[_StartWorkday]],NETWORKDAYS.INTL(ProjectStart,Tasks[[#This Row],[_ShownFcstFinish]],WorkWeek,Holidays)),0)</f>
        <v>0</v>
      </c>
      <c r="FI119" s="45" t="n">
        <f aca="false">IF(AND(Tasks[[#This Row],[_IsLeaf]]=1,Tasks[[#This Row],[_LeafTotalWork]]&gt;0),Tasks[[#This Row],[_LeafWork]]/(Tasks[[#This Row],[_FinishWorkday]]-Tasks[[#This Row],[_StartWorkday]]+1),0)</f>
        <v>0</v>
      </c>
      <c r="FJ119" s="45" t="n">
        <f aca="false">Tasks[[#This Row],[_WorkPerWorkday]]*(Tasks[[#This Row],[_StartWorkday]]-1)</f>
        <v>-0</v>
      </c>
      <c r="FK119" s="45" t="n">
        <f aca="false">IF(Tasks[[#This Row],[_IsLeaf]]=1,MAX(N(Tasks[[#This Row],[Duration]]),0.1),0)</f>
        <v>0</v>
      </c>
      <c r="FL119" s="45" t="n">
        <f aca="false">Tasks[[#This Row],[_WeightDur]]*Tasks[[#This Row],[_LeafProgress]]</f>
        <v>0</v>
      </c>
      <c r="FM11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19" s="45" t="str">
        <f aca="false">IF(AND(Tasks[[#This Row],[_IsLeaf]]=1,N(Tasks[[#This Row],[Duration]])=0,Tasks[[#This Row],[_LeafProgress]]&lt;1),Tasks[[#This Row],[_ShownFcstFinish]]+Tasks[[#This Row],[_Row]]/100000,"")</f>
        <v/>
      </c>
      <c r="FO11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19" s="45" t="n">
        <f aca="false">IF(NOT(Tasks[[#This Row],[_IsLeaf]]=1),0,IF(Tasks[[#This Row],[Baseline Cost]]="",Tasks[[#This Row],[_LeafTotalCost]],N(Tasks[[#This Row],[Baseline Cost]])))</f>
        <v>0</v>
      </c>
      <c r="FQ119" s="45" t="n">
        <f aca="false">Tasks[[#This Row],[_LeafBudget]]*Tasks[[#This Row],[_PlannedPct]]</f>
        <v>0</v>
      </c>
      <c r="FR119" s="45" t="n">
        <f aca="false">Tasks[[#This Row],[_LeafBudget]]*Tasks[[#This Row],[_LeafProgress]]</f>
        <v>0</v>
      </c>
      <c r="FS119" s="45" t="n">
        <f aca="false">IF(NOT(Tasks[[#This Row],[_IsLeaf]]=1),0,IF(Tasks[[#This Row],[Actual Cost]]="",Tasks[[#This Row],[_LeafTotalCost]]*Tasks[[#This Row],[_LeafProgress]],N(Tasks[[#This Row],[Actual Cost]])))</f>
        <v>0</v>
      </c>
      <c r="FT119" s="45" t="str">
        <f aca="false">IF(Tasks[[#This Row],[Task Name]]="","",LEFT(Tasks[[#This Row],[WBS]],FIND(".",Tasks[[#This Row],[WBS]]&amp;".")-1))</f>
        <v/>
      </c>
      <c r="FU119" s="45" t="str">
        <f aca="false">IF(AND(Tasks[[#This Row],[Task Name]]&lt;&gt;"",Tasks[[#This Row],[_Level]]=1),Tasks[[#This Row],[_Row]],"")</f>
        <v/>
      </c>
      <c r="FV119" s="45" t="str">
        <f aca="false">IF(AND(Tasks[[#This Row],[_IsLeaf]]=1,N(Tasks[[#This Row],[Duration]])=0),Tasks[[#This Row],[Planned Finish]]+Tasks[[#This Row],[_Row]]/100000,"")</f>
        <v/>
      </c>
      <c r="FW119" s="45" t="str">
        <f aca="false">IF(AND(Tasks[[#This Row],[_IsLeaf]]=1,Tasks[[#This Row],[_LeafProgress]]&lt;1,OR(N(Tasks[[#This Row],[Finish Var]])&gt;0,Tasks[[#This Row],[Status]]="Late Start")),MAX(0,Tasks[[#This Row],[Finish Var]])+1-Tasks[[#This Row],[_Row]]/1000000,"")</f>
        <v/>
      </c>
      <c r="FX119" s="45" t="str">
        <f aca="false">IF(AND(Tasks[[#This Row],[_IsLeaf]]=1,N(Tasks[[#This Row],[Actual Start]])=0,Tasks[[#This Row],[_ShownFcstStart]]&gt;=StatusDate,Tasks[[#This Row],[_ShownFcstStart]]&lt;=LookaheadEnd),Tasks[[#This Row],[_ShownFcstStart]]+Tasks[[#This Row],[_Row]]/100000,"")</f>
        <v/>
      </c>
      <c r="FY119" s="45" t="str">
        <f aca="false">IF(AND(Tasks[[#This Row],[_IsLeaf]]=1,Tasks[[#This Row],[_LeafProgress]]&lt;1,Tasks[[#This Row],[_ShownFcstFinish]]&gt;=StatusDate,Tasks[[#This Row],[_ShownFcstFinish]]&lt;=LookaheadEnd),Tasks[[#This Row],[_ShownFcstFinish]]+Tasks[[#This Row],[_Row]]/100000,"")</f>
        <v/>
      </c>
      <c r="FZ119" s="45" t="str">
        <f aca="false">IF(Tasks[[#This Row],[_LeafCritical]],Tasks[[#This Row],[_ShownFcstStart]]+Tasks[[#This Row],[_Row]]/100000,"")</f>
        <v/>
      </c>
      <c r="GA119" s="45" t="n">
        <f aca="false">Tasks[[#This Row],[_LeafWork]]*Tasks[[#This Row],[_LeafProgress]]</f>
        <v>0</v>
      </c>
      <c r="GB119" s="74" t="str">
        <f aca="false">IF(AND(Tasks[[#This Row],[_IsLeaf]]=1,Tasks[[#This Row],[_LeafProgress]]&gt;=1),IF(N(Tasks[[#This Row],[Actual Finish]])&gt;0,Tasks[[#This Row],[Actual Finish]],Tasks[[#This Row],[_ShownFcstFinish]]),"")</f>
        <v/>
      </c>
    </row>
    <row r="120" customFormat="false" ht="15" hidden="false" customHeight="false" outlineLevel="0" collapsed="false">
      <c r="A120" s="67" t="str">
        <f aca="false">IF(Tasks[[#This Row],[Task Name]]="","",COUNTA(Tasks[[#Headers],[Task Name]]:Tasks[[#This Row],[Task Name]])-1)</f>
        <v/>
      </c>
      <c r="B120" s="21" t="n">
        <v>115</v>
      </c>
      <c r="C12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21"/>
      <c r="E120" s="22"/>
      <c r="F120" s="21"/>
      <c r="G120" s="22"/>
      <c r="H120" s="22"/>
      <c r="I120" s="22"/>
      <c r="J120" s="7"/>
      <c r="K120" s="7"/>
      <c r="L120" s="22"/>
      <c r="M120" s="58" t="str">
        <f aca="false">IF(Tasks[[#This Row],[Task Name]]="","",IF(Tasks[[#This Row],[_IsSummary]],MIN(INDEX(Tasks[_ShownFcstStart],Tasks[[#This Row],[_Row]]+1):INDEX(Tasks[_ShownFcstStart],Tasks[[#This Row],[_Row]]+Tasks[[#This Row],[_Descendants]])),Tasks[[#This Row],[_ShownFcstStart]]))</f>
        <v/>
      </c>
      <c r="N120" s="58" t="str">
        <f aca="false">IF(Tasks[[#This Row],[Task Name]]="","",IF(Tasks[[#This Row],[_IsSummary]],MAX(INDEX(Tasks[_ShownFcstFinish],Tasks[[#This Row],[_Row]]+1):INDEX(Tasks[_ShownFcstFinish],Tasks[[#This Row],[_Row]]+Tasks[[#This Row],[_Descendants]])),Tasks[[#This Row],[_ShownFcstFinish]]))</f>
        <v/>
      </c>
      <c r="O120" s="20" t="str">
        <f aca="false">IF(Tasks[[#This Row],[Task Name]]="","",IF(Tasks[[#This Row],[Progress]]&gt;=1,"Complete",IF(OR(N(Tasks[[#This Row],[Actual Start]])&gt;0,Tasks[[#This Row],[Progress]]&gt;0),IF(Tasks[[#This Row],[Finish Var]]&gt;0,"Behind","In Progress"),IF(Tasks[[#This Row],[Planned Start]]&lt;StatusDate,"Late Start","Not Started"))))</f>
        <v/>
      </c>
      <c r="P120" s="20" t="str">
        <f aca="false">IF(Tasks[[#This Row],[Task Name]]="","",IF(IF(Tasks[[#This Row],[_IsSummary]],COUNTIF(INDEX(Tasks[_LeafCritical],Tasks[[#This Row],[_Row]]+1):INDEX(Tasks[_LeafCritical],Tasks[[#This Row],[_Row]]+Tasks[[#This Row],[_Descendants]]),TRUE())&gt;0,Tasks[[#This Row],[_LeafCritical]]),"Yes",""))</f>
        <v/>
      </c>
      <c r="Q12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20" s="67" t="str">
        <f aca="false">IF(Tasks[[#This Row],[Task Name]]="","",IF(Tasks[[#This Row],[_Level]]&lt;=OutlineShowLevel,"Yes","No"))</f>
        <v/>
      </c>
      <c r="S120" s="7"/>
      <c r="T120" s="21"/>
      <c r="U120" s="22"/>
      <c r="V120" s="7"/>
      <c r="W120" s="67" t="str">
        <f aca="false">IF(Tasks[[#This Row],[Task Name]]="","",IF(Tasks[[#This Row],[Finish]]&gt;=Tasks[[#This Row],[Planned Finish]],NETWORKDAYS.INTL(Tasks[[#This Row],[Planned Finish]],Tasks[[#This Row],[Finish]],WorkWeek,Holidays)-1,1-NETWORKDAYS.INTL(Tasks[[#This Row],[Finish]],Tasks[[#This Row],[Planned Finish]],WorkWeek,Holidays)))</f>
        <v/>
      </c>
      <c r="X120" s="58" t="str">
        <f aca="false">IF(Tasks[[#This Row],[Task Name]]="","",IF(N(Tasks[[#This Row],[Baseline Start]])&gt;0,Tasks[[#This Row],[Baseline Start]],Tasks[[#This Row],[_CalcStart]]))</f>
        <v/>
      </c>
      <c r="Y120" s="58" t="str">
        <f aca="false">IF(Tasks[[#This Row],[Task Name]]="","",IF(N(Tasks[[#This Row],[Baseline Finish]])&gt;0,Tasks[[#This Row],[Baseline Finish]],Tasks[[#This Row],[_CalcFinish]]))</f>
        <v/>
      </c>
      <c r="Z120" s="67" t="str">
        <f aca="false">IF(Tasks[[#This Row],[Task Name]]="","",IF(Tasks[[#This Row],[Start]]&gt;=Tasks[[#This Row],[Planned Start]],NETWORKDAYS.INTL(Tasks[[#This Row],[Planned Start]],Tasks[[#This Row],[Start]],WorkWeek,Holidays)-1,1-NETWORKDAYS.INTL(Tasks[[#This Row],[Start]],Tasks[[#This Row],[Planned Start]],WorkWeek,Holidays)))</f>
        <v/>
      </c>
      <c r="AA120" s="58" t="str">
        <f aca="false">IF(Tasks[[#This Row],[Task Name]]="","",IF(Tasks[[#This Row],[_IsSummary]],MIN(INDEX(Tasks[_LeafLateStart],Tasks[[#This Row],[_Row]]+1):INDEX(Tasks[_LeafLateStart],Tasks[[#This Row],[_Row]]+Tasks[[#This Row],[_Descendants]])),Tasks[[#This Row],[_LeafLateStart]]))</f>
        <v/>
      </c>
      <c r="AB120" s="58" t="str">
        <f aca="false">IF(Tasks[[#This Row],[Task Name]]="","",IF(Tasks[[#This Row],[_IsSummary]],MAX(INDEX(Tasks[_LeafLateFinish],Tasks[[#This Row],[_Row]]+1):INDEX(Tasks[_LeafLateFinish],Tasks[[#This Row],[_Row]]+Tasks[[#This Row],[_Descendants]])),Tasks[[#This Row],[_LeafLateFinish]]))</f>
        <v/>
      </c>
      <c r="AC120" s="67" t="str">
        <f aca="false">IF(Tasks[[#This Row],[Task Name]]="","",IF(Tasks[[#This Row],[_IsSummary]],MIN(INDEX(Tasks[_LeafTotalSlack],Tasks[[#This Row],[_Row]]+1):INDEX(Tasks[_LeafTotalSlack],Tasks[[#This Row],[_Row]]+Tasks[[#This Row],[_Descendants]])),Tasks[[#This Row],[_LeafTotalSlack]]))</f>
        <v/>
      </c>
      <c r="AD12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2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2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20" s="60"/>
      <c r="AH12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2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20" s="69" t="str">
        <f aca="false">IF(Tasks[[#This Row],[Task Name]]="","",IF(Tasks[[#This Row],[_IsSummary]],SUM(INDEX(Tasks[_LeafTotalWork],Tasks[[#This Row],[_Row]]+1):INDEX(Tasks[_LeafTotalWork],Tasks[[#This Row],[_Row]]+Tasks[[#This Row],[_Descendants]])),Tasks[[#This Row],[_LeafTotalWork]]))</f>
        <v/>
      </c>
      <c r="AK12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20" s="70" t="str">
        <f aca="false">IF(Tasks[[#This Row],[Task Name]]="","",IF(Tasks[[#This Row],[_IsSummary]],SUM(INDEX(Tasks[_LeafTotalCost],Tasks[[#This Row],[_Row]]+1):INDEX(Tasks[_LeafTotalCost],Tasks[[#This Row],[_Row]]+Tasks[[#This Row],[_Descendants]])),Tasks[[#This Row],[_LeafTotalCost]]))</f>
        <v/>
      </c>
      <c r="AM120" s="71"/>
      <c r="AN120" s="20" t="str">
        <f aca="false">IF(OR(Tasks[[#This Row],[Task Name]]="",Tasks[[#This Row],[Baseline Duration]]=""),"",Tasks[[#This Row],[BL Source Duration]]-N(Tasks[[#This Row],[Baseline Duration]]))</f>
        <v/>
      </c>
      <c r="AO120" s="69" t="str">
        <f aca="false">IF(OR(Tasks[[#This Row],[Task Name]]="",Tasks[[#This Row],[Baseline Work]]=""),"",Tasks[[#This Row],[Work]]-N(Tasks[[#This Row],[Baseline Work]]))</f>
        <v/>
      </c>
      <c r="AP120" s="70" t="str">
        <f aca="false">IF(OR(Tasks[[#This Row],[Task Name]]="",Tasks[[#This Row],[Baseline Cost]]=""),"",Tasks[[#This Row],[Cost]]-N(Tasks[[#This Row],[Baseline Cost]]))</f>
        <v/>
      </c>
      <c r="AQ120" s="58" t="str">
        <f aca="false">IF(Tasks[[#This Row],[Task Name]]="","",Tasks[[#This Row],[Start]])</f>
        <v/>
      </c>
      <c r="AR120" s="58" t="str">
        <f aca="false">IF(Tasks[[#This Row],[Task Name]]="","",Tasks[[#This Row],[Finish]])</f>
        <v/>
      </c>
      <c r="AS120" s="67" t="str">
        <f aca="false">IF(Tasks[[#This Row],[Task Name]]="","",IF(Tasks[[#This Row],[_IsSummary]],NETWORKDAYS.INTL(Tasks[[#This Row],[Start]],Tasks[[#This Row],[Finish]],WorkWeek,Holidays),N(Tasks[[#This Row],[Duration]])))</f>
        <v/>
      </c>
      <c r="AT120" s="69" t="str">
        <f aca="false">IF(Tasks[[#This Row],[Task Name]]="","",Tasks[[#This Row],[Work]])</f>
        <v/>
      </c>
      <c r="AU120" s="70" t="str">
        <f aca="false">IF(Tasks[[#This Row],[Task Name]]="","",Tasks[[#This Row],[Cost]])</f>
        <v/>
      </c>
      <c r="AV120" s="7"/>
      <c r="AW120" s="7"/>
      <c r="AX120" s="21"/>
      <c r="AY120" s="72"/>
      <c r="AZ120" s="71"/>
      <c r="BA120" s="70" t="str">
        <f aca="false">IF(Tasks[[#This Row],[Task Name]]="","",IF(Tasks[[#This Row],[_IsSummary]],SUM(INDEX(Tasks[_LeafEV],Tasks[[#This Row],[_Row]]+1):INDEX(Tasks[_LeafEV],Tasks[[#This Row],[_Row]]+Tasks[[#This Row],[_Descendants]])),Tasks[[#This Row],[_LeafEV]]))</f>
        <v/>
      </c>
      <c r="BB120" s="70" t="str">
        <f aca="false">IF(Tasks[[#This Row],[Task Name]]="","",IF(Tasks[[#This Row],[_IsSummary]],SUM(INDEX(Tasks[_LeafBudget],Tasks[[#This Row],[_Row]]+1):INDEX(Tasks[_LeafBudget],Tasks[[#This Row],[_Row]]+Tasks[[#This Row],[_Descendants]])),Tasks[[#This Row],[_LeafBudget]]))</f>
        <v/>
      </c>
      <c r="BC120" s="70" t="str">
        <f aca="false">IF(Tasks[[#This Row],[Task Name]]="","",IF(Tasks[[#This Row],[_IsSummary]],SUM(INDEX(Tasks[_LeafPV],Tasks[[#This Row],[_Row]]+1):INDEX(Tasks[_LeafPV],Tasks[[#This Row],[_Row]]+Tasks[[#This Row],[_Descendants]])),Tasks[[#This Row],[_LeafPV]]))</f>
        <v/>
      </c>
      <c r="BD120" s="70" t="str">
        <f aca="false">IF(Tasks[[#This Row],[Task Name]]="","",IF(Tasks[[#This Row],[_IsSummary]],SUM(INDEX(Tasks[_LeafAC],Tasks[[#This Row],[_Row]]+1):INDEX(Tasks[_LeafAC],Tasks[[#This Row],[_Row]]+Tasks[[#This Row],[_Descendants]])),Tasks[[#This Row],[_LeafAC]]))</f>
        <v/>
      </c>
      <c r="BE120" s="45" t="str">
        <f aca="false">IF(Tasks[[#This Row],[Task Name]]="","",MAX(1,N(Tasks[[#This Row],[Level]])))</f>
        <v/>
      </c>
      <c r="BF120" s="45" t="n">
        <f aca="false">ROW()-ROW(Tasks[[#Headers],[ID]])</f>
        <v>115</v>
      </c>
      <c r="BG120" s="45" t="n">
        <f aca="false">IF(OR(Tasks[[#This Row],[Task Name]]="",Tasks[[#This Row],[_Level]]&lt;=1),0,IFERROR(LOOKUP(2,1/(Tasks[[#Headers],[_Level]]:Tasks[[#This Row],[_Level]]=Tasks[[#This Row],[_Level]]-1),ROW(Tasks[[#Headers],[_Level]]:Tasks[[#This Row],[_Level]])),0))</f>
        <v>0</v>
      </c>
      <c r="BH120" s="45" t="n">
        <f aca="false">IFERROR(N(INDEX(Tasks[_Level],Tasks[[#This Row],[_Row]]+1)),0)</f>
        <v>0</v>
      </c>
      <c r="BI120" s="73" t="b">
        <f aca="false">AND(Tasks[[#This Row],[Task Name]]&lt;&gt;"",Tasks[[#This Row],[_NextLevel]]&gt;Tasks[[#This Row],[_Level]])</f>
        <v>0</v>
      </c>
      <c r="BJ120" s="45" t="n">
        <f aca="false">IF(Tasks[[#This Row],[_IsSummary]],COUNTIF(Tasks[WBS],Tasks[[#This Row],[WBS]]&amp;".*"),0)</f>
        <v>0</v>
      </c>
      <c r="BK120" s="45" t="n">
        <f aca="false">IF(AND(Tasks[[#This Row],[Task Name]]&lt;&gt;"",NOT(Tasks[[#This Row],[_IsSummary]])),1,0)</f>
        <v>0</v>
      </c>
      <c r="BL120" s="45" t="n">
        <f aca="false">IF(N(Tasks[[#This Row],[_Pred1UID]])=0,0,IFERROR(MATCH(Tasks[[#This Row],[_Pred1UID]],Tasks[UID],0),-1))</f>
        <v>0</v>
      </c>
      <c r="BM120" s="45" t="n">
        <f aca="false">IF(N(Tasks[[#This Row],[_Pred2UID]])=0,0,IFERROR(MATCH(Tasks[[#This Row],[_Pred2UID]],Tasks[UID],0),-1))</f>
        <v>0</v>
      </c>
      <c r="BN120" s="45" t="n">
        <f aca="false">IF(N(Tasks[[#This Row],[_Pred3UID]])=0,0,IFERROR(MATCH(Tasks[[#This Row],[_Pred3UID]],Tasks[UID],0),-1))</f>
        <v>0</v>
      </c>
      <c r="BO120" s="45" t="n">
        <f aca="false">IF(N(Tasks[[#This Row],[_Pred4UID]])=0,0,IFERROR(MATCH(Tasks[[#This Row],[_Pred4UID]],Tasks[UID],0),-1))</f>
        <v>0</v>
      </c>
      <c r="BP12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2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20" s="74" t="n">
        <f aca="false">IF(OR(Tasks[[#This Row],[_ConstraintCode]]=2,Tasks[[#This Row],[_ConstraintCode]]=3,Tasks[[#This Row],[_ConstraintCode]]=4,Tasks[[#This Row],[_ConstraintCode]]=6),Tasks[[#This Row],[_ConstraintStart]],0)</f>
        <v>0</v>
      </c>
      <c r="BS120" s="74" t="n">
        <f aca="false">IF(OR(Tasks[[#This Row],[_ConstraintCode]]=2,Tasks[[#This Row],[_ConstraintCode]]=3,Tasks[[#This Row],[_ConstraintCode]]=5,Tasks[[#This Row],[_ConstraintCode]]=7),Tasks[[#This Row],[_ConstraintStart]],2958465)</f>
        <v>2958465</v>
      </c>
      <c r="BT12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20" s="74" t="str">
        <f aca="false">IF(NOT(Tasks[[#This Row],[_IsLeaf]]=1),"",IF(N(Tasks[[#This Row],[Duration]])&lt;=0,Tasks[[#This Row],[_LeafCalcStart]],WORKDAY.INTL(Tasks[[#This Row],[_LeafCalcStart]],Tasks[[#This Row],[Duration]]-1,WorkWeek,Holidays)))</f>
        <v/>
      </c>
      <c r="BV12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2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20" s="45" t="str">
        <f aca="false">IF(Tasks[[#This Row],[Predecessors]]="","",TRIM(MID(SUBSTITUTE(SUBSTITUTE(SUBSTITUTE(UPPER(Tasks[[#This Row],[Predecessors]]),";",",")," ",""),",",REPT(" ",99)),1,99)))</f>
        <v/>
      </c>
      <c r="BY120" s="45" t="str">
        <f aca="false">IF(Tasks[[#This Row],[_Pred1Text]]="","",IFERROR(VALUE(LEFT(Tasks[[#This Row],[_Pred1Text]],MIN(FIND("F",Tasks[[#This Row],[_Pred1Text]]&amp;"F"),FIND("S",Tasks[[#This Row],[_Pred1Text]]&amp;"S"),FIND("+",Tasks[[#This Row],[_Pred1Text]]&amp;"+"),FIND("-",Tasks[[#This Row],[_Pred1Text]]&amp;"-"))-1)),""))</f>
        <v/>
      </c>
      <c r="BZ12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2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20" s="45" t="str">
        <f aca="false">IF(Tasks[[#This Row],[_Pred1Text]]="","",TRIM(MID(SUBSTITUTE(SUBSTITUTE(SUBSTITUTE(UPPER(Tasks[[#This Row],[Predecessors]]),";",",")," ",""),",",REPT(" ",99)),100,99)))</f>
        <v/>
      </c>
      <c r="CC120" s="45" t="str">
        <f aca="false">IF(Tasks[[#This Row],[_Pred2Text]]="","",IFERROR(VALUE(LEFT(Tasks[[#This Row],[_Pred2Text]],MIN(FIND("F",Tasks[[#This Row],[_Pred2Text]]&amp;"F"),FIND("S",Tasks[[#This Row],[_Pred2Text]]&amp;"S"),FIND("+",Tasks[[#This Row],[_Pred2Text]]&amp;"+"),FIND("-",Tasks[[#This Row],[_Pred2Text]]&amp;"-"))-1)),""))</f>
        <v/>
      </c>
      <c r="CD12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2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20" s="45" t="str">
        <f aca="false">IF(Tasks[[#This Row],[_Pred2Text]]="","",TRIM(MID(SUBSTITUTE(SUBSTITUTE(SUBSTITUTE(UPPER(Tasks[[#This Row],[Predecessors]]),";",",")," ",""),",",REPT(" ",99)),199,99)))</f>
        <v/>
      </c>
      <c r="CG120" s="45" t="str">
        <f aca="false">IF(Tasks[[#This Row],[_Pred3Text]]="","",IFERROR(VALUE(LEFT(Tasks[[#This Row],[_Pred3Text]],MIN(FIND("F",Tasks[[#This Row],[_Pred3Text]]&amp;"F"),FIND("S",Tasks[[#This Row],[_Pred3Text]]&amp;"S"),FIND("+",Tasks[[#This Row],[_Pred3Text]]&amp;"+"),FIND("-",Tasks[[#This Row],[_Pred3Text]]&amp;"-"))-1)),""))</f>
        <v/>
      </c>
      <c r="CH12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2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20" s="45" t="str">
        <f aca="false">IF(Tasks[[#This Row],[_Pred3Text]]="","",TRIM(MID(SUBSTITUTE(SUBSTITUTE(SUBSTITUTE(UPPER(Tasks[[#This Row],[Predecessors]]),";",",")," ",""),",",REPT(" ",99)),298,99)))</f>
        <v/>
      </c>
      <c r="CK120" s="45" t="str">
        <f aca="false">IF(Tasks[[#This Row],[_Pred4Text]]="","",IFERROR(VALUE(LEFT(Tasks[[#This Row],[_Pred4Text]],MIN(FIND("F",Tasks[[#This Row],[_Pred4Text]]&amp;"F"),FIND("S",Tasks[[#This Row],[_Pred4Text]]&amp;"S"),FIND("+",Tasks[[#This Row],[_Pred4Text]]&amp;"+"),FIND("-",Tasks[[#This Row],[_Pred4Text]]&amp;"-"))-1)),""))</f>
        <v/>
      </c>
      <c r="CL12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2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20" s="45" t="str">
        <f aca="false">IF(OR(Tasks[[#This Row],[Task Name]]="",Tasks[[#This Row],[Resources]]=""),"",TRIM(MID(SUBSTITUTE(Tasks[[#This Row],[Resources]],",",REPT(" ",99)),1,99)))</f>
        <v/>
      </c>
      <c r="CO120" s="45" t="str">
        <f aca="false">IF(Tasks[[#This Row],[_Res1Text]]="","",TRIM(MID(SUBSTITUTE(Tasks[[#This Row],[Resources]],",",REPT(" ",99)),100,99)))</f>
        <v/>
      </c>
      <c r="CP120" s="45" t="str">
        <f aca="false">IF(Tasks[[#This Row],[_Res2Text]]="","",TRIM(MID(SUBSTITUTE(Tasks[[#This Row],[Resources]],",",REPT(" ",99)),199,99)))</f>
        <v/>
      </c>
      <c r="CQ120" s="45" t="str">
        <f aca="false">IF(Tasks[[#This Row],[_Res3Text]]="","",TRIM(MID(SUBSTITUTE(Tasks[[#This Row],[Resources]],",",REPT(" ",99)),298,99)))</f>
        <v/>
      </c>
      <c r="CR12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2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0" s="45" t="n">
        <f aca="false">IF(NOT(Tasks[[#This Row],[_IsLeaf]]=1),0,(Tasks[[#This Row],[_Resource1]]&lt;&gt;"")+(Tasks[[#This Row],[_Res2]]&lt;&gt;"")+(Tasks[[#This Row],[_Res3]]&lt;&gt;"")+(Tasks[[#This Row],[_Res4]]&lt;&gt;""))</f>
        <v>0</v>
      </c>
      <c r="CU12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2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0" s="45" t="n">
        <f aca="false">IF(OR(NOT(Tasks[[#This Row],[_IsLeaf]]=1),Tasks[[#This Row],[_Res2]]=""),0,IF(ISNA(MATCH(Tasks[[#This Row],[_Res2]],res_Name,0)),0,N(Tasks[[#This Row],[Duration]])*HoursPerDay*IF(Tasks[[#This Row],[_Res2Units]]="",DefaultUnits,Tasks[[#This Row],[_Res2Units]])))</f>
        <v>0</v>
      </c>
      <c r="CX120" s="45" t="n">
        <f aca="false">IF(Tasks[[#This Row],[_Res2Work]]=0,0,Tasks[[#This Row],[_Res2Work]]*IFERROR(INDEX(res_Rate,MATCH(Tasks[[#This Row],[_Res2]],res_Name,0)),0))</f>
        <v>0</v>
      </c>
      <c r="CY120" s="45" t="n">
        <f aca="false">IF(AND(AND(Tasks[[#This Row],[_IsLeaf]]=1,Tasks[[#This Row],[_LeafTotalWork]]&gt;0),Tasks[[#This Row],[_Res2Work]]&gt;0),Tasks[[#This Row],[_Res2Work]]/(Tasks[[#This Row],[_FinishWorkday]]-Tasks[[#This Row],[_StartWorkday]]+1),0)</f>
        <v>0</v>
      </c>
      <c r="CZ120" s="45" t="n">
        <f aca="false">Tasks[[#This Row],[_Res2WorkPerWD]]*MAX(0,Tasks[[#This Row],[_StartWorkday]]-1)</f>
        <v>0</v>
      </c>
      <c r="DA120" s="45" t="n">
        <f aca="false">Tasks[[#This Row],[_Res2Work]]*Tasks[[#This Row],[_LeafProgress]]</f>
        <v>0</v>
      </c>
      <c r="DB120" s="45" t="n">
        <f aca="false">IF(Tasks[[#This Row],[_LeafTotalCost]]=0,0,Tasks[[#This Row],[_LeafAC]]*Tasks[[#This Row],[_Res2Cost]]/Tasks[[#This Row],[_LeafTotalCost]])</f>
        <v>0</v>
      </c>
      <c r="DC12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2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20" s="45" t="n">
        <f aca="false">IF(OR(NOT(Tasks[[#This Row],[_IsLeaf]]=1),Tasks[[#This Row],[_Res3]]=""),0,IF(ISNA(MATCH(Tasks[[#This Row],[_Res3]],res_Name,0)),0,N(Tasks[[#This Row],[Duration]])*HoursPerDay*IF(Tasks[[#This Row],[_Res3Units]]="",DefaultUnits,Tasks[[#This Row],[_Res3Units]])))</f>
        <v>0</v>
      </c>
      <c r="DF120" s="45" t="n">
        <f aca="false">IF(Tasks[[#This Row],[_Res3Work]]=0,0,Tasks[[#This Row],[_Res3Work]]*IFERROR(INDEX(res_Rate,MATCH(Tasks[[#This Row],[_Res3]],res_Name,0)),0))</f>
        <v>0</v>
      </c>
      <c r="DG120" s="45" t="n">
        <f aca="false">IF(AND(AND(Tasks[[#This Row],[_IsLeaf]]=1,Tasks[[#This Row],[_LeafTotalWork]]&gt;0),Tasks[[#This Row],[_Res3Work]]&gt;0),Tasks[[#This Row],[_Res3Work]]/(Tasks[[#This Row],[_FinishWorkday]]-Tasks[[#This Row],[_StartWorkday]]+1),0)</f>
        <v>0</v>
      </c>
      <c r="DH120" s="45" t="n">
        <f aca="false">Tasks[[#This Row],[_Res3WorkPerWD]]*MAX(0,Tasks[[#This Row],[_StartWorkday]]-1)</f>
        <v>0</v>
      </c>
      <c r="DI120" s="45" t="n">
        <f aca="false">Tasks[[#This Row],[_Res3Work]]*Tasks[[#This Row],[_LeafProgress]]</f>
        <v>0</v>
      </c>
      <c r="DJ120" s="45" t="n">
        <f aca="false">IF(Tasks[[#This Row],[_LeafTotalCost]]=0,0,Tasks[[#This Row],[_LeafAC]]*Tasks[[#This Row],[_Res3Cost]]/Tasks[[#This Row],[_LeafTotalCost]])</f>
        <v>0</v>
      </c>
      <c r="DK12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2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20" s="45" t="n">
        <f aca="false">IF(OR(NOT(Tasks[[#This Row],[_IsLeaf]]=1),Tasks[[#This Row],[_Res4]]=""),0,IF(ISNA(MATCH(Tasks[[#This Row],[_Res4]],res_Name,0)),0,N(Tasks[[#This Row],[Duration]])*HoursPerDay*IF(Tasks[[#This Row],[_Res4Units]]="",DefaultUnits,Tasks[[#This Row],[_Res4Units]])))</f>
        <v>0</v>
      </c>
      <c r="DN120" s="45" t="n">
        <f aca="false">IF(Tasks[[#This Row],[_Res4Work]]=0,0,Tasks[[#This Row],[_Res4Work]]*IFERROR(INDEX(res_Rate,MATCH(Tasks[[#This Row],[_Res4]],res_Name,0)),0))</f>
        <v>0</v>
      </c>
      <c r="DO120" s="45" t="n">
        <f aca="false">IF(AND(AND(Tasks[[#This Row],[_IsLeaf]]=1,Tasks[[#This Row],[_LeafTotalWork]]&gt;0),Tasks[[#This Row],[_Res4Work]]&gt;0),Tasks[[#This Row],[_Res4Work]]/(Tasks[[#This Row],[_FinishWorkday]]-Tasks[[#This Row],[_StartWorkday]]+1),0)</f>
        <v>0</v>
      </c>
      <c r="DP120" s="45" t="n">
        <f aca="false">Tasks[[#This Row],[_Res4WorkPerWD]]*MAX(0,Tasks[[#This Row],[_StartWorkday]]-1)</f>
        <v>0</v>
      </c>
      <c r="DQ120" s="45" t="n">
        <f aca="false">Tasks[[#This Row],[_Res4Work]]*Tasks[[#This Row],[_LeafProgress]]</f>
        <v>0</v>
      </c>
      <c r="DR120" s="45" t="n">
        <f aca="false">IF(Tasks[[#This Row],[_LeafTotalCost]]=0,0,Tasks[[#This Row],[_LeafAC]]*Tasks[[#This Row],[_Res4Cost]]/Tasks[[#This Row],[_LeafTotalCost]])</f>
        <v>0</v>
      </c>
      <c r="DS120" s="45" t="n">
        <f aca="false">IF(ISNUMBER(Tasks[[#This Row],[% Complete]]),Tasks[[#This Row],[% Complete]],IF(Tasks[[#This Row],[Stage]]="",0,IFERROR(INDEX(stg_Pct,MATCH(Tasks[[#This Row],[Stage]],stg_Name,0)),0)))</f>
        <v>0</v>
      </c>
      <c r="DT120" s="45" t="n">
        <f aca="false">IF(NOT(Tasks[[#This Row],[_IsLeaf]]=1),0,IF(N(Tasks[[#This Row],[Actual Finish]])&gt;0,1,MIN(1,Tasks[[#This Row],[_Pct]])))</f>
        <v>0</v>
      </c>
      <c r="DU120" s="45" t="n">
        <f aca="false">IF(OR(NOT(Tasks[[#This Row],[_IsLeaf]]=1),Tasks[[#This Row],[_Resource1]]=""),0,IF(ISNA(MATCH(Tasks[[#This Row],[_Resource1]],res_Name,0)),0,N(Tasks[[#This Row],[Duration]])*HoursPerDay*IF(Tasks[[#This Row],[_Units1]]="",DefaultUnits,Tasks[[#This Row],[_Units1]])))</f>
        <v>0</v>
      </c>
      <c r="DV120" s="45" t="n">
        <f aca="false">IF(Tasks[[#This Row],[_LeafWork]]=0,0,Tasks[[#This Row],[_LeafWork]]*IFERROR(INDEX(res_Rate,MATCH(Tasks[[#This Row],[_Resource1]],res_Name,0)),0))</f>
        <v>0</v>
      </c>
      <c r="DW120" s="45" t="n">
        <f aca="false">Tasks[[#This Row],[_LeafWork]]+Tasks[[#This Row],[_Res2Work]]+Tasks[[#This Row],[_Res3Work]]+Tasks[[#This Row],[_Res4Work]]</f>
        <v>0</v>
      </c>
      <c r="DX120" s="45" t="n">
        <f aca="false">Tasks[[#This Row],[_LeafCost]]+Tasks[[#This Row],[_Res2Cost]]+Tasks[[#This Row],[_Res3Cost]]+Tasks[[#This Row],[_Res4Cost]]</f>
        <v>0</v>
      </c>
      <c r="DY120" s="45" t="n">
        <f aca="false">IF(Tasks[[#This Row],[_LeafTotalCost]]=0,Tasks[[#This Row],[_LeafAC]],Tasks[[#This Row],[_LeafAC]]*Tasks[[#This Row],[_LeafCost]]/Tasks[[#This Row],[_LeafTotalCost]])</f>
        <v>0</v>
      </c>
      <c r="DZ12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2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2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2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2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2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2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2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20" s="45" t="n">
        <f aca="false">IF(NOT(Tasks[[#This Row],[_IsLeaf]]=1),0,MAX(_xlfn.MAXIFS(Tasks[_Row],Tasks[_Pred1UID],Tasks[[#This Row],[UID]]),_xlfn.MAXIFS(Tasks[_Row],Tasks[_Pred2UID],Tasks[[#This Row],[UID]]),_xlfn.MAXIFS(Tasks[_Row],Tasks[_Pred3UID],Tasks[[#This Row],[UID]]),_xlfn.MAXIFS(Tasks[_Row],Tasks[_Pred4UID],Tasks[[#This Row],[UID]])))</f>
        <v>0</v>
      </c>
      <c r="EI12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2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20" s="74" t="str">
        <f aca="false">IF(NOT(Tasks[[#This Row],[_IsLeaf]]=1),"",IF(N(Tasks[[#This Row],[Duration]])&lt;=0,Tasks[[#This Row],[_LeafLateFinish]],WORKDAY.INTL(Tasks[[#This Row],[_LeafLateFinish]],-(Tasks[[#This Row],[Duration]]-1),WorkWeek,Holidays)))</f>
        <v/>
      </c>
      <c r="EL12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20" s="73" t="b">
        <f aca="false">AND(Tasks[[#This Row],[_IsLeaf]]=1,Tasks[[#This Row],[_LeafProgress]]&lt;1,N(Tasks[[#This Row],[_LeafTotalSlack]])&lt;=CriticalSlackDays)</f>
        <v>0</v>
      </c>
      <c r="EN120" s="45" t="n">
        <f aca="false">IF(AND(Tasks[[#This Row],[_IsLeaf]]=1,Tasks[[#This Row],[_ConstraintCode]]=1,Tasks[[#This Row],[Mode]]&lt;&gt;"Manual",N(Tasks[[#This Row],[Actual Start]])=0),MAX(0,N(Tasks[[#This Row],[Free Slack]])),0)</f>
        <v>0</v>
      </c>
      <c r="EO120" s="74" t="str">
        <f aca="false">IF(NOT(Tasks[[#This Row],[_IsLeaf]]=1),"",IF(Tasks[[#This Row],[_AlapShift]]=0,Tasks[[#This Row],[_LeafCalcStart]],WORKDAY.INTL(Tasks[[#This Row],[_LeafCalcStart]],Tasks[[#This Row],[_AlapShift]],WorkWeek,Holidays)))</f>
        <v/>
      </c>
      <c r="EP120" s="74" t="str">
        <f aca="false">IF(NOT(Tasks[[#This Row],[_IsLeaf]]=1),"",IF(Tasks[[#This Row],[_AlapShift]]=0,Tasks[[#This Row],[_LeafCalcFinish]],WORKDAY.INTL(Tasks[[#This Row],[_LeafCalcFinish]],Tasks[[#This Row],[_AlapShift]],WorkWeek,Holidays)))</f>
        <v/>
      </c>
      <c r="EQ120" s="74" t="str">
        <f aca="false">IF(NOT(Tasks[[#This Row],[_IsLeaf]]=1),"",IF(Tasks[[#This Row],[_AlapShift]]=0,Tasks[[#This Row],[_LeafFcstStart]],WORKDAY.INTL(Tasks[[#This Row],[_LeafFcstStart]],Tasks[[#This Row],[_AlapShift]],WorkWeek,Holidays)))</f>
        <v/>
      </c>
      <c r="ER120" s="74" t="str">
        <f aca="false">IF(NOT(Tasks[[#This Row],[_IsLeaf]]=1),"",IF(Tasks[[#This Row],[_AlapShift]]=0,Tasks[[#This Row],[_LeafFcstFinish]],WORKDAY.INTL(Tasks[[#This Row],[_LeafFcstFinish]],Tasks[[#This Row],[_AlapShift]],WorkWeek,Holidays)))</f>
        <v/>
      </c>
      <c r="ES120" s="74" t="str">
        <f aca="false">IF(Tasks[[#This Row],[Task Name]]="","",IF(Tasks[[#This Row],[_IsSummary]],MIN(INDEX(Tasks[_ShownCalcStart],Tasks[[#This Row],[_Row]]+1):INDEX(Tasks[_ShownCalcStart],Tasks[[#This Row],[_Row]]+Tasks[[#This Row],[_Descendants]])),Tasks[[#This Row],[_ShownCalcStart]]))</f>
        <v/>
      </c>
      <c r="ET120" s="74" t="str">
        <f aca="false">IF(Tasks[[#This Row],[Task Name]]="","",IF(Tasks[[#This Row],[_IsSummary]],MAX(INDEX(Tasks[_ShownCalcFinish],Tasks[[#This Row],[_Row]]+1):INDEX(Tasks[_ShownCalcFinish],Tasks[[#This Row],[_Row]]+Tasks[[#This Row],[_Descendants]])),Tasks[[#This Row],[_ShownCalcFinish]]))</f>
        <v/>
      </c>
      <c r="EU12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2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2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2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2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2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2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2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2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2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2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2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20" s="45" t="n">
        <f aca="false">IF(AND(Tasks[[#This Row],[_IsLeaf]]=1,Tasks[[#This Row],[_LeafTotalWork]]&gt;0),NETWORKDAYS.INTL(ProjectStart,Tasks[[#This Row],[_ShownFcstStart]],WorkWeek,Holidays),0)</f>
        <v>0</v>
      </c>
      <c r="FH120" s="45" t="n">
        <f aca="false">IF(AND(Tasks[[#This Row],[_IsLeaf]]=1,Tasks[[#This Row],[_LeafTotalWork]]&gt;0),MAX(Tasks[[#This Row],[_StartWorkday]],NETWORKDAYS.INTL(ProjectStart,Tasks[[#This Row],[_ShownFcstFinish]],WorkWeek,Holidays)),0)</f>
        <v>0</v>
      </c>
      <c r="FI120" s="45" t="n">
        <f aca="false">IF(AND(Tasks[[#This Row],[_IsLeaf]]=1,Tasks[[#This Row],[_LeafTotalWork]]&gt;0),Tasks[[#This Row],[_LeafWork]]/(Tasks[[#This Row],[_FinishWorkday]]-Tasks[[#This Row],[_StartWorkday]]+1),0)</f>
        <v>0</v>
      </c>
      <c r="FJ120" s="45" t="n">
        <f aca="false">Tasks[[#This Row],[_WorkPerWorkday]]*(Tasks[[#This Row],[_StartWorkday]]-1)</f>
        <v>-0</v>
      </c>
      <c r="FK120" s="45" t="n">
        <f aca="false">IF(Tasks[[#This Row],[_IsLeaf]]=1,MAX(N(Tasks[[#This Row],[Duration]]),0.1),0)</f>
        <v>0</v>
      </c>
      <c r="FL120" s="45" t="n">
        <f aca="false">Tasks[[#This Row],[_WeightDur]]*Tasks[[#This Row],[_LeafProgress]]</f>
        <v>0</v>
      </c>
      <c r="FM12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20" s="45" t="str">
        <f aca="false">IF(AND(Tasks[[#This Row],[_IsLeaf]]=1,N(Tasks[[#This Row],[Duration]])=0,Tasks[[#This Row],[_LeafProgress]]&lt;1),Tasks[[#This Row],[_ShownFcstFinish]]+Tasks[[#This Row],[_Row]]/100000,"")</f>
        <v/>
      </c>
      <c r="FO12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20" s="45" t="n">
        <f aca="false">IF(NOT(Tasks[[#This Row],[_IsLeaf]]=1),0,IF(Tasks[[#This Row],[Baseline Cost]]="",Tasks[[#This Row],[_LeafTotalCost]],N(Tasks[[#This Row],[Baseline Cost]])))</f>
        <v>0</v>
      </c>
      <c r="FQ120" s="45" t="n">
        <f aca="false">Tasks[[#This Row],[_LeafBudget]]*Tasks[[#This Row],[_PlannedPct]]</f>
        <v>0</v>
      </c>
      <c r="FR120" s="45" t="n">
        <f aca="false">Tasks[[#This Row],[_LeafBudget]]*Tasks[[#This Row],[_LeafProgress]]</f>
        <v>0</v>
      </c>
      <c r="FS120" s="45" t="n">
        <f aca="false">IF(NOT(Tasks[[#This Row],[_IsLeaf]]=1),0,IF(Tasks[[#This Row],[Actual Cost]]="",Tasks[[#This Row],[_LeafTotalCost]]*Tasks[[#This Row],[_LeafProgress]],N(Tasks[[#This Row],[Actual Cost]])))</f>
        <v>0</v>
      </c>
      <c r="FT120" s="45" t="str">
        <f aca="false">IF(Tasks[[#This Row],[Task Name]]="","",LEFT(Tasks[[#This Row],[WBS]],FIND(".",Tasks[[#This Row],[WBS]]&amp;".")-1))</f>
        <v/>
      </c>
      <c r="FU120" s="45" t="str">
        <f aca="false">IF(AND(Tasks[[#This Row],[Task Name]]&lt;&gt;"",Tasks[[#This Row],[_Level]]=1),Tasks[[#This Row],[_Row]],"")</f>
        <v/>
      </c>
      <c r="FV120" s="45" t="str">
        <f aca="false">IF(AND(Tasks[[#This Row],[_IsLeaf]]=1,N(Tasks[[#This Row],[Duration]])=0),Tasks[[#This Row],[Planned Finish]]+Tasks[[#This Row],[_Row]]/100000,"")</f>
        <v/>
      </c>
      <c r="FW120" s="45" t="str">
        <f aca="false">IF(AND(Tasks[[#This Row],[_IsLeaf]]=1,Tasks[[#This Row],[_LeafProgress]]&lt;1,OR(N(Tasks[[#This Row],[Finish Var]])&gt;0,Tasks[[#This Row],[Status]]="Late Start")),MAX(0,Tasks[[#This Row],[Finish Var]])+1-Tasks[[#This Row],[_Row]]/1000000,"")</f>
        <v/>
      </c>
      <c r="FX120" s="45" t="str">
        <f aca="false">IF(AND(Tasks[[#This Row],[_IsLeaf]]=1,N(Tasks[[#This Row],[Actual Start]])=0,Tasks[[#This Row],[_ShownFcstStart]]&gt;=StatusDate,Tasks[[#This Row],[_ShownFcstStart]]&lt;=LookaheadEnd),Tasks[[#This Row],[_ShownFcstStart]]+Tasks[[#This Row],[_Row]]/100000,"")</f>
        <v/>
      </c>
      <c r="FY120" s="45" t="str">
        <f aca="false">IF(AND(Tasks[[#This Row],[_IsLeaf]]=1,Tasks[[#This Row],[_LeafProgress]]&lt;1,Tasks[[#This Row],[_ShownFcstFinish]]&gt;=StatusDate,Tasks[[#This Row],[_ShownFcstFinish]]&lt;=LookaheadEnd),Tasks[[#This Row],[_ShownFcstFinish]]+Tasks[[#This Row],[_Row]]/100000,"")</f>
        <v/>
      </c>
      <c r="FZ120" s="45" t="str">
        <f aca="false">IF(Tasks[[#This Row],[_LeafCritical]],Tasks[[#This Row],[_ShownFcstStart]]+Tasks[[#This Row],[_Row]]/100000,"")</f>
        <v/>
      </c>
      <c r="GA120" s="45" t="n">
        <f aca="false">Tasks[[#This Row],[_LeafWork]]*Tasks[[#This Row],[_LeafProgress]]</f>
        <v>0</v>
      </c>
      <c r="GB120" s="74" t="str">
        <f aca="false">IF(AND(Tasks[[#This Row],[_IsLeaf]]=1,Tasks[[#This Row],[_LeafProgress]]&gt;=1),IF(N(Tasks[[#This Row],[Actual Finish]])&gt;0,Tasks[[#This Row],[Actual Finish]],Tasks[[#This Row],[_ShownFcstFinish]]),"")</f>
        <v/>
      </c>
    </row>
    <row r="121" customFormat="false" ht="15" hidden="false" customHeight="false" outlineLevel="0" collapsed="false">
      <c r="A121" s="67" t="str">
        <f aca="false">IF(Tasks[[#This Row],[Task Name]]="","",COUNTA(Tasks[[#Headers],[Task Name]]:Tasks[[#This Row],[Task Name]])-1)</f>
        <v/>
      </c>
      <c r="B121" s="21" t="n">
        <v>116</v>
      </c>
      <c r="C12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21"/>
      <c r="E121" s="22"/>
      <c r="F121" s="21"/>
      <c r="G121" s="22"/>
      <c r="H121" s="22"/>
      <c r="I121" s="22"/>
      <c r="J121" s="7"/>
      <c r="K121" s="7"/>
      <c r="L121" s="22"/>
      <c r="M121" s="58" t="str">
        <f aca="false">IF(Tasks[[#This Row],[Task Name]]="","",IF(Tasks[[#This Row],[_IsSummary]],MIN(INDEX(Tasks[_ShownFcstStart],Tasks[[#This Row],[_Row]]+1):INDEX(Tasks[_ShownFcstStart],Tasks[[#This Row],[_Row]]+Tasks[[#This Row],[_Descendants]])),Tasks[[#This Row],[_ShownFcstStart]]))</f>
        <v/>
      </c>
      <c r="N121" s="58" t="str">
        <f aca="false">IF(Tasks[[#This Row],[Task Name]]="","",IF(Tasks[[#This Row],[_IsSummary]],MAX(INDEX(Tasks[_ShownFcstFinish],Tasks[[#This Row],[_Row]]+1):INDEX(Tasks[_ShownFcstFinish],Tasks[[#This Row],[_Row]]+Tasks[[#This Row],[_Descendants]])),Tasks[[#This Row],[_ShownFcstFinish]]))</f>
        <v/>
      </c>
      <c r="O121" s="20" t="str">
        <f aca="false">IF(Tasks[[#This Row],[Task Name]]="","",IF(Tasks[[#This Row],[Progress]]&gt;=1,"Complete",IF(OR(N(Tasks[[#This Row],[Actual Start]])&gt;0,Tasks[[#This Row],[Progress]]&gt;0),IF(Tasks[[#This Row],[Finish Var]]&gt;0,"Behind","In Progress"),IF(Tasks[[#This Row],[Planned Start]]&lt;StatusDate,"Late Start","Not Started"))))</f>
        <v/>
      </c>
      <c r="P121" s="20" t="str">
        <f aca="false">IF(Tasks[[#This Row],[Task Name]]="","",IF(IF(Tasks[[#This Row],[_IsSummary]],COUNTIF(INDEX(Tasks[_LeafCritical],Tasks[[#This Row],[_Row]]+1):INDEX(Tasks[_LeafCritical],Tasks[[#This Row],[_Row]]+Tasks[[#This Row],[_Descendants]]),TRUE())&gt;0,Tasks[[#This Row],[_LeafCritical]]),"Yes",""))</f>
        <v/>
      </c>
      <c r="Q12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21" s="67" t="str">
        <f aca="false">IF(Tasks[[#This Row],[Task Name]]="","",IF(Tasks[[#This Row],[_Level]]&lt;=OutlineShowLevel,"Yes","No"))</f>
        <v/>
      </c>
      <c r="S121" s="7"/>
      <c r="T121" s="21"/>
      <c r="U121" s="22"/>
      <c r="V121" s="7"/>
      <c r="W121" s="67" t="str">
        <f aca="false">IF(Tasks[[#This Row],[Task Name]]="","",IF(Tasks[[#This Row],[Finish]]&gt;=Tasks[[#This Row],[Planned Finish]],NETWORKDAYS.INTL(Tasks[[#This Row],[Planned Finish]],Tasks[[#This Row],[Finish]],WorkWeek,Holidays)-1,1-NETWORKDAYS.INTL(Tasks[[#This Row],[Finish]],Tasks[[#This Row],[Planned Finish]],WorkWeek,Holidays)))</f>
        <v/>
      </c>
      <c r="X121" s="58" t="str">
        <f aca="false">IF(Tasks[[#This Row],[Task Name]]="","",IF(N(Tasks[[#This Row],[Baseline Start]])&gt;0,Tasks[[#This Row],[Baseline Start]],Tasks[[#This Row],[_CalcStart]]))</f>
        <v/>
      </c>
      <c r="Y121" s="58" t="str">
        <f aca="false">IF(Tasks[[#This Row],[Task Name]]="","",IF(N(Tasks[[#This Row],[Baseline Finish]])&gt;0,Tasks[[#This Row],[Baseline Finish]],Tasks[[#This Row],[_CalcFinish]]))</f>
        <v/>
      </c>
      <c r="Z121" s="67" t="str">
        <f aca="false">IF(Tasks[[#This Row],[Task Name]]="","",IF(Tasks[[#This Row],[Start]]&gt;=Tasks[[#This Row],[Planned Start]],NETWORKDAYS.INTL(Tasks[[#This Row],[Planned Start]],Tasks[[#This Row],[Start]],WorkWeek,Holidays)-1,1-NETWORKDAYS.INTL(Tasks[[#This Row],[Start]],Tasks[[#This Row],[Planned Start]],WorkWeek,Holidays)))</f>
        <v/>
      </c>
      <c r="AA121" s="58" t="str">
        <f aca="false">IF(Tasks[[#This Row],[Task Name]]="","",IF(Tasks[[#This Row],[_IsSummary]],MIN(INDEX(Tasks[_LeafLateStart],Tasks[[#This Row],[_Row]]+1):INDEX(Tasks[_LeafLateStart],Tasks[[#This Row],[_Row]]+Tasks[[#This Row],[_Descendants]])),Tasks[[#This Row],[_LeafLateStart]]))</f>
        <v/>
      </c>
      <c r="AB121" s="58" t="str">
        <f aca="false">IF(Tasks[[#This Row],[Task Name]]="","",IF(Tasks[[#This Row],[_IsSummary]],MAX(INDEX(Tasks[_LeafLateFinish],Tasks[[#This Row],[_Row]]+1):INDEX(Tasks[_LeafLateFinish],Tasks[[#This Row],[_Row]]+Tasks[[#This Row],[_Descendants]])),Tasks[[#This Row],[_LeafLateFinish]]))</f>
        <v/>
      </c>
      <c r="AC121" s="67" t="str">
        <f aca="false">IF(Tasks[[#This Row],[Task Name]]="","",IF(Tasks[[#This Row],[_IsSummary]],MIN(INDEX(Tasks[_LeafTotalSlack],Tasks[[#This Row],[_Row]]+1):INDEX(Tasks[_LeafTotalSlack],Tasks[[#This Row],[_Row]]+Tasks[[#This Row],[_Descendants]])),Tasks[[#This Row],[_LeafTotalSlack]]))</f>
        <v/>
      </c>
      <c r="AD12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2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2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21" s="60"/>
      <c r="AH12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2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21" s="69" t="str">
        <f aca="false">IF(Tasks[[#This Row],[Task Name]]="","",IF(Tasks[[#This Row],[_IsSummary]],SUM(INDEX(Tasks[_LeafTotalWork],Tasks[[#This Row],[_Row]]+1):INDEX(Tasks[_LeafTotalWork],Tasks[[#This Row],[_Row]]+Tasks[[#This Row],[_Descendants]])),Tasks[[#This Row],[_LeafTotalWork]]))</f>
        <v/>
      </c>
      <c r="AK12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21" s="70" t="str">
        <f aca="false">IF(Tasks[[#This Row],[Task Name]]="","",IF(Tasks[[#This Row],[_IsSummary]],SUM(INDEX(Tasks[_LeafTotalCost],Tasks[[#This Row],[_Row]]+1):INDEX(Tasks[_LeafTotalCost],Tasks[[#This Row],[_Row]]+Tasks[[#This Row],[_Descendants]])),Tasks[[#This Row],[_LeafTotalCost]]))</f>
        <v/>
      </c>
      <c r="AM121" s="71"/>
      <c r="AN121" s="20" t="str">
        <f aca="false">IF(OR(Tasks[[#This Row],[Task Name]]="",Tasks[[#This Row],[Baseline Duration]]=""),"",Tasks[[#This Row],[BL Source Duration]]-N(Tasks[[#This Row],[Baseline Duration]]))</f>
        <v/>
      </c>
      <c r="AO121" s="69" t="str">
        <f aca="false">IF(OR(Tasks[[#This Row],[Task Name]]="",Tasks[[#This Row],[Baseline Work]]=""),"",Tasks[[#This Row],[Work]]-N(Tasks[[#This Row],[Baseline Work]]))</f>
        <v/>
      </c>
      <c r="AP121" s="70" t="str">
        <f aca="false">IF(OR(Tasks[[#This Row],[Task Name]]="",Tasks[[#This Row],[Baseline Cost]]=""),"",Tasks[[#This Row],[Cost]]-N(Tasks[[#This Row],[Baseline Cost]]))</f>
        <v/>
      </c>
      <c r="AQ121" s="58" t="str">
        <f aca="false">IF(Tasks[[#This Row],[Task Name]]="","",Tasks[[#This Row],[Start]])</f>
        <v/>
      </c>
      <c r="AR121" s="58" t="str">
        <f aca="false">IF(Tasks[[#This Row],[Task Name]]="","",Tasks[[#This Row],[Finish]])</f>
        <v/>
      </c>
      <c r="AS121" s="67" t="str">
        <f aca="false">IF(Tasks[[#This Row],[Task Name]]="","",IF(Tasks[[#This Row],[_IsSummary]],NETWORKDAYS.INTL(Tasks[[#This Row],[Start]],Tasks[[#This Row],[Finish]],WorkWeek,Holidays),N(Tasks[[#This Row],[Duration]])))</f>
        <v/>
      </c>
      <c r="AT121" s="69" t="str">
        <f aca="false">IF(Tasks[[#This Row],[Task Name]]="","",Tasks[[#This Row],[Work]])</f>
        <v/>
      </c>
      <c r="AU121" s="70" t="str">
        <f aca="false">IF(Tasks[[#This Row],[Task Name]]="","",Tasks[[#This Row],[Cost]])</f>
        <v/>
      </c>
      <c r="AV121" s="7"/>
      <c r="AW121" s="7"/>
      <c r="AX121" s="21"/>
      <c r="AY121" s="72"/>
      <c r="AZ121" s="71"/>
      <c r="BA121" s="70" t="str">
        <f aca="false">IF(Tasks[[#This Row],[Task Name]]="","",IF(Tasks[[#This Row],[_IsSummary]],SUM(INDEX(Tasks[_LeafEV],Tasks[[#This Row],[_Row]]+1):INDEX(Tasks[_LeafEV],Tasks[[#This Row],[_Row]]+Tasks[[#This Row],[_Descendants]])),Tasks[[#This Row],[_LeafEV]]))</f>
        <v/>
      </c>
      <c r="BB121" s="70" t="str">
        <f aca="false">IF(Tasks[[#This Row],[Task Name]]="","",IF(Tasks[[#This Row],[_IsSummary]],SUM(INDEX(Tasks[_LeafBudget],Tasks[[#This Row],[_Row]]+1):INDEX(Tasks[_LeafBudget],Tasks[[#This Row],[_Row]]+Tasks[[#This Row],[_Descendants]])),Tasks[[#This Row],[_LeafBudget]]))</f>
        <v/>
      </c>
      <c r="BC121" s="70" t="str">
        <f aca="false">IF(Tasks[[#This Row],[Task Name]]="","",IF(Tasks[[#This Row],[_IsSummary]],SUM(INDEX(Tasks[_LeafPV],Tasks[[#This Row],[_Row]]+1):INDEX(Tasks[_LeafPV],Tasks[[#This Row],[_Row]]+Tasks[[#This Row],[_Descendants]])),Tasks[[#This Row],[_LeafPV]]))</f>
        <v/>
      </c>
      <c r="BD121" s="70" t="str">
        <f aca="false">IF(Tasks[[#This Row],[Task Name]]="","",IF(Tasks[[#This Row],[_IsSummary]],SUM(INDEX(Tasks[_LeafAC],Tasks[[#This Row],[_Row]]+1):INDEX(Tasks[_LeafAC],Tasks[[#This Row],[_Row]]+Tasks[[#This Row],[_Descendants]])),Tasks[[#This Row],[_LeafAC]]))</f>
        <v/>
      </c>
      <c r="BE121" s="45" t="str">
        <f aca="false">IF(Tasks[[#This Row],[Task Name]]="","",MAX(1,N(Tasks[[#This Row],[Level]])))</f>
        <v/>
      </c>
      <c r="BF121" s="45" t="n">
        <f aca="false">ROW()-ROW(Tasks[[#Headers],[ID]])</f>
        <v>116</v>
      </c>
      <c r="BG121" s="45" t="n">
        <f aca="false">IF(OR(Tasks[[#This Row],[Task Name]]="",Tasks[[#This Row],[_Level]]&lt;=1),0,IFERROR(LOOKUP(2,1/(Tasks[[#Headers],[_Level]]:Tasks[[#This Row],[_Level]]=Tasks[[#This Row],[_Level]]-1),ROW(Tasks[[#Headers],[_Level]]:Tasks[[#This Row],[_Level]])),0))</f>
        <v>0</v>
      </c>
      <c r="BH121" s="45" t="n">
        <f aca="false">IFERROR(N(INDEX(Tasks[_Level],Tasks[[#This Row],[_Row]]+1)),0)</f>
        <v>0</v>
      </c>
      <c r="BI121" s="73" t="b">
        <f aca="false">AND(Tasks[[#This Row],[Task Name]]&lt;&gt;"",Tasks[[#This Row],[_NextLevel]]&gt;Tasks[[#This Row],[_Level]])</f>
        <v>0</v>
      </c>
      <c r="BJ121" s="45" t="n">
        <f aca="false">IF(Tasks[[#This Row],[_IsSummary]],COUNTIF(Tasks[WBS],Tasks[[#This Row],[WBS]]&amp;".*"),0)</f>
        <v>0</v>
      </c>
      <c r="BK121" s="45" t="n">
        <f aca="false">IF(AND(Tasks[[#This Row],[Task Name]]&lt;&gt;"",NOT(Tasks[[#This Row],[_IsSummary]])),1,0)</f>
        <v>0</v>
      </c>
      <c r="BL121" s="45" t="n">
        <f aca="false">IF(N(Tasks[[#This Row],[_Pred1UID]])=0,0,IFERROR(MATCH(Tasks[[#This Row],[_Pred1UID]],Tasks[UID],0),-1))</f>
        <v>0</v>
      </c>
      <c r="BM121" s="45" t="n">
        <f aca="false">IF(N(Tasks[[#This Row],[_Pred2UID]])=0,0,IFERROR(MATCH(Tasks[[#This Row],[_Pred2UID]],Tasks[UID],0),-1))</f>
        <v>0</v>
      </c>
      <c r="BN121" s="45" t="n">
        <f aca="false">IF(N(Tasks[[#This Row],[_Pred3UID]])=0,0,IFERROR(MATCH(Tasks[[#This Row],[_Pred3UID]],Tasks[UID],0),-1))</f>
        <v>0</v>
      </c>
      <c r="BO121" s="45" t="n">
        <f aca="false">IF(N(Tasks[[#This Row],[_Pred4UID]])=0,0,IFERROR(MATCH(Tasks[[#This Row],[_Pred4UID]],Tasks[UID],0),-1))</f>
        <v>0</v>
      </c>
      <c r="BP12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2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21" s="74" t="n">
        <f aca="false">IF(OR(Tasks[[#This Row],[_ConstraintCode]]=2,Tasks[[#This Row],[_ConstraintCode]]=3,Tasks[[#This Row],[_ConstraintCode]]=4,Tasks[[#This Row],[_ConstraintCode]]=6),Tasks[[#This Row],[_ConstraintStart]],0)</f>
        <v>0</v>
      </c>
      <c r="BS121" s="74" t="n">
        <f aca="false">IF(OR(Tasks[[#This Row],[_ConstraintCode]]=2,Tasks[[#This Row],[_ConstraintCode]]=3,Tasks[[#This Row],[_ConstraintCode]]=5,Tasks[[#This Row],[_ConstraintCode]]=7),Tasks[[#This Row],[_ConstraintStart]],2958465)</f>
        <v>2958465</v>
      </c>
      <c r="BT12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21" s="74" t="str">
        <f aca="false">IF(NOT(Tasks[[#This Row],[_IsLeaf]]=1),"",IF(N(Tasks[[#This Row],[Duration]])&lt;=0,Tasks[[#This Row],[_LeafCalcStart]],WORKDAY.INTL(Tasks[[#This Row],[_LeafCalcStart]],Tasks[[#This Row],[Duration]]-1,WorkWeek,Holidays)))</f>
        <v/>
      </c>
      <c r="BV12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2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21" s="45" t="str">
        <f aca="false">IF(Tasks[[#This Row],[Predecessors]]="","",TRIM(MID(SUBSTITUTE(SUBSTITUTE(SUBSTITUTE(UPPER(Tasks[[#This Row],[Predecessors]]),";",",")," ",""),",",REPT(" ",99)),1,99)))</f>
        <v/>
      </c>
      <c r="BY121" s="45" t="str">
        <f aca="false">IF(Tasks[[#This Row],[_Pred1Text]]="","",IFERROR(VALUE(LEFT(Tasks[[#This Row],[_Pred1Text]],MIN(FIND("F",Tasks[[#This Row],[_Pred1Text]]&amp;"F"),FIND("S",Tasks[[#This Row],[_Pred1Text]]&amp;"S"),FIND("+",Tasks[[#This Row],[_Pred1Text]]&amp;"+"),FIND("-",Tasks[[#This Row],[_Pred1Text]]&amp;"-"))-1)),""))</f>
        <v/>
      </c>
      <c r="BZ12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2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21" s="45" t="str">
        <f aca="false">IF(Tasks[[#This Row],[_Pred1Text]]="","",TRIM(MID(SUBSTITUTE(SUBSTITUTE(SUBSTITUTE(UPPER(Tasks[[#This Row],[Predecessors]]),";",",")," ",""),",",REPT(" ",99)),100,99)))</f>
        <v/>
      </c>
      <c r="CC121" s="45" t="str">
        <f aca="false">IF(Tasks[[#This Row],[_Pred2Text]]="","",IFERROR(VALUE(LEFT(Tasks[[#This Row],[_Pred2Text]],MIN(FIND("F",Tasks[[#This Row],[_Pred2Text]]&amp;"F"),FIND("S",Tasks[[#This Row],[_Pred2Text]]&amp;"S"),FIND("+",Tasks[[#This Row],[_Pred2Text]]&amp;"+"),FIND("-",Tasks[[#This Row],[_Pred2Text]]&amp;"-"))-1)),""))</f>
        <v/>
      </c>
      <c r="CD12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2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21" s="45" t="str">
        <f aca="false">IF(Tasks[[#This Row],[_Pred2Text]]="","",TRIM(MID(SUBSTITUTE(SUBSTITUTE(SUBSTITUTE(UPPER(Tasks[[#This Row],[Predecessors]]),";",",")," ",""),",",REPT(" ",99)),199,99)))</f>
        <v/>
      </c>
      <c r="CG121" s="45" t="str">
        <f aca="false">IF(Tasks[[#This Row],[_Pred3Text]]="","",IFERROR(VALUE(LEFT(Tasks[[#This Row],[_Pred3Text]],MIN(FIND("F",Tasks[[#This Row],[_Pred3Text]]&amp;"F"),FIND("S",Tasks[[#This Row],[_Pred3Text]]&amp;"S"),FIND("+",Tasks[[#This Row],[_Pred3Text]]&amp;"+"),FIND("-",Tasks[[#This Row],[_Pred3Text]]&amp;"-"))-1)),""))</f>
        <v/>
      </c>
      <c r="CH12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2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21" s="45" t="str">
        <f aca="false">IF(Tasks[[#This Row],[_Pred3Text]]="","",TRIM(MID(SUBSTITUTE(SUBSTITUTE(SUBSTITUTE(UPPER(Tasks[[#This Row],[Predecessors]]),";",",")," ",""),",",REPT(" ",99)),298,99)))</f>
        <v/>
      </c>
      <c r="CK121" s="45" t="str">
        <f aca="false">IF(Tasks[[#This Row],[_Pred4Text]]="","",IFERROR(VALUE(LEFT(Tasks[[#This Row],[_Pred4Text]],MIN(FIND("F",Tasks[[#This Row],[_Pred4Text]]&amp;"F"),FIND("S",Tasks[[#This Row],[_Pred4Text]]&amp;"S"),FIND("+",Tasks[[#This Row],[_Pred4Text]]&amp;"+"),FIND("-",Tasks[[#This Row],[_Pred4Text]]&amp;"-"))-1)),""))</f>
        <v/>
      </c>
      <c r="CL12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2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21" s="45" t="str">
        <f aca="false">IF(OR(Tasks[[#This Row],[Task Name]]="",Tasks[[#This Row],[Resources]]=""),"",TRIM(MID(SUBSTITUTE(Tasks[[#This Row],[Resources]],",",REPT(" ",99)),1,99)))</f>
        <v/>
      </c>
      <c r="CO121" s="45" t="str">
        <f aca="false">IF(Tasks[[#This Row],[_Res1Text]]="","",TRIM(MID(SUBSTITUTE(Tasks[[#This Row],[Resources]],",",REPT(" ",99)),100,99)))</f>
        <v/>
      </c>
      <c r="CP121" s="45" t="str">
        <f aca="false">IF(Tasks[[#This Row],[_Res2Text]]="","",TRIM(MID(SUBSTITUTE(Tasks[[#This Row],[Resources]],",",REPT(" ",99)),199,99)))</f>
        <v/>
      </c>
      <c r="CQ121" s="45" t="str">
        <f aca="false">IF(Tasks[[#This Row],[_Res3Text]]="","",TRIM(MID(SUBSTITUTE(Tasks[[#This Row],[Resources]],",",REPT(" ",99)),298,99)))</f>
        <v/>
      </c>
      <c r="CR12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2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1" s="45" t="n">
        <f aca="false">IF(NOT(Tasks[[#This Row],[_IsLeaf]]=1),0,(Tasks[[#This Row],[_Resource1]]&lt;&gt;"")+(Tasks[[#This Row],[_Res2]]&lt;&gt;"")+(Tasks[[#This Row],[_Res3]]&lt;&gt;"")+(Tasks[[#This Row],[_Res4]]&lt;&gt;""))</f>
        <v>0</v>
      </c>
      <c r="CU12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2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1" s="45" t="n">
        <f aca="false">IF(OR(NOT(Tasks[[#This Row],[_IsLeaf]]=1),Tasks[[#This Row],[_Res2]]=""),0,IF(ISNA(MATCH(Tasks[[#This Row],[_Res2]],res_Name,0)),0,N(Tasks[[#This Row],[Duration]])*HoursPerDay*IF(Tasks[[#This Row],[_Res2Units]]="",DefaultUnits,Tasks[[#This Row],[_Res2Units]])))</f>
        <v>0</v>
      </c>
      <c r="CX121" s="45" t="n">
        <f aca="false">IF(Tasks[[#This Row],[_Res2Work]]=0,0,Tasks[[#This Row],[_Res2Work]]*IFERROR(INDEX(res_Rate,MATCH(Tasks[[#This Row],[_Res2]],res_Name,0)),0))</f>
        <v>0</v>
      </c>
      <c r="CY121" s="45" t="n">
        <f aca="false">IF(AND(AND(Tasks[[#This Row],[_IsLeaf]]=1,Tasks[[#This Row],[_LeafTotalWork]]&gt;0),Tasks[[#This Row],[_Res2Work]]&gt;0),Tasks[[#This Row],[_Res2Work]]/(Tasks[[#This Row],[_FinishWorkday]]-Tasks[[#This Row],[_StartWorkday]]+1),0)</f>
        <v>0</v>
      </c>
      <c r="CZ121" s="45" t="n">
        <f aca="false">Tasks[[#This Row],[_Res2WorkPerWD]]*MAX(0,Tasks[[#This Row],[_StartWorkday]]-1)</f>
        <v>0</v>
      </c>
      <c r="DA121" s="45" t="n">
        <f aca="false">Tasks[[#This Row],[_Res2Work]]*Tasks[[#This Row],[_LeafProgress]]</f>
        <v>0</v>
      </c>
      <c r="DB121" s="45" t="n">
        <f aca="false">IF(Tasks[[#This Row],[_LeafTotalCost]]=0,0,Tasks[[#This Row],[_LeafAC]]*Tasks[[#This Row],[_Res2Cost]]/Tasks[[#This Row],[_LeafTotalCost]])</f>
        <v>0</v>
      </c>
      <c r="DC12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2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21" s="45" t="n">
        <f aca="false">IF(OR(NOT(Tasks[[#This Row],[_IsLeaf]]=1),Tasks[[#This Row],[_Res3]]=""),0,IF(ISNA(MATCH(Tasks[[#This Row],[_Res3]],res_Name,0)),0,N(Tasks[[#This Row],[Duration]])*HoursPerDay*IF(Tasks[[#This Row],[_Res3Units]]="",DefaultUnits,Tasks[[#This Row],[_Res3Units]])))</f>
        <v>0</v>
      </c>
      <c r="DF121" s="45" t="n">
        <f aca="false">IF(Tasks[[#This Row],[_Res3Work]]=0,0,Tasks[[#This Row],[_Res3Work]]*IFERROR(INDEX(res_Rate,MATCH(Tasks[[#This Row],[_Res3]],res_Name,0)),0))</f>
        <v>0</v>
      </c>
      <c r="DG121" s="45" t="n">
        <f aca="false">IF(AND(AND(Tasks[[#This Row],[_IsLeaf]]=1,Tasks[[#This Row],[_LeafTotalWork]]&gt;0),Tasks[[#This Row],[_Res3Work]]&gt;0),Tasks[[#This Row],[_Res3Work]]/(Tasks[[#This Row],[_FinishWorkday]]-Tasks[[#This Row],[_StartWorkday]]+1),0)</f>
        <v>0</v>
      </c>
      <c r="DH121" s="45" t="n">
        <f aca="false">Tasks[[#This Row],[_Res3WorkPerWD]]*MAX(0,Tasks[[#This Row],[_StartWorkday]]-1)</f>
        <v>0</v>
      </c>
      <c r="DI121" s="45" t="n">
        <f aca="false">Tasks[[#This Row],[_Res3Work]]*Tasks[[#This Row],[_LeafProgress]]</f>
        <v>0</v>
      </c>
      <c r="DJ121" s="45" t="n">
        <f aca="false">IF(Tasks[[#This Row],[_LeafTotalCost]]=0,0,Tasks[[#This Row],[_LeafAC]]*Tasks[[#This Row],[_Res3Cost]]/Tasks[[#This Row],[_LeafTotalCost]])</f>
        <v>0</v>
      </c>
      <c r="DK12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2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21" s="45" t="n">
        <f aca="false">IF(OR(NOT(Tasks[[#This Row],[_IsLeaf]]=1),Tasks[[#This Row],[_Res4]]=""),0,IF(ISNA(MATCH(Tasks[[#This Row],[_Res4]],res_Name,0)),0,N(Tasks[[#This Row],[Duration]])*HoursPerDay*IF(Tasks[[#This Row],[_Res4Units]]="",DefaultUnits,Tasks[[#This Row],[_Res4Units]])))</f>
        <v>0</v>
      </c>
      <c r="DN121" s="45" t="n">
        <f aca="false">IF(Tasks[[#This Row],[_Res4Work]]=0,0,Tasks[[#This Row],[_Res4Work]]*IFERROR(INDEX(res_Rate,MATCH(Tasks[[#This Row],[_Res4]],res_Name,0)),0))</f>
        <v>0</v>
      </c>
      <c r="DO121" s="45" t="n">
        <f aca="false">IF(AND(AND(Tasks[[#This Row],[_IsLeaf]]=1,Tasks[[#This Row],[_LeafTotalWork]]&gt;0),Tasks[[#This Row],[_Res4Work]]&gt;0),Tasks[[#This Row],[_Res4Work]]/(Tasks[[#This Row],[_FinishWorkday]]-Tasks[[#This Row],[_StartWorkday]]+1),0)</f>
        <v>0</v>
      </c>
      <c r="DP121" s="45" t="n">
        <f aca="false">Tasks[[#This Row],[_Res4WorkPerWD]]*MAX(0,Tasks[[#This Row],[_StartWorkday]]-1)</f>
        <v>0</v>
      </c>
      <c r="DQ121" s="45" t="n">
        <f aca="false">Tasks[[#This Row],[_Res4Work]]*Tasks[[#This Row],[_LeafProgress]]</f>
        <v>0</v>
      </c>
      <c r="DR121" s="45" t="n">
        <f aca="false">IF(Tasks[[#This Row],[_LeafTotalCost]]=0,0,Tasks[[#This Row],[_LeafAC]]*Tasks[[#This Row],[_Res4Cost]]/Tasks[[#This Row],[_LeafTotalCost]])</f>
        <v>0</v>
      </c>
      <c r="DS121" s="45" t="n">
        <f aca="false">IF(ISNUMBER(Tasks[[#This Row],[% Complete]]),Tasks[[#This Row],[% Complete]],IF(Tasks[[#This Row],[Stage]]="",0,IFERROR(INDEX(stg_Pct,MATCH(Tasks[[#This Row],[Stage]],stg_Name,0)),0)))</f>
        <v>0</v>
      </c>
      <c r="DT121" s="45" t="n">
        <f aca="false">IF(NOT(Tasks[[#This Row],[_IsLeaf]]=1),0,IF(N(Tasks[[#This Row],[Actual Finish]])&gt;0,1,MIN(1,Tasks[[#This Row],[_Pct]])))</f>
        <v>0</v>
      </c>
      <c r="DU121" s="45" t="n">
        <f aca="false">IF(OR(NOT(Tasks[[#This Row],[_IsLeaf]]=1),Tasks[[#This Row],[_Resource1]]=""),0,IF(ISNA(MATCH(Tasks[[#This Row],[_Resource1]],res_Name,0)),0,N(Tasks[[#This Row],[Duration]])*HoursPerDay*IF(Tasks[[#This Row],[_Units1]]="",DefaultUnits,Tasks[[#This Row],[_Units1]])))</f>
        <v>0</v>
      </c>
      <c r="DV121" s="45" t="n">
        <f aca="false">IF(Tasks[[#This Row],[_LeafWork]]=0,0,Tasks[[#This Row],[_LeafWork]]*IFERROR(INDEX(res_Rate,MATCH(Tasks[[#This Row],[_Resource1]],res_Name,0)),0))</f>
        <v>0</v>
      </c>
      <c r="DW121" s="45" t="n">
        <f aca="false">Tasks[[#This Row],[_LeafWork]]+Tasks[[#This Row],[_Res2Work]]+Tasks[[#This Row],[_Res3Work]]+Tasks[[#This Row],[_Res4Work]]</f>
        <v>0</v>
      </c>
      <c r="DX121" s="45" t="n">
        <f aca="false">Tasks[[#This Row],[_LeafCost]]+Tasks[[#This Row],[_Res2Cost]]+Tasks[[#This Row],[_Res3Cost]]+Tasks[[#This Row],[_Res4Cost]]</f>
        <v>0</v>
      </c>
      <c r="DY121" s="45" t="n">
        <f aca="false">IF(Tasks[[#This Row],[_LeafTotalCost]]=0,Tasks[[#This Row],[_LeafAC]],Tasks[[#This Row],[_LeafAC]]*Tasks[[#This Row],[_LeafCost]]/Tasks[[#This Row],[_LeafTotalCost]])</f>
        <v>0</v>
      </c>
      <c r="DZ12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2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2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2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2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2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2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2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21" s="45" t="n">
        <f aca="false">IF(NOT(Tasks[[#This Row],[_IsLeaf]]=1),0,MAX(_xlfn.MAXIFS(Tasks[_Row],Tasks[_Pred1UID],Tasks[[#This Row],[UID]]),_xlfn.MAXIFS(Tasks[_Row],Tasks[_Pred2UID],Tasks[[#This Row],[UID]]),_xlfn.MAXIFS(Tasks[_Row],Tasks[_Pred3UID],Tasks[[#This Row],[UID]]),_xlfn.MAXIFS(Tasks[_Row],Tasks[_Pred4UID],Tasks[[#This Row],[UID]])))</f>
        <v>0</v>
      </c>
      <c r="EI12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2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21" s="74" t="str">
        <f aca="false">IF(NOT(Tasks[[#This Row],[_IsLeaf]]=1),"",IF(N(Tasks[[#This Row],[Duration]])&lt;=0,Tasks[[#This Row],[_LeafLateFinish]],WORKDAY.INTL(Tasks[[#This Row],[_LeafLateFinish]],-(Tasks[[#This Row],[Duration]]-1),WorkWeek,Holidays)))</f>
        <v/>
      </c>
      <c r="EL12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21" s="73" t="b">
        <f aca="false">AND(Tasks[[#This Row],[_IsLeaf]]=1,Tasks[[#This Row],[_LeafProgress]]&lt;1,N(Tasks[[#This Row],[_LeafTotalSlack]])&lt;=CriticalSlackDays)</f>
        <v>0</v>
      </c>
      <c r="EN121" s="45" t="n">
        <f aca="false">IF(AND(Tasks[[#This Row],[_IsLeaf]]=1,Tasks[[#This Row],[_ConstraintCode]]=1,Tasks[[#This Row],[Mode]]&lt;&gt;"Manual",N(Tasks[[#This Row],[Actual Start]])=0),MAX(0,N(Tasks[[#This Row],[Free Slack]])),0)</f>
        <v>0</v>
      </c>
      <c r="EO121" s="74" t="str">
        <f aca="false">IF(NOT(Tasks[[#This Row],[_IsLeaf]]=1),"",IF(Tasks[[#This Row],[_AlapShift]]=0,Tasks[[#This Row],[_LeafCalcStart]],WORKDAY.INTL(Tasks[[#This Row],[_LeafCalcStart]],Tasks[[#This Row],[_AlapShift]],WorkWeek,Holidays)))</f>
        <v/>
      </c>
      <c r="EP121" s="74" t="str">
        <f aca="false">IF(NOT(Tasks[[#This Row],[_IsLeaf]]=1),"",IF(Tasks[[#This Row],[_AlapShift]]=0,Tasks[[#This Row],[_LeafCalcFinish]],WORKDAY.INTL(Tasks[[#This Row],[_LeafCalcFinish]],Tasks[[#This Row],[_AlapShift]],WorkWeek,Holidays)))</f>
        <v/>
      </c>
      <c r="EQ121" s="74" t="str">
        <f aca="false">IF(NOT(Tasks[[#This Row],[_IsLeaf]]=1),"",IF(Tasks[[#This Row],[_AlapShift]]=0,Tasks[[#This Row],[_LeafFcstStart]],WORKDAY.INTL(Tasks[[#This Row],[_LeafFcstStart]],Tasks[[#This Row],[_AlapShift]],WorkWeek,Holidays)))</f>
        <v/>
      </c>
      <c r="ER121" s="74" t="str">
        <f aca="false">IF(NOT(Tasks[[#This Row],[_IsLeaf]]=1),"",IF(Tasks[[#This Row],[_AlapShift]]=0,Tasks[[#This Row],[_LeafFcstFinish]],WORKDAY.INTL(Tasks[[#This Row],[_LeafFcstFinish]],Tasks[[#This Row],[_AlapShift]],WorkWeek,Holidays)))</f>
        <v/>
      </c>
      <c r="ES121" s="74" t="str">
        <f aca="false">IF(Tasks[[#This Row],[Task Name]]="","",IF(Tasks[[#This Row],[_IsSummary]],MIN(INDEX(Tasks[_ShownCalcStart],Tasks[[#This Row],[_Row]]+1):INDEX(Tasks[_ShownCalcStart],Tasks[[#This Row],[_Row]]+Tasks[[#This Row],[_Descendants]])),Tasks[[#This Row],[_ShownCalcStart]]))</f>
        <v/>
      </c>
      <c r="ET121" s="74" t="str">
        <f aca="false">IF(Tasks[[#This Row],[Task Name]]="","",IF(Tasks[[#This Row],[_IsSummary]],MAX(INDEX(Tasks[_ShownCalcFinish],Tasks[[#This Row],[_Row]]+1):INDEX(Tasks[_ShownCalcFinish],Tasks[[#This Row],[_Row]]+Tasks[[#This Row],[_Descendants]])),Tasks[[#This Row],[_ShownCalcFinish]]))</f>
        <v/>
      </c>
      <c r="EU12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2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2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2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2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2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2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2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2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2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2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2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21" s="45" t="n">
        <f aca="false">IF(AND(Tasks[[#This Row],[_IsLeaf]]=1,Tasks[[#This Row],[_LeafTotalWork]]&gt;0),NETWORKDAYS.INTL(ProjectStart,Tasks[[#This Row],[_ShownFcstStart]],WorkWeek,Holidays),0)</f>
        <v>0</v>
      </c>
      <c r="FH121" s="45" t="n">
        <f aca="false">IF(AND(Tasks[[#This Row],[_IsLeaf]]=1,Tasks[[#This Row],[_LeafTotalWork]]&gt;0),MAX(Tasks[[#This Row],[_StartWorkday]],NETWORKDAYS.INTL(ProjectStart,Tasks[[#This Row],[_ShownFcstFinish]],WorkWeek,Holidays)),0)</f>
        <v>0</v>
      </c>
      <c r="FI121" s="45" t="n">
        <f aca="false">IF(AND(Tasks[[#This Row],[_IsLeaf]]=1,Tasks[[#This Row],[_LeafTotalWork]]&gt;0),Tasks[[#This Row],[_LeafWork]]/(Tasks[[#This Row],[_FinishWorkday]]-Tasks[[#This Row],[_StartWorkday]]+1),0)</f>
        <v>0</v>
      </c>
      <c r="FJ121" s="45" t="n">
        <f aca="false">Tasks[[#This Row],[_WorkPerWorkday]]*(Tasks[[#This Row],[_StartWorkday]]-1)</f>
        <v>-0</v>
      </c>
      <c r="FK121" s="45" t="n">
        <f aca="false">IF(Tasks[[#This Row],[_IsLeaf]]=1,MAX(N(Tasks[[#This Row],[Duration]]),0.1),0)</f>
        <v>0</v>
      </c>
      <c r="FL121" s="45" t="n">
        <f aca="false">Tasks[[#This Row],[_WeightDur]]*Tasks[[#This Row],[_LeafProgress]]</f>
        <v>0</v>
      </c>
      <c r="FM12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21" s="45" t="str">
        <f aca="false">IF(AND(Tasks[[#This Row],[_IsLeaf]]=1,N(Tasks[[#This Row],[Duration]])=0,Tasks[[#This Row],[_LeafProgress]]&lt;1),Tasks[[#This Row],[_ShownFcstFinish]]+Tasks[[#This Row],[_Row]]/100000,"")</f>
        <v/>
      </c>
      <c r="FO12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21" s="45" t="n">
        <f aca="false">IF(NOT(Tasks[[#This Row],[_IsLeaf]]=1),0,IF(Tasks[[#This Row],[Baseline Cost]]="",Tasks[[#This Row],[_LeafTotalCost]],N(Tasks[[#This Row],[Baseline Cost]])))</f>
        <v>0</v>
      </c>
      <c r="FQ121" s="45" t="n">
        <f aca="false">Tasks[[#This Row],[_LeafBudget]]*Tasks[[#This Row],[_PlannedPct]]</f>
        <v>0</v>
      </c>
      <c r="FR121" s="45" t="n">
        <f aca="false">Tasks[[#This Row],[_LeafBudget]]*Tasks[[#This Row],[_LeafProgress]]</f>
        <v>0</v>
      </c>
      <c r="FS121" s="45" t="n">
        <f aca="false">IF(NOT(Tasks[[#This Row],[_IsLeaf]]=1),0,IF(Tasks[[#This Row],[Actual Cost]]="",Tasks[[#This Row],[_LeafTotalCost]]*Tasks[[#This Row],[_LeafProgress]],N(Tasks[[#This Row],[Actual Cost]])))</f>
        <v>0</v>
      </c>
      <c r="FT121" s="45" t="str">
        <f aca="false">IF(Tasks[[#This Row],[Task Name]]="","",LEFT(Tasks[[#This Row],[WBS]],FIND(".",Tasks[[#This Row],[WBS]]&amp;".")-1))</f>
        <v/>
      </c>
      <c r="FU121" s="45" t="str">
        <f aca="false">IF(AND(Tasks[[#This Row],[Task Name]]&lt;&gt;"",Tasks[[#This Row],[_Level]]=1),Tasks[[#This Row],[_Row]],"")</f>
        <v/>
      </c>
      <c r="FV121" s="45" t="str">
        <f aca="false">IF(AND(Tasks[[#This Row],[_IsLeaf]]=1,N(Tasks[[#This Row],[Duration]])=0),Tasks[[#This Row],[Planned Finish]]+Tasks[[#This Row],[_Row]]/100000,"")</f>
        <v/>
      </c>
      <c r="FW121" s="45" t="str">
        <f aca="false">IF(AND(Tasks[[#This Row],[_IsLeaf]]=1,Tasks[[#This Row],[_LeafProgress]]&lt;1,OR(N(Tasks[[#This Row],[Finish Var]])&gt;0,Tasks[[#This Row],[Status]]="Late Start")),MAX(0,Tasks[[#This Row],[Finish Var]])+1-Tasks[[#This Row],[_Row]]/1000000,"")</f>
        <v/>
      </c>
      <c r="FX121" s="45" t="str">
        <f aca="false">IF(AND(Tasks[[#This Row],[_IsLeaf]]=1,N(Tasks[[#This Row],[Actual Start]])=0,Tasks[[#This Row],[_ShownFcstStart]]&gt;=StatusDate,Tasks[[#This Row],[_ShownFcstStart]]&lt;=LookaheadEnd),Tasks[[#This Row],[_ShownFcstStart]]+Tasks[[#This Row],[_Row]]/100000,"")</f>
        <v/>
      </c>
      <c r="FY121" s="45" t="str">
        <f aca="false">IF(AND(Tasks[[#This Row],[_IsLeaf]]=1,Tasks[[#This Row],[_LeafProgress]]&lt;1,Tasks[[#This Row],[_ShownFcstFinish]]&gt;=StatusDate,Tasks[[#This Row],[_ShownFcstFinish]]&lt;=LookaheadEnd),Tasks[[#This Row],[_ShownFcstFinish]]+Tasks[[#This Row],[_Row]]/100000,"")</f>
        <v/>
      </c>
      <c r="FZ121" s="45" t="str">
        <f aca="false">IF(Tasks[[#This Row],[_LeafCritical]],Tasks[[#This Row],[_ShownFcstStart]]+Tasks[[#This Row],[_Row]]/100000,"")</f>
        <v/>
      </c>
      <c r="GA121" s="45" t="n">
        <f aca="false">Tasks[[#This Row],[_LeafWork]]*Tasks[[#This Row],[_LeafProgress]]</f>
        <v>0</v>
      </c>
      <c r="GB121" s="74" t="str">
        <f aca="false">IF(AND(Tasks[[#This Row],[_IsLeaf]]=1,Tasks[[#This Row],[_LeafProgress]]&gt;=1),IF(N(Tasks[[#This Row],[Actual Finish]])&gt;0,Tasks[[#This Row],[Actual Finish]],Tasks[[#This Row],[_ShownFcstFinish]]),"")</f>
        <v/>
      </c>
    </row>
    <row r="122" customFormat="false" ht="15" hidden="false" customHeight="false" outlineLevel="0" collapsed="false">
      <c r="A122" s="67" t="str">
        <f aca="false">IF(Tasks[[#This Row],[Task Name]]="","",COUNTA(Tasks[[#Headers],[Task Name]]:Tasks[[#This Row],[Task Name]])-1)</f>
        <v/>
      </c>
      <c r="B122" s="21" t="n">
        <v>117</v>
      </c>
      <c r="C12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21"/>
      <c r="E122" s="22"/>
      <c r="F122" s="21"/>
      <c r="G122" s="22"/>
      <c r="H122" s="22"/>
      <c r="I122" s="22"/>
      <c r="J122" s="7"/>
      <c r="K122" s="7"/>
      <c r="L122" s="22"/>
      <c r="M122" s="58" t="str">
        <f aca="false">IF(Tasks[[#This Row],[Task Name]]="","",IF(Tasks[[#This Row],[_IsSummary]],MIN(INDEX(Tasks[_ShownFcstStart],Tasks[[#This Row],[_Row]]+1):INDEX(Tasks[_ShownFcstStart],Tasks[[#This Row],[_Row]]+Tasks[[#This Row],[_Descendants]])),Tasks[[#This Row],[_ShownFcstStart]]))</f>
        <v/>
      </c>
      <c r="N122" s="58" t="str">
        <f aca="false">IF(Tasks[[#This Row],[Task Name]]="","",IF(Tasks[[#This Row],[_IsSummary]],MAX(INDEX(Tasks[_ShownFcstFinish],Tasks[[#This Row],[_Row]]+1):INDEX(Tasks[_ShownFcstFinish],Tasks[[#This Row],[_Row]]+Tasks[[#This Row],[_Descendants]])),Tasks[[#This Row],[_ShownFcstFinish]]))</f>
        <v/>
      </c>
      <c r="O122" s="20" t="str">
        <f aca="false">IF(Tasks[[#This Row],[Task Name]]="","",IF(Tasks[[#This Row],[Progress]]&gt;=1,"Complete",IF(OR(N(Tasks[[#This Row],[Actual Start]])&gt;0,Tasks[[#This Row],[Progress]]&gt;0),IF(Tasks[[#This Row],[Finish Var]]&gt;0,"Behind","In Progress"),IF(Tasks[[#This Row],[Planned Start]]&lt;StatusDate,"Late Start","Not Started"))))</f>
        <v/>
      </c>
      <c r="P122" s="20" t="str">
        <f aca="false">IF(Tasks[[#This Row],[Task Name]]="","",IF(IF(Tasks[[#This Row],[_IsSummary]],COUNTIF(INDEX(Tasks[_LeafCritical],Tasks[[#This Row],[_Row]]+1):INDEX(Tasks[_LeafCritical],Tasks[[#This Row],[_Row]]+Tasks[[#This Row],[_Descendants]]),TRUE())&gt;0,Tasks[[#This Row],[_LeafCritical]]),"Yes",""))</f>
        <v/>
      </c>
      <c r="Q12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22" s="67" t="str">
        <f aca="false">IF(Tasks[[#This Row],[Task Name]]="","",IF(Tasks[[#This Row],[_Level]]&lt;=OutlineShowLevel,"Yes","No"))</f>
        <v/>
      </c>
      <c r="S122" s="7"/>
      <c r="T122" s="21"/>
      <c r="U122" s="22"/>
      <c r="V122" s="7"/>
      <c r="W122" s="67" t="str">
        <f aca="false">IF(Tasks[[#This Row],[Task Name]]="","",IF(Tasks[[#This Row],[Finish]]&gt;=Tasks[[#This Row],[Planned Finish]],NETWORKDAYS.INTL(Tasks[[#This Row],[Planned Finish]],Tasks[[#This Row],[Finish]],WorkWeek,Holidays)-1,1-NETWORKDAYS.INTL(Tasks[[#This Row],[Finish]],Tasks[[#This Row],[Planned Finish]],WorkWeek,Holidays)))</f>
        <v/>
      </c>
      <c r="X122" s="58" t="str">
        <f aca="false">IF(Tasks[[#This Row],[Task Name]]="","",IF(N(Tasks[[#This Row],[Baseline Start]])&gt;0,Tasks[[#This Row],[Baseline Start]],Tasks[[#This Row],[_CalcStart]]))</f>
        <v/>
      </c>
      <c r="Y122" s="58" t="str">
        <f aca="false">IF(Tasks[[#This Row],[Task Name]]="","",IF(N(Tasks[[#This Row],[Baseline Finish]])&gt;0,Tasks[[#This Row],[Baseline Finish]],Tasks[[#This Row],[_CalcFinish]]))</f>
        <v/>
      </c>
      <c r="Z122" s="67" t="str">
        <f aca="false">IF(Tasks[[#This Row],[Task Name]]="","",IF(Tasks[[#This Row],[Start]]&gt;=Tasks[[#This Row],[Planned Start]],NETWORKDAYS.INTL(Tasks[[#This Row],[Planned Start]],Tasks[[#This Row],[Start]],WorkWeek,Holidays)-1,1-NETWORKDAYS.INTL(Tasks[[#This Row],[Start]],Tasks[[#This Row],[Planned Start]],WorkWeek,Holidays)))</f>
        <v/>
      </c>
      <c r="AA122" s="58" t="str">
        <f aca="false">IF(Tasks[[#This Row],[Task Name]]="","",IF(Tasks[[#This Row],[_IsSummary]],MIN(INDEX(Tasks[_LeafLateStart],Tasks[[#This Row],[_Row]]+1):INDEX(Tasks[_LeafLateStart],Tasks[[#This Row],[_Row]]+Tasks[[#This Row],[_Descendants]])),Tasks[[#This Row],[_LeafLateStart]]))</f>
        <v/>
      </c>
      <c r="AB122" s="58" t="str">
        <f aca="false">IF(Tasks[[#This Row],[Task Name]]="","",IF(Tasks[[#This Row],[_IsSummary]],MAX(INDEX(Tasks[_LeafLateFinish],Tasks[[#This Row],[_Row]]+1):INDEX(Tasks[_LeafLateFinish],Tasks[[#This Row],[_Row]]+Tasks[[#This Row],[_Descendants]])),Tasks[[#This Row],[_LeafLateFinish]]))</f>
        <v/>
      </c>
      <c r="AC122" s="67" t="str">
        <f aca="false">IF(Tasks[[#This Row],[Task Name]]="","",IF(Tasks[[#This Row],[_IsSummary]],MIN(INDEX(Tasks[_LeafTotalSlack],Tasks[[#This Row],[_Row]]+1):INDEX(Tasks[_LeafTotalSlack],Tasks[[#This Row],[_Row]]+Tasks[[#This Row],[_Descendants]])),Tasks[[#This Row],[_LeafTotalSlack]]))</f>
        <v/>
      </c>
      <c r="AD12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2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2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22" s="60"/>
      <c r="AH12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2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22" s="69" t="str">
        <f aca="false">IF(Tasks[[#This Row],[Task Name]]="","",IF(Tasks[[#This Row],[_IsSummary]],SUM(INDEX(Tasks[_LeafTotalWork],Tasks[[#This Row],[_Row]]+1):INDEX(Tasks[_LeafTotalWork],Tasks[[#This Row],[_Row]]+Tasks[[#This Row],[_Descendants]])),Tasks[[#This Row],[_LeafTotalWork]]))</f>
        <v/>
      </c>
      <c r="AK12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22" s="70" t="str">
        <f aca="false">IF(Tasks[[#This Row],[Task Name]]="","",IF(Tasks[[#This Row],[_IsSummary]],SUM(INDEX(Tasks[_LeafTotalCost],Tasks[[#This Row],[_Row]]+1):INDEX(Tasks[_LeafTotalCost],Tasks[[#This Row],[_Row]]+Tasks[[#This Row],[_Descendants]])),Tasks[[#This Row],[_LeafTotalCost]]))</f>
        <v/>
      </c>
      <c r="AM122" s="71"/>
      <c r="AN122" s="20" t="str">
        <f aca="false">IF(OR(Tasks[[#This Row],[Task Name]]="",Tasks[[#This Row],[Baseline Duration]]=""),"",Tasks[[#This Row],[BL Source Duration]]-N(Tasks[[#This Row],[Baseline Duration]]))</f>
        <v/>
      </c>
      <c r="AO122" s="69" t="str">
        <f aca="false">IF(OR(Tasks[[#This Row],[Task Name]]="",Tasks[[#This Row],[Baseline Work]]=""),"",Tasks[[#This Row],[Work]]-N(Tasks[[#This Row],[Baseline Work]]))</f>
        <v/>
      </c>
      <c r="AP122" s="70" t="str">
        <f aca="false">IF(OR(Tasks[[#This Row],[Task Name]]="",Tasks[[#This Row],[Baseline Cost]]=""),"",Tasks[[#This Row],[Cost]]-N(Tasks[[#This Row],[Baseline Cost]]))</f>
        <v/>
      </c>
      <c r="AQ122" s="58" t="str">
        <f aca="false">IF(Tasks[[#This Row],[Task Name]]="","",Tasks[[#This Row],[Start]])</f>
        <v/>
      </c>
      <c r="AR122" s="58" t="str">
        <f aca="false">IF(Tasks[[#This Row],[Task Name]]="","",Tasks[[#This Row],[Finish]])</f>
        <v/>
      </c>
      <c r="AS122" s="67" t="str">
        <f aca="false">IF(Tasks[[#This Row],[Task Name]]="","",IF(Tasks[[#This Row],[_IsSummary]],NETWORKDAYS.INTL(Tasks[[#This Row],[Start]],Tasks[[#This Row],[Finish]],WorkWeek,Holidays),N(Tasks[[#This Row],[Duration]])))</f>
        <v/>
      </c>
      <c r="AT122" s="69" t="str">
        <f aca="false">IF(Tasks[[#This Row],[Task Name]]="","",Tasks[[#This Row],[Work]])</f>
        <v/>
      </c>
      <c r="AU122" s="70" t="str">
        <f aca="false">IF(Tasks[[#This Row],[Task Name]]="","",Tasks[[#This Row],[Cost]])</f>
        <v/>
      </c>
      <c r="AV122" s="7"/>
      <c r="AW122" s="7"/>
      <c r="AX122" s="21"/>
      <c r="AY122" s="72"/>
      <c r="AZ122" s="71"/>
      <c r="BA122" s="70" t="str">
        <f aca="false">IF(Tasks[[#This Row],[Task Name]]="","",IF(Tasks[[#This Row],[_IsSummary]],SUM(INDEX(Tasks[_LeafEV],Tasks[[#This Row],[_Row]]+1):INDEX(Tasks[_LeafEV],Tasks[[#This Row],[_Row]]+Tasks[[#This Row],[_Descendants]])),Tasks[[#This Row],[_LeafEV]]))</f>
        <v/>
      </c>
      <c r="BB122" s="70" t="str">
        <f aca="false">IF(Tasks[[#This Row],[Task Name]]="","",IF(Tasks[[#This Row],[_IsSummary]],SUM(INDEX(Tasks[_LeafBudget],Tasks[[#This Row],[_Row]]+1):INDEX(Tasks[_LeafBudget],Tasks[[#This Row],[_Row]]+Tasks[[#This Row],[_Descendants]])),Tasks[[#This Row],[_LeafBudget]]))</f>
        <v/>
      </c>
      <c r="BC122" s="70" t="str">
        <f aca="false">IF(Tasks[[#This Row],[Task Name]]="","",IF(Tasks[[#This Row],[_IsSummary]],SUM(INDEX(Tasks[_LeafPV],Tasks[[#This Row],[_Row]]+1):INDEX(Tasks[_LeafPV],Tasks[[#This Row],[_Row]]+Tasks[[#This Row],[_Descendants]])),Tasks[[#This Row],[_LeafPV]]))</f>
        <v/>
      </c>
      <c r="BD122" s="70" t="str">
        <f aca="false">IF(Tasks[[#This Row],[Task Name]]="","",IF(Tasks[[#This Row],[_IsSummary]],SUM(INDEX(Tasks[_LeafAC],Tasks[[#This Row],[_Row]]+1):INDEX(Tasks[_LeafAC],Tasks[[#This Row],[_Row]]+Tasks[[#This Row],[_Descendants]])),Tasks[[#This Row],[_LeafAC]]))</f>
        <v/>
      </c>
      <c r="BE122" s="45" t="str">
        <f aca="false">IF(Tasks[[#This Row],[Task Name]]="","",MAX(1,N(Tasks[[#This Row],[Level]])))</f>
        <v/>
      </c>
      <c r="BF122" s="45" t="n">
        <f aca="false">ROW()-ROW(Tasks[[#Headers],[ID]])</f>
        <v>117</v>
      </c>
      <c r="BG122" s="45" t="n">
        <f aca="false">IF(OR(Tasks[[#This Row],[Task Name]]="",Tasks[[#This Row],[_Level]]&lt;=1),0,IFERROR(LOOKUP(2,1/(Tasks[[#Headers],[_Level]]:Tasks[[#This Row],[_Level]]=Tasks[[#This Row],[_Level]]-1),ROW(Tasks[[#Headers],[_Level]]:Tasks[[#This Row],[_Level]])),0))</f>
        <v>0</v>
      </c>
      <c r="BH122" s="45" t="n">
        <f aca="false">IFERROR(N(INDEX(Tasks[_Level],Tasks[[#This Row],[_Row]]+1)),0)</f>
        <v>0</v>
      </c>
      <c r="BI122" s="73" t="b">
        <f aca="false">AND(Tasks[[#This Row],[Task Name]]&lt;&gt;"",Tasks[[#This Row],[_NextLevel]]&gt;Tasks[[#This Row],[_Level]])</f>
        <v>0</v>
      </c>
      <c r="BJ122" s="45" t="n">
        <f aca="false">IF(Tasks[[#This Row],[_IsSummary]],COUNTIF(Tasks[WBS],Tasks[[#This Row],[WBS]]&amp;".*"),0)</f>
        <v>0</v>
      </c>
      <c r="BK122" s="45" t="n">
        <f aca="false">IF(AND(Tasks[[#This Row],[Task Name]]&lt;&gt;"",NOT(Tasks[[#This Row],[_IsSummary]])),1,0)</f>
        <v>0</v>
      </c>
      <c r="BL122" s="45" t="n">
        <f aca="false">IF(N(Tasks[[#This Row],[_Pred1UID]])=0,0,IFERROR(MATCH(Tasks[[#This Row],[_Pred1UID]],Tasks[UID],0),-1))</f>
        <v>0</v>
      </c>
      <c r="BM122" s="45" t="n">
        <f aca="false">IF(N(Tasks[[#This Row],[_Pred2UID]])=0,0,IFERROR(MATCH(Tasks[[#This Row],[_Pred2UID]],Tasks[UID],0),-1))</f>
        <v>0</v>
      </c>
      <c r="BN122" s="45" t="n">
        <f aca="false">IF(N(Tasks[[#This Row],[_Pred3UID]])=0,0,IFERROR(MATCH(Tasks[[#This Row],[_Pred3UID]],Tasks[UID],0),-1))</f>
        <v>0</v>
      </c>
      <c r="BO122" s="45" t="n">
        <f aca="false">IF(N(Tasks[[#This Row],[_Pred4UID]])=0,0,IFERROR(MATCH(Tasks[[#This Row],[_Pred4UID]],Tasks[UID],0),-1))</f>
        <v>0</v>
      </c>
      <c r="BP12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2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22" s="74" t="n">
        <f aca="false">IF(OR(Tasks[[#This Row],[_ConstraintCode]]=2,Tasks[[#This Row],[_ConstraintCode]]=3,Tasks[[#This Row],[_ConstraintCode]]=4,Tasks[[#This Row],[_ConstraintCode]]=6),Tasks[[#This Row],[_ConstraintStart]],0)</f>
        <v>0</v>
      </c>
      <c r="BS122" s="74" t="n">
        <f aca="false">IF(OR(Tasks[[#This Row],[_ConstraintCode]]=2,Tasks[[#This Row],[_ConstraintCode]]=3,Tasks[[#This Row],[_ConstraintCode]]=5,Tasks[[#This Row],[_ConstraintCode]]=7),Tasks[[#This Row],[_ConstraintStart]],2958465)</f>
        <v>2958465</v>
      </c>
      <c r="BT12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22" s="74" t="str">
        <f aca="false">IF(NOT(Tasks[[#This Row],[_IsLeaf]]=1),"",IF(N(Tasks[[#This Row],[Duration]])&lt;=0,Tasks[[#This Row],[_LeafCalcStart]],WORKDAY.INTL(Tasks[[#This Row],[_LeafCalcStart]],Tasks[[#This Row],[Duration]]-1,WorkWeek,Holidays)))</f>
        <v/>
      </c>
      <c r="BV12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2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22" s="45" t="str">
        <f aca="false">IF(Tasks[[#This Row],[Predecessors]]="","",TRIM(MID(SUBSTITUTE(SUBSTITUTE(SUBSTITUTE(UPPER(Tasks[[#This Row],[Predecessors]]),";",",")," ",""),",",REPT(" ",99)),1,99)))</f>
        <v/>
      </c>
      <c r="BY122" s="45" t="str">
        <f aca="false">IF(Tasks[[#This Row],[_Pred1Text]]="","",IFERROR(VALUE(LEFT(Tasks[[#This Row],[_Pred1Text]],MIN(FIND("F",Tasks[[#This Row],[_Pred1Text]]&amp;"F"),FIND("S",Tasks[[#This Row],[_Pred1Text]]&amp;"S"),FIND("+",Tasks[[#This Row],[_Pred1Text]]&amp;"+"),FIND("-",Tasks[[#This Row],[_Pred1Text]]&amp;"-"))-1)),""))</f>
        <v/>
      </c>
      <c r="BZ12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2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22" s="45" t="str">
        <f aca="false">IF(Tasks[[#This Row],[_Pred1Text]]="","",TRIM(MID(SUBSTITUTE(SUBSTITUTE(SUBSTITUTE(UPPER(Tasks[[#This Row],[Predecessors]]),";",",")," ",""),",",REPT(" ",99)),100,99)))</f>
        <v/>
      </c>
      <c r="CC122" s="45" t="str">
        <f aca="false">IF(Tasks[[#This Row],[_Pred2Text]]="","",IFERROR(VALUE(LEFT(Tasks[[#This Row],[_Pred2Text]],MIN(FIND("F",Tasks[[#This Row],[_Pred2Text]]&amp;"F"),FIND("S",Tasks[[#This Row],[_Pred2Text]]&amp;"S"),FIND("+",Tasks[[#This Row],[_Pred2Text]]&amp;"+"),FIND("-",Tasks[[#This Row],[_Pred2Text]]&amp;"-"))-1)),""))</f>
        <v/>
      </c>
      <c r="CD12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2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22" s="45" t="str">
        <f aca="false">IF(Tasks[[#This Row],[_Pred2Text]]="","",TRIM(MID(SUBSTITUTE(SUBSTITUTE(SUBSTITUTE(UPPER(Tasks[[#This Row],[Predecessors]]),";",",")," ",""),",",REPT(" ",99)),199,99)))</f>
        <v/>
      </c>
      <c r="CG122" s="45" t="str">
        <f aca="false">IF(Tasks[[#This Row],[_Pred3Text]]="","",IFERROR(VALUE(LEFT(Tasks[[#This Row],[_Pred3Text]],MIN(FIND("F",Tasks[[#This Row],[_Pred3Text]]&amp;"F"),FIND("S",Tasks[[#This Row],[_Pred3Text]]&amp;"S"),FIND("+",Tasks[[#This Row],[_Pred3Text]]&amp;"+"),FIND("-",Tasks[[#This Row],[_Pred3Text]]&amp;"-"))-1)),""))</f>
        <v/>
      </c>
      <c r="CH12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2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22" s="45" t="str">
        <f aca="false">IF(Tasks[[#This Row],[_Pred3Text]]="","",TRIM(MID(SUBSTITUTE(SUBSTITUTE(SUBSTITUTE(UPPER(Tasks[[#This Row],[Predecessors]]),";",",")," ",""),",",REPT(" ",99)),298,99)))</f>
        <v/>
      </c>
      <c r="CK122" s="45" t="str">
        <f aca="false">IF(Tasks[[#This Row],[_Pred4Text]]="","",IFERROR(VALUE(LEFT(Tasks[[#This Row],[_Pred4Text]],MIN(FIND("F",Tasks[[#This Row],[_Pred4Text]]&amp;"F"),FIND("S",Tasks[[#This Row],[_Pred4Text]]&amp;"S"),FIND("+",Tasks[[#This Row],[_Pred4Text]]&amp;"+"),FIND("-",Tasks[[#This Row],[_Pred4Text]]&amp;"-"))-1)),""))</f>
        <v/>
      </c>
      <c r="CL12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2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22" s="45" t="str">
        <f aca="false">IF(OR(Tasks[[#This Row],[Task Name]]="",Tasks[[#This Row],[Resources]]=""),"",TRIM(MID(SUBSTITUTE(Tasks[[#This Row],[Resources]],",",REPT(" ",99)),1,99)))</f>
        <v/>
      </c>
      <c r="CO122" s="45" t="str">
        <f aca="false">IF(Tasks[[#This Row],[_Res1Text]]="","",TRIM(MID(SUBSTITUTE(Tasks[[#This Row],[Resources]],",",REPT(" ",99)),100,99)))</f>
        <v/>
      </c>
      <c r="CP122" s="45" t="str">
        <f aca="false">IF(Tasks[[#This Row],[_Res2Text]]="","",TRIM(MID(SUBSTITUTE(Tasks[[#This Row],[Resources]],",",REPT(" ",99)),199,99)))</f>
        <v/>
      </c>
      <c r="CQ122" s="45" t="str">
        <f aca="false">IF(Tasks[[#This Row],[_Res3Text]]="","",TRIM(MID(SUBSTITUTE(Tasks[[#This Row],[Resources]],",",REPT(" ",99)),298,99)))</f>
        <v/>
      </c>
      <c r="CR12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2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2" s="45" t="n">
        <f aca="false">IF(NOT(Tasks[[#This Row],[_IsLeaf]]=1),0,(Tasks[[#This Row],[_Resource1]]&lt;&gt;"")+(Tasks[[#This Row],[_Res2]]&lt;&gt;"")+(Tasks[[#This Row],[_Res3]]&lt;&gt;"")+(Tasks[[#This Row],[_Res4]]&lt;&gt;""))</f>
        <v>0</v>
      </c>
      <c r="CU12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2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2" s="45" t="n">
        <f aca="false">IF(OR(NOT(Tasks[[#This Row],[_IsLeaf]]=1),Tasks[[#This Row],[_Res2]]=""),0,IF(ISNA(MATCH(Tasks[[#This Row],[_Res2]],res_Name,0)),0,N(Tasks[[#This Row],[Duration]])*HoursPerDay*IF(Tasks[[#This Row],[_Res2Units]]="",DefaultUnits,Tasks[[#This Row],[_Res2Units]])))</f>
        <v>0</v>
      </c>
      <c r="CX122" s="45" t="n">
        <f aca="false">IF(Tasks[[#This Row],[_Res2Work]]=0,0,Tasks[[#This Row],[_Res2Work]]*IFERROR(INDEX(res_Rate,MATCH(Tasks[[#This Row],[_Res2]],res_Name,0)),0))</f>
        <v>0</v>
      </c>
      <c r="CY122" s="45" t="n">
        <f aca="false">IF(AND(AND(Tasks[[#This Row],[_IsLeaf]]=1,Tasks[[#This Row],[_LeafTotalWork]]&gt;0),Tasks[[#This Row],[_Res2Work]]&gt;0),Tasks[[#This Row],[_Res2Work]]/(Tasks[[#This Row],[_FinishWorkday]]-Tasks[[#This Row],[_StartWorkday]]+1),0)</f>
        <v>0</v>
      </c>
      <c r="CZ122" s="45" t="n">
        <f aca="false">Tasks[[#This Row],[_Res2WorkPerWD]]*MAX(0,Tasks[[#This Row],[_StartWorkday]]-1)</f>
        <v>0</v>
      </c>
      <c r="DA122" s="45" t="n">
        <f aca="false">Tasks[[#This Row],[_Res2Work]]*Tasks[[#This Row],[_LeafProgress]]</f>
        <v>0</v>
      </c>
      <c r="DB122" s="45" t="n">
        <f aca="false">IF(Tasks[[#This Row],[_LeafTotalCost]]=0,0,Tasks[[#This Row],[_LeafAC]]*Tasks[[#This Row],[_Res2Cost]]/Tasks[[#This Row],[_LeafTotalCost]])</f>
        <v>0</v>
      </c>
      <c r="DC12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2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22" s="45" t="n">
        <f aca="false">IF(OR(NOT(Tasks[[#This Row],[_IsLeaf]]=1),Tasks[[#This Row],[_Res3]]=""),0,IF(ISNA(MATCH(Tasks[[#This Row],[_Res3]],res_Name,0)),0,N(Tasks[[#This Row],[Duration]])*HoursPerDay*IF(Tasks[[#This Row],[_Res3Units]]="",DefaultUnits,Tasks[[#This Row],[_Res3Units]])))</f>
        <v>0</v>
      </c>
      <c r="DF122" s="45" t="n">
        <f aca="false">IF(Tasks[[#This Row],[_Res3Work]]=0,0,Tasks[[#This Row],[_Res3Work]]*IFERROR(INDEX(res_Rate,MATCH(Tasks[[#This Row],[_Res3]],res_Name,0)),0))</f>
        <v>0</v>
      </c>
      <c r="DG122" s="45" t="n">
        <f aca="false">IF(AND(AND(Tasks[[#This Row],[_IsLeaf]]=1,Tasks[[#This Row],[_LeafTotalWork]]&gt;0),Tasks[[#This Row],[_Res3Work]]&gt;0),Tasks[[#This Row],[_Res3Work]]/(Tasks[[#This Row],[_FinishWorkday]]-Tasks[[#This Row],[_StartWorkday]]+1),0)</f>
        <v>0</v>
      </c>
      <c r="DH122" s="45" t="n">
        <f aca="false">Tasks[[#This Row],[_Res3WorkPerWD]]*MAX(0,Tasks[[#This Row],[_StartWorkday]]-1)</f>
        <v>0</v>
      </c>
      <c r="DI122" s="45" t="n">
        <f aca="false">Tasks[[#This Row],[_Res3Work]]*Tasks[[#This Row],[_LeafProgress]]</f>
        <v>0</v>
      </c>
      <c r="DJ122" s="45" t="n">
        <f aca="false">IF(Tasks[[#This Row],[_LeafTotalCost]]=0,0,Tasks[[#This Row],[_LeafAC]]*Tasks[[#This Row],[_Res3Cost]]/Tasks[[#This Row],[_LeafTotalCost]])</f>
        <v>0</v>
      </c>
      <c r="DK12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2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22" s="45" t="n">
        <f aca="false">IF(OR(NOT(Tasks[[#This Row],[_IsLeaf]]=1),Tasks[[#This Row],[_Res4]]=""),0,IF(ISNA(MATCH(Tasks[[#This Row],[_Res4]],res_Name,0)),0,N(Tasks[[#This Row],[Duration]])*HoursPerDay*IF(Tasks[[#This Row],[_Res4Units]]="",DefaultUnits,Tasks[[#This Row],[_Res4Units]])))</f>
        <v>0</v>
      </c>
      <c r="DN122" s="45" t="n">
        <f aca="false">IF(Tasks[[#This Row],[_Res4Work]]=0,0,Tasks[[#This Row],[_Res4Work]]*IFERROR(INDEX(res_Rate,MATCH(Tasks[[#This Row],[_Res4]],res_Name,0)),0))</f>
        <v>0</v>
      </c>
      <c r="DO122" s="45" t="n">
        <f aca="false">IF(AND(AND(Tasks[[#This Row],[_IsLeaf]]=1,Tasks[[#This Row],[_LeafTotalWork]]&gt;0),Tasks[[#This Row],[_Res4Work]]&gt;0),Tasks[[#This Row],[_Res4Work]]/(Tasks[[#This Row],[_FinishWorkday]]-Tasks[[#This Row],[_StartWorkday]]+1),0)</f>
        <v>0</v>
      </c>
      <c r="DP122" s="45" t="n">
        <f aca="false">Tasks[[#This Row],[_Res4WorkPerWD]]*MAX(0,Tasks[[#This Row],[_StartWorkday]]-1)</f>
        <v>0</v>
      </c>
      <c r="DQ122" s="45" t="n">
        <f aca="false">Tasks[[#This Row],[_Res4Work]]*Tasks[[#This Row],[_LeafProgress]]</f>
        <v>0</v>
      </c>
      <c r="DR122" s="45" t="n">
        <f aca="false">IF(Tasks[[#This Row],[_LeafTotalCost]]=0,0,Tasks[[#This Row],[_LeafAC]]*Tasks[[#This Row],[_Res4Cost]]/Tasks[[#This Row],[_LeafTotalCost]])</f>
        <v>0</v>
      </c>
      <c r="DS122" s="45" t="n">
        <f aca="false">IF(ISNUMBER(Tasks[[#This Row],[% Complete]]),Tasks[[#This Row],[% Complete]],IF(Tasks[[#This Row],[Stage]]="",0,IFERROR(INDEX(stg_Pct,MATCH(Tasks[[#This Row],[Stage]],stg_Name,0)),0)))</f>
        <v>0</v>
      </c>
      <c r="DT122" s="45" t="n">
        <f aca="false">IF(NOT(Tasks[[#This Row],[_IsLeaf]]=1),0,IF(N(Tasks[[#This Row],[Actual Finish]])&gt;0,1,MIN(1,Tasks[[#This Row],[_Pct]])))</f>
        <v>0</v>
      </c>
      <c r="DU122" s="45" t="n">
        <f aca="false">IF(OR(NOT(Tasks[[#This Row],[_IsLeaf]]=1),Tasks[[#This Row],[_Resource1]]=""),0,IF(ISNA(MATCH(Tasks[[#This Row],[_Resource1]],res_Name,0)),0,N(Tasks[[#This Row],[Duration]])*HoursPerDay*IF(Tasks[[#This Row],[_Units1]]="",DefaultUnits,Tasks[[#This Row],[_Units1]])))</f>
        <v>0</v>
      </c>
      <c r="DV122" s="45" t="n">
        <f aca="false">IF(Tasks[[#This Row],[_LeafWork]]=0,0,Tasks[[#This Row],[_LeafWork]]*IFERROR(INDEX(res_Rate,MATCH(Tasks[[#This Row],[_Resource1]],res_Name,0)),0))</f>
        <v>0</v>
      </c>
      <c r="DW122" s="45" t="n">
        <f aca="false">Tasks[[#This Row],[_LeafWork]]+Tasks[[#This Row],[_Res2Work]]+Tasks[[#This Row],[_Res3Work]]+Tasks[[#This Row],[_Res4Work]]</f>
        <v>0</v>
      </c>
      <c r="DX122" s="45" t="n">
        <f aca="false">Tasks[[#This Row],[_LeafCost]]+Tasks[[#This Row],[_Res2Cost]]+Tasks[[#This Row],[_Res3Cost]]+Tasks[[#This Row],[_Res4Cost]]</f>
        <v>0</v>
      </c>
      <c r="DY122" s="45" t="n">
        <f aca="false">IF(Tasks[[#This Row],[_LeafTotalCost]]=0,Tasks[[#This Row],[_LeafAC]],Tasks[[#This Row],[_LeafAC]]*Tasks[[#This Row],[_LeafCost]]/Tasks[[#This Row],[_LeafTotalCost]])</f>
        <v>0</v>
      </c>
      <c r="DZ12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2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2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2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2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2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2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2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22" s="45" t="n">
        <f aca="false">IF(NOT(Tasks[[#This Row],[_IsLeaf]]=1),0,MAX(_xlfn.MAXIFS(Tasks[_Row],Tasks[_Pred1UID],Tasks[[#This Row],[UID]]),_xlfn.MAXIFS(Tasks[_Row],Tasks[_Pred2UID],Tasks[[#This Row],[UID]]),_xlfn.MAXIFS(Tasks[_Row],Tasks[_Pred3UID],Tasks[[#This Row],[UID]]),_xlfn.MAXIFS(Tasks[_Row],Tasks[_Pred4UID],Tasks[[#This Row],[UID]])))</f>
        <v>0</v>
      </c>
      <c r="EI12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2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22" s="74" t="str">
        <f aca="false">IF(NOT(Tasks[[#This Row],[_IsLeaf]]=1),"",IF(N(Tasks[[#This Row],[Duration]])&lt;=0,Tasks[[#This Row],[_LeafLateFinish]],WORKDAY.INTL(Tasks[[#This Row],[_LeafLateFinish]],-(Tasks[[#This Row],[Duration]]-1),WorkWeek,Holidays)))</f>
        <v/>
      </c>
      <c r="EL12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22" s="73" t="b">
        <f aca="false">AND(Tasks[[#This Row],[_IsLeaf]]=1,Tasks[[#This Row],[_LeafProgress]]&lt;1,N(Tasks[[#This Row],[_LeafTotalSlack]])&lt;=CriticalSlackDays)</f>
        <v>0</v>
      </c>
      <c r="EN122" s="45" t="n">
        <f aca="false">IF(AND(Tasks[[#This Row],[_IsLeaf]]=1,Tasks[[#This Row],[_ConstraintCode]]=1,Tasks[[#This Row],[Mode]]&lt;&gt;"Manual",N(Tasks[[#This Row],[Actual Start]])=0),MAX(0,N(Tasks[[#This Row],[Free Slack]])),0)</f>
        <v>0</v>
      </c>
      <c r="EO122" s="74" t="str">
        <f aca="false">IF(NOT(Tasks[[#This Row],[_IsLeaf]]=1),"",IF(Tasks[[#This Row],[_AlapShift]]=0,Tasks[[#This Row],[_LeafCalcStart]],WORKDAY.INTL(Tasks[[#This Row],[_LeafCalcStart]],Tasks[[#This Row],[_AlapShift]],WorkWeek,Holidays)))</f>
        <v/>
      </c>
      <c r="EP122" s="74" t="str">
        <f aca="false">IF(NOT(Tasks[[#This Row],[_IsLeaf]]=1),"",IF(Tasks[[#This Row],[_AlapShift]]=0,Tasks[[#This Row],[_LeafCalcFinish]],WORKDAY.INTL(Tasks[[#This Row],[_LeafCalcFinish]],Tasks[[#This Row],[_AlapShift]],WorkWeek,Holidays)))</f>
        <v/>
      </c>
      <c r="EQ122" s="74" t="str">
        <f aca="false">IF(NOT(Tasks[[#This Row],[_IsLeaf]]=1),"",IF(Tasks[[#This Row],[_AlapShift]]=0,Tasks[[#This Row],[_LeafFcstStart]],WORKDAY.INTL(Tasks[[#This Row],[_LeafFcstStart]],Tasks[[#This Row],[_AlapShift]],WorkWeek,Holidays)))</f>
        <v/>
      </c>
      <c r="ER122" s="74" t="str">
        <f aca="false">IF(NOT(Tasks[[#This Row],[_IsLeaf]]=1),"",IF(Tasks[[#This Row],[_AlapShift]]=0,Tasks[[#This Row],[_LeafFcstFinish]],WORKDAY.INTL(Tasks[[#This Row],[_LeafFcstFinish]],Tasks[[#This Row],[_AlapShift]],WorkWeek,Holidays)))</f>
        <v/>
      </c>
      <c r="ES122" s="74" t="str">
        <f aca="false">IF(Tasks[[#This Row],[Task Name]]="","",IF(Tasks[[#This Row],[_IsSummary]],MIN(INDEX(Tasks[_ShownCalcStart],Tasks[[#This Row],[_Row]]+1):INDEX(Tasks[_ShownCalcStart],Tasks[[#This Row],[_Row]]+Tasks[[#This Row],[_Descendants]])),Tasks[[#This Row],[_ShownCalcStart]]))</f>
        <v/>
      </c>
      <c r="ET122" s="74" t="str">
        <f aca="false">IF(Tasks[[#This Row],[Task Name]]="","",IF(Tasks[[#This Row],[_IsSummary]],MAX(INDEX(Tasks[_ShownCalcFinish],Tasks[[#This Row],[_Row]]+1):INDEX(Tasks[_ShownCalcFinish],Tasks[[#This Row],[_Row]]+Tasks[[#This Row],[_Descendants]])),Tasks[[#This Row],[_ShownCalcFinish]]))</f>
        <v/>
      </c>
      <c r="EU12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2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2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2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2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2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2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2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2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2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2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2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22" s="45" t="n">
        <f aca="false">IF(AND(Tasks[[#This Row],[_IsLeaf]]=1,Tasks[[#This Row],[_LeafTotalWork]]&gt;0),NETWORKDAYS.INTL(ProjectStart,Tasks[[#This Row],[_ShownFcstStart]],WorkWeek,Holidays),0)</f>
        <v>0</v>
      </c>
      <c r="FH122" s="45" t="n">
        <f aca="false">IF(AND(Tasks[[#This Row],[_IsLeaf]]=1,Tasks[[#This Row],[_LeafTotalWork]]&gt;0),MAX(Tasks[[#This Row],[_StartWorkday]],NETWORKDAYS.INTL(ProjectStart,Tasks[[#This Row],[_ShownFcstFinish]],WorkWeek,Holidays)),0)</f>
        <v>0</v>
      </c>
      <c r="FI122" s="45" t="n">
        <f aca="false">IF(AND(Tasks[[#This Row],[_IsLeaf]]=1,Tasks[[#This Row],[_LeafTotalWork]]&gt;0),Tasks[[#This Row],[_LeafWork]]/(Tasks[[#This Row],[_FinishWorkday]]-Tasks[[#This Row],[_StartWorkday]]+1),0)</f>
        <v>0</v>
      </c>
      <c r="FJ122" s="45" t="n">
        <f aca="false">Tasks[[#This Row],[_WorkPerWorkday]]*(Tasks[[#This Row],[_StartWorkday]]-1)</f>
        <v>-0</v>
      </c>
      <c r="FK122" s="45" t="n">
        <f aca="false">IF(Tasks[[#This Row],[_IsLeaf]]=1,MAX(N(Tasks[[#This Row],[Duration]]),0.1),0)</f>
        <v>0</v>
      </c>
      <c r="FL122" s="45" t="n">
        <f aca="false">Tasks[[#This Row],[_WeightDur]]*Tasks[[#This Row],[_LeafProgress]]</f>
        <v>0</v>
      </c>
      <c r="FM12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22" s="45" t="str">
        <f aca="false">IF(AND(Tasks[[#This Row],[_IsLeaf]]=1,N(Tasks[[#This Row],[Duration]])=0,Tasks[[#This Row],[_LeafProgress]]&lt;1),Tasks[[#This Row],[_ShownFcstFinish]]+Tasks[[#This Row],[_Row]]/100000,"")</f>
        <v/>
      </c>
      <c r="FO12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22" s="45" t="n">
        <f aca="false">IF(NOT(Tasks[[#This Row],[_IsLeaf]]=1),0,IF(Tasks[[#This Row],[Baseline Cost]]="",Tasks[[#This Row],[_LeafTotalCost]],N(Tasks[[#This Row],[Baseline Cost]])))</f>
        <v>0</v>
      </c>
      <c r="FQ122" s="45" t="n">
        <f aca="false">Tasks[[#This Row],[_LeafBudget]]*Tasks[[#This Row],[_PlannedPct]]</f>
        <v>0</v>
      </c>
      <c r="FR122" s="45" t="n">
        <f aca="false">Tasks[[#This Row],[_LeafBudget]]*Tasks[[#This Row],[_LeafProgress]]</f>
        <v>0</v>
      </c>
      <c r="FS122" s="45" t="n">
        <f aca="false">IF(NOT(Tasks[[#This Row],[_IsLeaf]]=1),0,IF(Tasks[[#This Row],[Actual Cost]]="",Tasks[[#This Row],[_LeafTotalCost]]*Tasks[[#This Row],[_LeafProgress]],N(Tasks[[#This Row],[Actual Cost]])))</f>
        <v>0</v>
      </c>
      <c r="FT122" s="45" t="str">
        <f aca="false">IF(Tasks[[#This Row],[Task Name]]="","",LEFT(Tasks[[#This Row],[WBS]],FIND(".",Tasks[[#This Row],[WBS]]&amp;".")-1))</f>
        <v/>
      </c>
      <c r="FU122" s="45" t="str">
        <f aca="false">IF(AND(Tasks[[#This Row],[Task Name]]&lt;&gt;"",Tasks[[#This Row],[_Level]]=1),Tasks[[#This Row],[_Row]],"")</f>
        <v/>
      </c>
      <c r="FV122" s="45" t="str">
        <f aca="false">IF(AND(Tasks[[#This Row],[_IsLeaf]]=1,N(Tasks[[#This Row],[Duration]])=0),Tasks[[#This Row],[Planned Finish]]+Tasks[[#This Row],[_Row]]/100000,"")</f>
        <v/>
      </c>
      <c r="FW122" s="45" t="str">
        <f aca="false">IF(AND(Tasks[[#This Row],[_IsLeaf]]=1,Tasks[[#This Row],[_LeafProgress]]&lt;1,OR(N(Tasks[[#This Row],[Finish Var]])&gt;0,Tasks[[#This Row],[Status]]="Late Start")),MAX(0,Tasks[[#This Row],[Finish Var]])+1-Tasks[[#This Row],[_Row]]/1000000,"")</f>
        <v/>
      </c>
      <c r="FX122" s="45" t="str">
        <f aca="false">IF(AND(Tasks[[#This Row],[_IsLeaf]]=1,N(Tasks[[#This Row],[Actual Start]])=0,Tasks[[#This Row],[_ShownFcstStart]]&gt;=StatusDate,Tasks[[#This Row],[_ShownFcstStart]]&lt;=LookaheadEnd),Tasks[[#This Row],[_ShownFcstStart]]+Tasks[[#This Row],[_Row]]/100000,"")</f>
        <v/>
      </c>
      <c r="FY122" s="45" t="str">
        <f aca="false">IF(AND(Tasks[[#This Row],[_IsLeaf]]=1,Tasks[[#This Row],[_LeafProgress]]&lt;1,Tasks[[#This Row],[_ShownFcstFinish]]&gt;=StatusDate,Tasks[[#This Row],[_ShownFcstFinish]]&lt;=LookaheadEnd),Tasks[[#This Row],[_ShownFcstFinish]]+Tasks[[#This Row],[_Row]]/100000,"")</f>
        <v/>
      </c>
      <c r="FZ122" s="45" t="str">
        <f aca="false">IF(Tasks[[#This Row],[_LeafCritical]],Tasks[[#This Row],[_ShownFcstStart]]+Tasks[[#This Row],[_Row]]/100000,"")</f>
        <v/>
      </c>
      <c r="GA122" s="45" t="n">
        <f aca="false">Tasks[[#This Row],[_LeafWork]]*Tasks[[#This Row],[_LeafProgress]]</f>
        <v>0</v>
      </c>
      <c r="GB122" s="74" t="str">
        <f aca="false">IF(AND(Tasks[[#This Row],[_IsLeaf]]=1,Tasks[[#This Row],[_LeafProgress]]&gt;=1),IF(N(Tasks[[#This Row],[Actual Finish]])&gt;0,Tasks[[#This Row],[Actual Finish]],Tasks[[#This Row],[_ShownFcstFinish]]),"")</f>
        <v/>
      </c>
    </row>
    <row r="123" customFormat="false" ht="15" hidden="false" customHeight="false" outlineLevel="0" collapsed="false">
      <c r="A123" s="67" t="str">
        <f aca="false">IF(Tasks[[#This Row],[Task Name]]="","",COUNTA(Tasks[[#Headers],[Task Name]]:Tasks[[#This Row],[Task Name]])-1)</f>
        <v/>
      </c>
      <c r="B123" s="21" t="n">
        <v>118</v>
      </c>
      <c r="C12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21"/>
      <c r="E123" s="22"/>
      <c r="F123" s="21"/>
      <c r="G123" s="22"/>
      <c r="H123" s="22"/>
      <c r="I123" s="22"/>
      <c r="J123" s="7"/>
      <c r="K123" s="7"/>
      <c r="L123" s="22"/>
      <c r="M123" s="58" t="str">
        <f aca="false">IF(Tasks[[#This Row],[Task Name]]="","",IF(Tasks[[#This Row],[_IsSummary]],MIN(INDEX(Tasks[_ShownFcstStart],Tasks[[#This Row],[_Row]]+1):INDEX(Tasks[_ShownFcstStart],Tasks[[#This Row],[_Row]]+Tasks[[#This Row],[_Descendants]])),Tasks[[#This Row],[_ShownFcstStart]]))</f>
        <v/>
      </c>
      <c r="N123" s="58" t="str">
        <f aca="false">IF(Tasks[[#This Row],[Task Name]]="","",IF(Tasks[[#This Row],[_IsSummary]],MAX(INDEX(Tasks[_ShownFcstFinish],Tasks[[#This Row],[_Row]]+1):INDEX(Tasks[_ShownFcstFinish],Tasks[[#This Row],[_Row]]+Tasks[[#This Row],[_Descendants]])),Tasks[[#This Row],[_ShownFcstFinish]]))</f>
        <v/>
      </c>
      <c r="O123" s="20" t="str">
        <f aca="false">IF(Tasks[[#This Row],[Task Name]]="","",IF(Tasks[[#This Row],[Progress]]&gt;=1,"Complete",IF(OR(N(Tasks[[#This Row],[Actual Start]])&gt;0,Tasks[[#This Row],[Progress]]&gt;0),IF(Tasks[[#This Row],[Finish Var]]&gt;0,"Behind","In Progress"),IF(Tasks[[#This Row],[Planned Start]]&lt;StatusDate,"Late Start","Not Started"))))</f>
        <v/>
      </c>
      <c r="P123" s="20" t="str">
        <f aca="false">IF(Tasks[[#This Row],[Task Name]]="","",IF(IF(Tasks[[#This Row],[_IsSummary]],COUNTIF(INDEX(Tasks[_LeafCritical],Tasks[[#This Row],[_Row]]+1):INDEX(Tasks[_LeafCritical],Tasks[[#This Row],[_Row]]+Tasks[[#This Row],[_Descendants]]),TRUE())&gt;0,Tasks[[#This Row],[_LeafCritical]]),"Yes",""))</f>
        <v/>
      </c>
      <c r="Q12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23" s="67" t="str">
        <f aca="false">IF(Tasks[[#This Row],[Task Name]]="","",IF(Tasks[[#This Row],[_Level]]&lt;=OutlineShowLevel,"Yes","No"))</f>
        <v/>
      </c>
      <c r="S123" s="7"/>
      <c r="T123" s="21"/>
      <c r="U123" s="22"/>
      <c r="V123" s="7"/>
      <c r="W123" s="67" t="str">
        <f aca="false">IF(Tasks[[#This Row],[Task Name]]="","",IF(Tasks[[#This Row],[Finish]]&gt;=Tasks[[#This Row],[Planned Finish]],NETWORKDAYS.INTL(Tasks[[#This Row],[Planned Finish]],Tasks[[#This Row],[Finish]],WorkWeek,Holidays)-1,1-NETWORKDAYS.INTL(Tasks[[#This Row],[Finish]],Tasks[[#This Row],[Planned Finish]],WorkWeek,Holidays)))</f>
        <v/>
      </c>
      <c r="X123" s="58" t="str">
        <f aca="false">IF(Tasks[[#This Row],[Task Name]]="","",IF(N(Tasks[[#This Row],[Baseline Start]])&gt;0,Tasks[[#This Row],[Baseline Start]],Tasks[[#This Row],[_CalcStart]]))</f>
        <v/>
      </c>
      <c r="Y123" s="58" t="str">
        <f aca="false">IF(Tasks[[#This Row],[Task Name]]="","",IF(N(Tasks[[#This Row],[Baseline Finish]])&gt;0,Tasks[[#This Row],[Baseline Finish]],Tasks[[#This Row],[_CalcFinish]]))</f>
        <v/>
      </c>
      <c r="Z123" s="67" t="str">
        <f aca="false">IF(Tasks[[#This Row],[Task Name]]="","",IF(Tasks[[#This Row],[Start]]&gt;=Tasks[[#This Row],[Planned Start]],NETWORKDAYS.INTL(Tasks[[#This Row],[Planned Start]],Tasks[[#This Row],[Start]],WorkWeek,Holidays)-1,1-NETWORKDAYS.INTL(Tasks[[#This Row],[Start]],Tasks[[#This Row],[Planned Start]],WorkWeek,Holidays)))</f>
        <v/>
      </c>
      <c r="AA123" s="58" t="str">
        <f aca="false">IF(Tasks[[#This Row],[Task Name]]="","",IF(Tasks[[#This Row],[_IsSummary]],MIN(INDEX(Tasks[_LeafLateStart],Tasks[[#This Row],[_Row]]+1):INDEX(Tasks[_LeafLateStart],Tasks[[#This Row],[_Row]]+Tasks[[#This Row],[_Descendants]])),Tasks[[#This Row],[_LeafLateStart]]))</f>
        <v/>
      </c>
      <c r="AB123" s="58" t="str">
        <f aca="false">IF(Tasks[[#This Row],[Task Name]]="","",IF(Tasks[[#This Row],[_IsSummary]],MAX(INDEX(Tasks[_LeafLateFinish],Tasks[[#This Row],[_Row]]+1):INDEX(Tasks[_LeafLateFinish],Tasks[[#This Row],[_Row]]+Tasks[[#This Row],[_Descendants]])),Tasks[[#This Row],[_LeafLateFinish]]))</f>
        <v/>
      </c>
      <c r="AC123" s="67" t="str">
        <f aca="false">IF(Tasks[[#This Row],[Task Name]]="","",IF(Tasks[[#This Row],[_IsSummary]],MIN(INDEX(Tasks[_LeafTotalSlack],Tasks[[#This Row],[_Row]]+1):INDEX(Tasks[_LeafTotalSlack],Tasks[[#This Row],[_Row]]+Tasks[[#This Row],[_Descendants]])),Tasks[[#This Row],[_LeafTotalSlack]]))</f>
        <v/>
      </c>
      <c r="AD12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2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2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23" s="60"/>
      <c r="AH12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2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23" s="69" t="str">
        <f aca="false">IF(Tasks[[#This Row],[Task Name]]="","",IF(Tasks[[#This Row],[_IsSummary]],SUM(INDEX(Tasks[_LeafTotalWork],Tasks[[#This Row],[_Row]]+1):INDEX(Tasks[_LeafTotalWork],Tasks[[#This Row],[_Row]]+Tasks[[#This Row],[_Descendants]])),Tasks[[#This Row],[_LeafTotalWork]]))</f>
        <v/>
      </c>
      <c r="AK12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23" s="70" t="str">
        <f aca="false">IF(Tasks[[#This Row],[Task Name]]="","",IF(Tasks[[#This Row],[_IsSummary]],SUM(INDEX(Tasks[_LeafTotalCost],Tasks[[#This Row],[_Row]]+1):INDEX(Tasks[_LeafTotalCost],Tasks[[#This Row],[_Row]]+Tasks[[#This Row],[_Descendants]])),Tasks[[#This Row],[_LeafTotalCost]]))</f>
        <v/>
      </c>
      <c r="AM123" s="71"/>
      <c r="AN123" s="20" t="str">
        <f aca="false">IF(OR(Tasks[[#This Row],[Task Name]]="",Tasks[[#This Row],[Baseline Duration]]=""),"",Tasks[[#This Row],[BL Source Duration]]-N(Tasks[[#This Row],[Baseline Duration]]))</f>
        <v/>
      </c>
      <c r="AO123" s="69" t="str">
        <f aca="false">IF(OR(Tasks[[#This Row],[Task Name]]="",Tasks[[#This Row],[Baseline Work]]=""),"",Tasks[[#This Row],[Work]]-N(Tasks[[#This Row],[Baseline Work]]))</f>
        <v/>
      </c>
      <c r="AP123" s="70" t="str">
        <f aca="false">IF(OR(Tasks[[#This Row],[Task Name]]="",Tasks[[#This Row],[Baseline Cost]]=""),"",Tasks[[#This Row],[Cost]]-N(Tasks[[#This Row],[Baseline Cost]]))</f>
        <v/>
      </c>
      <c r="AQ123" s="58" t="str">
        <f aca="false">IF(Tasks[[#This Row],[Task Name]]="","",Tasks[[#This Row],[Start]])</f>
        <v/>
      </c>
      <c r="AR123" s="58" t="str">
        <f aca="false">IF(Tasks[[#This Row],[Task Name]]="","",Tasks[[#This Row],[Finish]])</f>
        <v/>
      </c>
      <c r="AS123" s="67" t="str">
        <f aca="false">IF(Tasks[[#This Row],[Task Name]]="","",IF(Tasks[[#This Row],[_IsSummary]],NETWORKDAYS.INTL(Tasks[[#This Row],[Start]],Tasks[[#This Row],[Finish]],WorkWeek,Holidays),N(Tasks[[#This Row],[Duration]])))</f>
        <v/>
      </c>
      <c r="AT123" s="69" t="str">
        <f aca="false">IF(Tasks[[#This Row],[Task Name]]="","",Tasks[[#This Row],[Work]])</f>
        <v/>
      </c>
      <c r="AU123" s="70" t="str">
        <f aca="false">IF(Tasks[[#This Row],[Task Name]]="","",Tasks[[#This Row],[Cost]])</f>
        <v/>
      </c>
      <c r="AV123" s="7"/>
      <c r="AW123" s="7"/>
      <c r="AX123" s="21"/>
      <c r="AY123" s="72"/>
      <c r="AZ123" s="71"/>
      <c r="BA123" s="70" t="str">
        <f aca="false">IF(Tasks[[#This Row],[Task Name]]="","",IF(Tasks[[#This Row],[_IsSummary]],SUM(INDEX(Tasks[_LeafEV],Tasks[[#This Row],[_Row]]+1):INDEX(Tasks[_LeafEV],Tasks[[#This Row],[_Row]]+Tasks[[#This Row],[_Descendants]])),Tasks[[#This Row],[_LeafEV]]))</f>
        <v/>
      </c>
      <c r="BB123" s="70" t="str">
        <f aca="false">IF(Tasks[[#This Row],[Task Name]]="","",IF(Tasks[[#This Row],[_IsSummary]],SUM(INDEX(Tasks[_LeafBudget],Tasks[[#This Row],[_Row]]+1):INDEX(Tasks[_LeafBudget],Tasks[[#This Row],[_Row]]+Tasks[[#This Row],[_Descendants]])),Tasks[[#This Row],[_LeafBudget]]))</f>
        <v/>
      </c>
      <c r="BC123" s="70" t="str">
        <f aca="false">IF(Tasks[[#This Row],[Task Name]]="","",IF(Tasks[[#This Row],[_IsSummary]],SUM(INDEX(Tasks[_LeafPV],Tasks[[#This Row],[_Row]]+1):INDEX(Tasks[_LeafPV],Tasks[[#This Row],[_Row]]+Tasks[[#This Row],[_Descendants]])),Tasks[[#This Row],[_LeafPV]]))</f>
        <v/>
      </c>
      <c r="BD123" s="70" t="str">
        <f aca="false">IF(Tasks[[#This Row],[Task Name]]="","",IF(Tasks[[#This Row],[_IsSummary]],SUM(INDEX(Tasks[_LeafAC],Tasks[[#This Row],[_Row]]+1):INDEX(Tasks[_LeafAC],Tasks[[#This Row],[_Row]]+Tasks[[#This Row],[_Descendants]])),Tasks[[#This Row],[_LeafAC]]))</f>
        <v/>
      </c>
      <c r="BE123" s="45" t="str">
        <f aca="false">IF(Tasks[[#This Row],[Task Name]]="","",MAX(1,N(Tasks[[#This Row],[Level]])))</f>
        <v/>
      </c>
      <c r="BF123" s="45" t="n">
        <f aca="false">ROW()-ROW(Tasks[[#Headers],[ID]])</f>
        <v>118</v>
      </c>
      <c r="BG123" s="45" t="n">
        <f aca="false">IF(OR(Tasks[[#This Row],[Task Name]]="",Tasks[[#This Row],[_Level]]&lt;=1),0,IFERROR(LOOKUP(2,1/(Tasks[[#Headers],[_Level]]:Tasks[[#This Row],[_Level]]=Tasks[[#This Row],[_Level]]-1),ROW(Tasks[[#Headers],[_Level]]:Tasks[[#This Row],[_Level]])),0))</f>
        <v>0</v>
      </c>
      <c r="BH123" s="45" t="n">
        <f aca="false">IFERROR(N(INDEX(Tasks[_Level],Tasks[[#This Row],[_Row]]+1)),0)</f>
        <v>0</v>
      </c>
      <c r="BI123" s="73" t="b">
        <f aca="false">AND(Tasks[[#This Row],[Task Name]]&lt;&gt;"",Tasks[[#This Row],[_NextLevel]]&gt;Tasks[[#This Row],[_Level]])</f>
        <v>0</v>
      </c>
      <c r="BJ123" s="45" t="n">
        <f aca="false">IF(Tasks[[#This Row],[_IsSummary]],COUNTIF(Tasks[WBS],Tasks[[#This Row],[WBS]]&amp;".*"),0)</f>
        <v>0</v>
      </c>
      <c r="BK123" s="45" t="n">
        <f aca="false">IF(AND(Tasks[[#This Row],[Task Name]]&lt;&gt;"",NOT(Tasks[[#This Row],[_IsSummary]])),1,0)</f>
        <v>0</v>
      </c>
      <c r="BL123" s="45" t="n">
        <f aca="false">IF(N(Tasks[[#This Row],[_Pred1UID]])=0,0,IFERROR(MATCH(Tasks[[#This Row],[_Pred1UID]],Tasks[UID],0),-1))</f>
        <v>0</v>
      </c>
      <c r="BM123" s="45" t="n">
        <f aca="false">IF(N(Tasks[[#This Row],[_Pred2UID]])=0,0,IFERROR(MATCH(Tasks[[#This Row],[_Pred2UID]],Tasks[UID],0),-1))</f>
        <v>0</v>
      </c>
      <c r="BN123" s="45" t="n">
        <f aca="false">IF(N(Tasks[[#This Row],[_Pred3UID]])=0,0,IFERROR(MATCH(Tasks[[#This Row],[_Pred3UID]],Tasks[UID],0),-1))</f>
        <v>0</v>
      </c>
      <c r="BO123" s="45" t="n">
        <f aca="false">IF(N(Tasks[[#This Row],[_Pred4UID]])=0,0,IFERROR(MATCH(Tasks[[#This Row],[_Pred4UID]],Tasks[UID],0),-1))</f>
        <v>0</v>
      </c>
      <c r="BP12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2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23" s="74" t="n">
        <f aca="false">IF(OR(Tasks[[#This Row],[_ConstraintCode]]=2,Tasks[[#This Row],[_ConstraintCode]]=3,Tasks[[#This Row],[_ConstraintCode]]=4,Tasks[[#This Row],[_ConstraintCode]]=6),Tasks[[#This Row],[_ConstraintStart]],0)</f>
        <v>0</v>
      </c>
      <c r="BS123" s="74" t="n">
        <f aca="false">IF(OR(Tasks[[#This Row],[_ConstraintCode]]=2,Tasks[[#This Row],[_ConstraintCode]]=3,Tasks[[#This Row],[_ConstraintCode]]=5,Tasks[[#This Row],[_ConstraintCode]]=7),Tasks[[#This Row],[_ConstraintStart]],2958465)</f>
        <v>2958465</v>
      </c>
      <c r="BT12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23" s="74" t="str">
        <f aca="false">IF(NOT(Tasks[[#This Row],[_IsLeaf]]=1),"",IF(N(Tasks[[#This Row],[Duration]])&lt;=0,Tasks[[#This Row],[_LeafCalcStart]],WORKDAY.INTL(Tasks[[#This Row],[_LeafCalcStart]],Tasks[[#This Row],[Duration]]-1,WorkWeek,Holidays)))</f>
        <v/>
      </c>
      <c r="BV12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2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23" s="45" t="str">
        <f aca="false">IF(Tasks[[#This Row],[Predecessors]]="","",TRIM(MID(SUBSTITUTE(SUBSTITUTE(SUBSTITUTE(UPPER(Tasks[[#This Row],[Predecessors]]),";",",")," ",""),",",REPT(" ",99)),1,99)))</f>
        <v/>
      </c>
      <c r="BY123" s="45" t="str">
        <f aca="false">IF(Tasks[[#This Row],[_Pred1Text]]="","",IFERROR(VALUE(LEFT(Tasks[[#This Row],[_Pred1Text]],MIN(FIND("F",Tasks[[#This Row],[_Pred1Text]]&amp;"F"),FIND("S",Tasks[[#This Row],[_Pred1Text]]&amp;"S"),FIND("+",Tasks[[#This Row],[_Pred1Text]]&amp;"+"),FIND("-",Tasks[[#This Row],[_Pred1Text]]&amp;"-"))-1)),""))</f>
        <v/>
      </c>
      <c r="BZ12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2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23" s="45" t="str">
        <f aca="false">IF(Tasks[[#This Row],[_Pred1Text]]="","",TRIM(MID(SUBSTITUTE(SUBSTITUTE(SUBSTITUTE(UPPER(Tasks[[#This Row],[Predecessors]]),";",",")," ",""),",",REPT(" ",99)),100,99)))</f>
        <v/>
      </c>
      <c r="CC123" s="45" t="str">
        <f aca="false">IF(Tasks[[#This Row],[_Pred2Text]]="","",IFERROR(VALUE(LEFT(Tasks[[#This Row],[_Pred2Text]],MIN(FIND("F",Tasks[[#This Row],[_Pred2Text]]&amp;"F"),FIND("S",Tasks[[#This Row],[_Pred2Text]]&amp;"S"),FIND("+",Tasks[[#This Row],[_Pred2Text]]&amp;"+"),FIND("-",Tasks[[#This Row],[_Pred2Text]]&amp;"-"))-1)),""))</f>
        <v/>
      </c>
      <c r="CD12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2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23" s="45" t="str">
        <f aca="false">IF(Tasks[[#This Row],[_Pred2Text]]="","",TRIM(MID(SUBSTITUTE(SUBSTITUTE(SUBSTITUTE(UPPER(Tasks[[#This Row],[Predecessors]]),";",",")," ",""),",",REPT(" ",99)),199,99)))</f>
        <v/>
      </c>
      <c r="CG123" s="45" t="str">
        <f aca="false">IF(Tasks[[#This Row],[_Pred3Text]]="","",IFERROR(VALUE(LEFT(Tasks[[#This Row],[_Pred3Text]],MIN(FIND("F",Tasks[[#This Row],[_Pred3Text]]&amp;"F"),FIND("S",Tasks[[#This Row],[_Pred3Text]]&amp;"S"),FIND("+",Tasks[[#This Row],[_Pred3Text]]&amp;"+"),FIND("-",Tasks[[#This Row],[_Pred3Text]]&amp;"-"))-1)),""))</f>
        <v/>
      </c>
      <c r="CH12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2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23" s="45" t="str">
        <f aca="false">IF(Tasks[[#This Row],[_Pred3Text]]="","",TRIM(MID(SUBSTITUTE(SUBSTITUTE(SUBSTITUTE(UPPER(Tasks[[#This Row],[Predecessors]]),";",",")," ",""),",",REPT(" ",99)),298,99)))</f>
        <v/>
      </c>
      <c r="CK123" s="45" t="str">
        <f aca="false">IF(Tasks[[#This Row],[_Pred4Text]]="","",IFERROR(VALUE(LEFT(Tasks[[#This Row],[_Pred4Text]],MIN(FIND("F",Tasks[[#This Row],[_Pred4Text]]&amp;"F"),FIND("S",Tasks[[#This Row],[_Pred4Text]]&amp;"S"),FIND("+",Tasks[[#This Row],[_Pred4Text]]&amp;"+"),FIND("-",Tasks[[#This Row],[_Pred4Text]]&amp;"-"))-1)),""))</f>
        <v/>
      </c>
      <c r="CL12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2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23" s="45" t="str">
        <f aca="false">IF(OR(Tasks[[#This Row],[Task Name]]="",Tasks[[#This Row],[Resources]]=""),"",TRIM(MID(SUBSTITUTE(Tasks[[#This Row],[Resources]],",",REPT(" ",99)),1,99)))</f>
        <v/>
      </c>
      <c r="CO123" s="45" t="str">
        <f aca="false">IF(Tasks[[#This Row],[_Res1Text]]="","",TRIM(MID(SUBSTITUTE(Tasks[[#This Row],[Resources]],",",REPT(" ",99)),100,99)))</f>
        <v/>
      </c>
      <c r="CP123" s="45" t="str">
        <f aca="false">IF(Tasks[[#This Row],[_Res2Text]]="","",TRIM(MID(SUBSTITUTE(Tasks[[#This Row],[Resources]],",",REPT(" ",99)),199,99)))</f>
        <v/>
      </c>
      <c r="CQ123" s="45" t="str">
        <f aca="false">IF(Tasks[[#This Row],[_Res3Text]]="","",TRIM(MID(SUBSTITUTE(Tasks[[#This Row],[Resources]],",",REPT(" ",99)),298,99)))</f>
        <v/>
      </c>
      <c r="CR12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2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3" s="45" t="n">
        <f aca="false">IF(NOT(Tasks[[#This Row],[_IsLeaf]]=1),0,(Tasks[[#This Row],[_Resource1]]&lt;&gt;"")+(Tasks[[#This Row],[_Res2]]&lt;&gt;"")+(Tasks[[#This Row],[_Res3]]&lt;&gt;"")+(Tasks[[#This Row],[_Res4]]&lt;&gt;""))</f>
        <v>0</v>
      </c>
      <c r="CU12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2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3" s="45" t="n">
        <f aca="false">IF(OR(NOT(Tasks[[#This Row],[_IsLeaf]]=1),Tasks[[#This Row],[_Res2]]=""),0,IF(ISNA(MATCH(Tasks[[#This Row],[_Res2]],res_Name,0)),0,N(Tasks[[#This Row],[Duration]])*HoursPerDay*IF(Tasks[[#This Row],[_Res2Units]]="",DefaultUnits,Tasks[[#This Row],[_Res2Units]])))</f>
        <v>0</v>
      </c>
      <c r="CX123" s="45" t="n">
        <f aca="false">IF(Tasks[[#This Row],[_Res2Work]]=0,0,Tasks[[#This Row],[_Res2Work]]*IFERROR(INDEX(res_Rate,MATCH(Tasks[[#This Row],[_Res2]],res_Name,0)),0))</f>
        <v>0</v>
      </c>
      <c r="CY123" s="45" t="n">
        <f aca="false">IF(AND(AND(Tasks[[#This Row],[_IsLeaf]]=1,Tasks[[#This Row],[_LeafTotalWork]]&gt;0),Tasks[[#This Row],[_Res2Work]]&gt;0),Tasks[[#This Row],[_Res2Work]]/(Tasks[[#This Row],[_FinishWorkday]]-Tasks[[#This Row],[_StartWorkday]]+1),0)</f>
        <v>0</v>
      </c>
      <c r="CZ123" s="45" t="n">
        <f aca="false">Tasks[[#This Row],[_Res2WorkPerWD]]*MAX(0,Tasks[[#This Row],[_StartWorkday]]-1)</f>
        <v>0</v>
      </c>
      <c r="DA123" s="45" t="n">
        <f aca="false">Tasks[[#This Row],[_Res2Work]]*Tasks[[#This Row],[_LeafProgress]]</f>
        <v>0</v>
      </c>
      <c r="DB123" s="45" t="n">
        <f aca="false">IF(Tasks[[#This Row],[_LeafTotalCost]]=0,0,Tasks[[#This Row],[_LeafAC]]*Tasks[[#This Row],[_Res2Cost]]/Tasks[[#This Row],[_LeafTotalCost]])</f>
        <v>0</v>
      </c>
      <c r="DC12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2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23" s="45" t="n">
        <f aca="false">IF(OR(NOT(Tasks[[#This Row],[_IsLeaf]]=1),Tasks[[#This Row],[_Res3]]=""),0,IF(ISNA(MATCH(Tasks[[#This Row],[_Res3]],res_Name,0)),0,N(Tasks[[#This Row],[Duration]])*HoursPerDay*IF(Tasks[[#This Row],[_Res3Units]]="",DefaultUnits,Tasks[[#This Row],[_Res3Units]])))</f>
        <v>0</v>
      </c>
      <c r="DF123" s="45" t="n">
        <f aca="false">IF(Tasks[[#This Row],[_Res3Work]]=0,0,Tasks[[#This Row],[_Res3Work]]*IFERROR(INDEX(res_Rate,MATCH(Tasks[[#This Row],[_Res3]],res_Name,0)),0))</f>
        <v>0</v>
      </c>
      <c r="DG123" s="45" t="n">
        <f aca="false">IF(AND(AND(Tasks[[#This Row],[_IsLeaf]]=1,Tasks[[#This Row],[_LeafTotalWork]]&gt;0),Tasks[[#This Row],[_Res3Work]]&gt;0),Tasks[[#This Row],[_Res3Work]]/(Tasks[[#This Row],[_FinishWorkday]]-Tasks[[#This Row],[_StartWorkday]]+1),0)</f>
        <v>0</v>
      </c>
      <c r="DH123" s="45" t="n">
        <f aca="false">Tasks[[#This Row],[_Res3WorkPerWD]]*MAX(0,Tasks[[#This Row],[_StartWorkday]]-1)</f>
        <v>0</v>
      </c>
      <c r="DI123" s="45" t="n">
        <f aca="false">Tasks[[#This Row],[_Res3Work]]*Tasks[[#This Row],[_LeafProgress]]</f>
        <v>0</v>
      </c>
      <c r="DJ123" s="45" t="n">
        <f aca="false">IF(Tasks[[#This Row],[_LeafTotalCost]]=0,0,Tasks[[#This Row],[_LeafAC]]*Tasks[[#This Row],[_Res3Cost]]/Tasks[[#This Row],[_LeafTotalCost]])</f>
        <v>0</v>
      </c>
      <c r="DK12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2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23" s="45" t="n">
        <f aca="false">IF(OR(NOT(Tasks[[#This Row],[_IsLeaf]]=1),Tasks[[#This Row],[_Res4]]=""),0,IF(ISNA(MATCH(Tasks[[#This Row],[_Res4]],res_Name,0)),0,N(Tasks[[#This Row],[Duration]])*HoursPerDay*IF(Tasks[[#This Row],[_Res4Units]]="",DefaultUnits,Tasks[[#This Row],[_Res4Units]])))</f>
        <v>0</v>
      </c>
      <c r="DN123" s="45" t="n">
        <f aca="false">IF(Tasks[[#This Row],[_Res4Work]]=0,0,Tasks[[#This Row],[_Res4Work]]*IFERROR(INDEX(res_Rate,MATCH(Tasks[[#This Row],[_Res4]],res_Name,0)),0))</f>
        <v>0</v>
      </c>
      <c r="DO123" s="45" t="n">
        <f aca="false">IF(AND(AND(Tasks[[#This Row],[_IsLeaf]]=1,Tasks[[#This Row],[_LeafTotalWork]]&gt;0),Tasks[[#This Row],[_Res4Work]]&gt;0),Tasks[[#This Row],[_Res4Work]]/(Tasks[[#This Row],[_FinishWorkday]]-Tasks[[#This Row],[_StartWorkday]]+1),0)</f>
        <v>0</v>
      </c>
      <c r="DP123" s="45" t="n">
        <f aca="false">Tasks[[#This Row],[_Res4WorkPerWD]]*MAX(0,Tasks[[#This Row],[_StartWorkday]]-1)</f>
        <v>0</v>
      </c>
      <c r="DQ123" s="45" t="n">
        <f aca="false">Tasks[[#This Row],[_Res4Work]]*Tasks[[#This Row],[_LeafProgress]]</f>
        <v>0</v>
      </c>
      <c r="DR123" s="45" t="n">
        <f aca="false">IF(Tasks[[#This Row],[_LeafTotalCost]]=0,0,Tasks[[#This Row],[_LeafAC]]*Tasks[[#This Row],[_Res4Cost]]/Tasks[[#This Row],[_LeafTotalCost]])</f>
        <v>0</v>
      </c>
      <c r="DS123" s="45" t="n">
        <f aca="false">IF(ISNUMBER(Tasks[[#This Row],[% Complete]]),Tasks[[#This Row],[% Complete]],IF(Tasks[[#This Row],[Stage]]="",0,IFERROR(INDEX(stg_Pct,MATCH(Tasks[[#This Row],[Stage]],stg_Name,0)),0)))</f>
        <v>0</v>
      </c>
      <c r="DT123" s="45" t="n">
        <f aca="false">IF(NOT(Tasks[[#This Row],[_IsLeaf]]=1),0,IF(N(Tasks[[#This Row],[Actual Finish]])&gt;0,1,MIN(1,Tasks[[#This Row],[_Pct]])))</f>
        <v>0</v>
      </c>
      <c r="DU123" s="45" t="n">
        <f aca="false">IF(OR(NOT(Tasks[[#This Row],[_IsLeaf]]=1),Tasks[[#This Row],[_Resource1]]=""),0,IF(ISNA(MATCH(Tasks[[#This Row],[_Resource1]],res_Name,0)),0,N(Tasks[[#This Row],[Duration]])*HoursPerDay*IF(Tasks[[#This Row],[_Units1]]="",DefaultUnits,Tasks[[#This Row],[_Units1]])))</f>
        <v>0</v>
      </c>
      <c r="DV123" s="45" t="n">
        <f aca="false">IF(Tasks[[#This Row],[_LeafWork]]=0,0,Tasks[[#This Row],[_LeafWork]]*IFERROR(INDEX(res_Rate,MATCH(Tasks[[#This Row],[_Resource1]],res_Name,0)),0))</f>
        <v>0</v>
      </c>
      <c r="DW123" s="45" t="n">
        <f aca="false">Tasks[[#This Row],[_LeafWork]]+Tasks[[#This Row],[_Res2Work]]+Tasks[[#This Row],[_Res3Work]]+Tasks[[#This Row],[_Res4Work]]</f>
        <v>0</v>
      </c>
      <c r="DX123" s="45" t="n">
        <f aca="false">Tasks[[#This Row],[_LeafCost]]+Tasks[[#This Row],[_Res2Cost]]+Tasks[[#This Row],[_Res3Cost]]+Tasks[[#This Row],[_Res4Cost]]</f>
        <v>0</v>
      </c>
      <c r="DY123" s="45" t="n">
        <f aca="false">IF(Tasks[[#This Row],[_LeafTotalCost]]=0,Tasks[[#This Row],[_LeafAC]],Tasks[[#This Row],[_LeafAC]]*Tasks[[#This Row],[_LeafCost]]/Tasks[[#This Row],[_LeafTotalCost]])</f>
        <v>0</v>
      </c>
      <c r="DZ12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2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2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2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2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2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2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2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23" s="45" t="n">
        <f aca="false">IF(NOT(Tasks[[#This Row],[_IsLeaf]]=1),0,MAX(_xlfn.MAXIFS(Tasks[_Row],Tasks[_Pred1UID],Tasks[[#This Row],[UID]]),_xlfn.MAXIFS(Tasks[_Row],Tasks[_Pred2UID],Tasks[[#This Row],[UID]]),_xlfn.MAXIFS(Tasks[_Row],Tasks[_Pred3UID],Tasks[[#This Row],[UID]]),_xlfn.MAXIFS(Tasks[_Row],Tasks[_Pred4UID],Tasks[[#This Row],[UID]])))</f>
        <v>0</v>
      </c>
      <c r="EI12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2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23" s="74" t="str">
        <f aca="false">IF(NOT(Tasks[[#This Row],[_IsLeaf]]=1),"",IF(N(Tasks[[#This Row],[Duration]])&lt;=0,Tasks[[#This Row],[_LeafLateFinish]],WORKDAY.INTL(Tasks[[#This Row],[_LeafLateFinish]],-(Tasks[[#This Row],[Duration]]-1),WorkWeek,Holidays)))</f>
        <v/>
      </c>
      <c r="EL12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23" s="73" t="b">
        <f aca="false">AND(Tasks[[#This Row],[_IsLeaf]]=1,Tasks[[#This Row],[_LeafProgress]]&lt;1,N(Tasks[[#This Row],[_LeafTotalSlack]])&lt;=CriticalSlackDays)</f>
        <v>0</v>
      </c>
      <c r="EN123" s="45" t="n">
        <f aca="false">IF(AND(Tasks[[#This Row],[_IsLeaf]]=1,Tasks[[#This Row],[_ConstraintCode]]=1,Tasks[[#This Row],[Mode]]&lt;&gt;"Manual",N(Tasks[[#This Row],[Actual Start]])=0),MAX(0,N(Tasks[[#This Row],[Free Slack]])),0)</f>
        <v>0</v>
      </c>
      <c r="EO123" s="74" t="str">
        <f aca="false">IF(NOT(Tasks[[#This Row],[_IsLeaf]]=1),"",IF(Tasks[[#This Row],[_AlapShift]]=0,Tasks[[#This Row],[_LeafCalcStart]],WORKDAY.INTL(Tasks[[#This Row],[_LeafCalcStart]],Tasks[[#This Row],[_AlapShift]],WorkWeek,Holidays)))</f>
        <v/>
      </c>
      <c r="EP123" s="74" t="str">
        <f aca="false">IF(NOT(Tasks[[#This Row],[_IsLeaf]]=1),"",IF(Tasks[[#This Row],[_AlapShift]]=0,Tasks[[#This Row],[_LeafCalcFinish]],WORKDAY.INTL(Tasks[[#This Row],[_LeafCalcFinish]],Tasks[[#This Row],[_AlapShift]],WorkWeek,Holidays)))</f>
        <v/>
      </c>
      <c r="EQ123" s="74" t="str">
        <f aca="false">IF(NOT(Tasks[[#This Row],[_IsLeaf]]=1),"",IF(Tasks[[#This Row],[_AlapShift]]=0,Tasks[[#This Row],[_LeafFcstStart]],WORKDAY.INTL(Tasks[[#This Row],[_LeafFcstStart]],Tasks[[#This Row],[_AlapShift]],WorkWeek,Holidays)))</f>
        <v/>
      </c>
      <c r="ER123" s="74" t="str">
        <f aca="false">IF(NOT(Tasks[[#This Row],[_IsLeaf]]=1),"",IF(Tasks[[#This Row],[_AlapShift]]=0,Tasks[[#This Row],[_LeafFcstFinish]],WORKDAY.INTL(Tasks[[#This Row],[_LeafFcstFinish]],Tasks[[#This Row],[_AlapShift]],WorkWeek,Holidays)))</f>
        <v/>
      </c>
      <c r="ES123" s="74" t="str">
        <f aca="false">IF(Tasks[[#This Row],[Task Name]]="","",IF(Tasks[[#This Row],[_IsSummary]],MIN(INDEX(Tasks[_ShownCalcStart],Tasks[[#This Row],[_Row]]+1):INDEX(Tasks[_ShownCalcStart],Tasks[[#This Row],[_Row]]+Tasks[[#This Row],[_Descendants]])),Tasks[[#This Row],[_ShownCalcStart]]))</f>
        <v/>
      </c>
      <c r="ET123" s="74" t="str">
        <f aca="false">IF(Tasks[[#This Row],[Task Name]]="","",IF(Tasks[[#This Row],[_IsSummary]],MAX(INDEX(Tasks[_ShownCalcFinish],Tasks[[#This Row],[_Row]]+1):INDEX(Tasks[_ShownCalcFinish],Tasks[[#This Row],[_Row]]+Tasks[[#This Row],[_Descendants]])),Tasks[[#This Row],[_ShownCalcFinish]]))</f>
        <v/>
      </c>
      <c r="EU12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2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2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2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2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2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2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2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2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2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2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2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23" s="45" t="n">
        <f aca="false">IF(AND(Tasks[[#This Row],[_IsLeaf]]=1,Tasks[[#This Row],[_LeafTotalWork]]&gt;0),NETWORKDAYS.INTL(ProjectStart,Tasks[[#This Row],[_ShownFcstStart]],WorkWeek,Holidays),0)</f>
        <v>0</v>
      </c>
      <c r="FH123" s="45" t="n">
        <f aca="false">IF(AND(Tasks[[#This Row],[_IsLeaf]]=1,Tasks[[#This Row],[_LeafTotalWork]]&gt;0),MAX(Tasks[[#This Row],[_StartWorkday]],NETWORKDAYS.INTL(ProjectStart,Tasks[[#This Row],[_ShownFcstFinish]],WorkWeek,Holidays)),0)</f>
        <v>0</v>
      </c>
      <c r="FI123" s="45" t="n">
        <f aca="false">IF(AND(Tasks[[#This Row],[_IsLeaf]]=1,Tasks[[#This Row],[_LeafTotalWork]]&gt;0),Tasks[[#This Row],[_LeafWork]]/(Tasks[[#This Row],[_FinishWorkday]]-Tasks[[#This Row],[_StartWorkday]]+1),0)</f>
        <v>0</v>
      </c>
      <c r="FJ123" s="45" t="n">
        <f aca="false">Tasks[[#This Row],[_WorkPerWorkday]]*(Tasks[[#This Row],[_StartWorkday]]-1)</f>
        <v>-0</v>
      </c>
      <c r="FK123" s="45" t="n">
        <f aca="false">IF(Tasks[[#This Row],[_IsLeaf]]=1,MAX(N(Tasks[[#This Row],[Duration]]),0.1),0)</f>
        <v>0</v>
      </c>
      <c r="FL123" s="45" t="n">
        <f aca="false">Tasks[[#This Row],[_WeightDur]]*Tasks[[#This Row],[_LeafProgress]]</f>
        <v>0</v>
      </c>
      <c r="FM12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23" s="45" t="str">
        <f aca="false">IF(AND(Tasks[[#This Row],[_IsLeaf]]=1,N(Tasks[[#This Row],[Duration]])=0,Tasks[[#This Row],[_LeafProgress]]&lt;1),Tasks[[#This Row],[_ShownFcstFinish]]+Tasks[[#This Row],[_Row]]/100000,"")</f>
        <v/>
      </c>
      <c r="FO12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23" s="45" t="n">
        <f aca="false">IF(NOT(Tasks[[#This Row],[_IsLeaf]]=1),0,IF(Tasks[[#This Row],[Baseline Cost]]="",Tasks[[#This Row],[_LeafTotalCost]],N(Tasks[[#This Row],[Baseline Cost]])))</f>
        <v>0</v>
      </c>
      <c r="FQ123" s="45" t="n">
        <f aca="false">Tasks[[#This Row],[_LeafBudget]]*Tasks[[#This Row],[_PlannedPct]]</f>
        <v>0</v>
      </c>
      <c r="FR123" s="45" t="n">
        <f aca="false">Tasks[[#This Row],[_LeafBudget]]*Tasks[[#This Row],[_LeafProgress]]</f>
        <v>0</v>
      </c>
      <c r="FS123" s="45" t="n">
        <f aca="false">IF(NOT(Tasks[[#This Row],[_IsLeaf]]=1),0,IF(Tasks[[#This Row],[Actual Cost]]="",Tasks[[#This Row],[_LeafTotalCost]]*Tasks[[#This Row],[_LeafProgress]],N(Tasks[[#This Row],[Actual Cost]])))</f>
        <v>0</v>
      </c>
      <c r="FT123" s="45" t="str">
        <f aca="false">IF(Tasks[[#This Row],[Task Name]]="","",LEFT(Tasks[[#This Row],[WBS]],FIND(".",Tasks[[#This Row],[WBS]]&amp;".")-1))</f>
        <v/>
      </c>
      <c r="FU123" s="45" t="str">
        <f aca="false">IF(AND(Tasks[[#This Row],[Task Name]]&lt;&gt;"",Tasks[[#This Row],[_Level]]=1),Tasks[[#This Row],[_Row]],"")</f>
        <v/>
      </c>
      <c r="FV123" s="45" t="str">
        <f aca="false">IF(AND(Tasks[[#This Row],[_IsLeaf]]=1,N(Tasks[[#This Row],[Duration]])=0),Tasks[[#This Row],[Planned Finish]]+Tasks[[#This Row],[_Row]]/100000,"")</f>
        <v/>
      </c>
      <c r="FW123" s="45" t="str">
        <f aca="false">IF(AND(Tasks[[#This Row],[_IsLeaf]]=1,Tasks[[#This Row],[_LeafProgress]]&lt;1,OR(N(Tasks[[#This Row],[Finish Var]])&gt;0,Tasks[[#This Row],[Status]]="Late Start")),MAX(0,Tasks[[#This Row],[Finish Var]])+1-Tasks[[#This Row],[_Row]]/1000000,"")</f>
        <v/>
      </c>
      <c r="FX123" s="45" t="str">
        <f aca="false">IF(AND(Tasks[[#This Row],[_IsLeaf]]=1,N(Tasks[[#This Row],[Actual Start]])=0,Tasks[[#This Row],[_ShownFcstStart]]&gt;=StatusDate,Tasks[[#This Row],[_ShownFcstStart]]&lt;=LookaheadEnd),Tasks[[#This Row],[_ShownFcstStart]]+Tasks[[#This Row],[_Row]]/100000,"")</f>
        <v/>
      </c>
      <c r="FY123" s="45" t="str">
        <f aca="false">IF(AND(Tasks[[#This Row],[_IsLeaf]]=1,Tasks[[#This Row],[_LeafProgress]]&lt;1,Tasks[[#This Row],[_ShownFcstFinish]]&gt;=StatusDate,Tasks[[#This Row],[_ShownFcstFinish]]&lt;=LookaheadEnd),Tasks[[#This Row],[_ShownFcstFinish]]+Tasks[[#This Row],[_Row]]/100000,"")</f>
        <v/>
      </c>
      <c r="FZ123" s="45" t="str">
        <f aca="false">IF(Tasks[[#This Row],[_LeafCritical]],Tasks[[#This Row],[_ShownFcstStart]]+Tasks[[#This Row],[_Row]]/100000,"")</f>
        <v/>
      </c>
      <c r="GA123" s="45" t="n">
        <f aca="false">Tasks[[#This Row],[_LeafWork]]*Tasks[[#This Row],[_LeafProgress]]</f>
        <v>0</v>
      </c>
      <c r="GB123" s="74" t="str">
        <f aca="false">IF(AND(Tasks[[#This Row],[_IsLeaf]]=1,Tasks[[#This Row],[_LeafProgress]]&gt;=1),IF(N(Tasks[[#This Row],[Actual Finish]])&gt;0,Tasks[[#This Row],[Actual Finish]],Tasks[[#This Row],[_ShownFcstFinish]]),"")</f>
        <v/>
      </c>
    </row>
    <row r="124" customFormat="false" ht="15" hidden="false" customHeight="false" outlineLevel="0" collapsed="false">
      <c r="A124" s="67" t="str">
        <f aca="false">IF(Tasks[[#This Row],[Task Name]]="","",COUNTA(Tasks[[#Headers],[Task Name]]:Tasks[[#This Row],[Task Name]])-1)</f>
        <v/>
      </c>
      <c r="B124" s="21" t="n">
        <v>119</v>
      </c>
      <c r="C12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21"/>
      <c r="E124" s="22"/>
      <c r="F124" s="21"/>
      <c r="G124" s="22"/>
      <c r="H124" s="22"/>
      <c r="I124" s="22"/>
      <c r="J124" s="7"/>
      <c r="K124" s="7"/>
      <c r="L124" s="22"/>
      <c r="M124" s="58" t="str">
        <f aca="false">IF(Tasks[[#This Row],[Task Name]]="","",IF(Tasks[[#This Row],[_IsSummary]],MIN(INDEX(Tasks[_ShownFcstStart],Tasks[[#This Row],[_Row]]+1):INDEX(Tasks[_ShownFcstStart],Tasks[[#This Row],[_Row]]+Tasks[[#This Row],[_Descendants]])),Tasks[[#This Row],[_ShownFcstStart]]))</f>
        <v/>
      </c>
      <c r="N124" s="58" t="str">
        <f aca="false">IF(Tasks[[#This Row],[Task Name]]="","",IF(Tasks[[#This Row],[_IsSummary]],MAX(INDEX(Tasks[_ShownFcstFinish],Tasks[[#This Row],[_Row]]+1):INDEX(Tasks[_ShownFcstFinish],Tasks[[#This Row],[_Row]]+Tasks[[#This Row],[_Descendants]])),Tasks[[#This Row],[_ShownFcstFinish]]))</f>
        <v/>
      </c>
      <c r="O124" s="20" t="str">
        <f aca="false">IF(Tasks[[#This Row],[Task Name]]="","",IF(Tasks[[#This Row],[Progress]]&gt;=1,"Complete",IF(OR(N(Tasks[[#This Row],[Actual Start]])&gt;0,Tasks[[#This Row],[Progress]]&gt;0),IF(Tasks[[#This Row],[Finish Var]]&gt;0,"Behind","In Progress"),IF(Tasks[[#This Row],[Planned Start]]&lt;StatusDate,"Late Start","Not Started"))))</f>
        <v/>
      </c>
      <c r="P124" s="20" t="str">
        <f aca="false">IF(Tasks[[#This Row],[Task Name]]="","",IF(IF(Tasks[[#This Row],[_IsSummary]],COUNTIF(INDEX(Tasks[_LeafCritical],Tasks[[#This Row],[_Row]]+1):INDEX(Tasks[_LeafCritical],Tasks[[#This Row],[_Row]]+Tasks[[#This Row],[_Descendants]]),TRUE())&gt;0,Tasks[[#This Row],[_LeafCritical]]),"Yes",""))</f>
        <v/>
      </c>
      <c r="Q12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24" s="67" t="str">
        <f aca="false">IF(Tasks[[#This Row],[Task Name]]="","",IF(Tasks[[#This Row],[_Level]]&lt;=OutlineShowLevel,"Yes","No"))</f>
        <v/>
      </c>
      <c r="S124" s="7"/>
      <c r="T124" s="21"/>
      <c r="U124" s="22"/>
      <c r="V124" s="7"/>
      <c r="W124" s="67" t="str">
        <f aca="false">IF(Tasks[[#This Row],[Task Name]]="","",IF(Tasks[[#This Row],[Finish]]&gt;=Tasks[[#This Row],[Planned Finish]],NETWORKDAYS.INTL(Tasks[[#This Row],[Planned Finish]],Tasks[[#This Row],[Finish]],WorkWeek,Holidays)-1,1-NETWORKDAYS.INTL(Tasks[[#This Row],[Finish]],Tasks[[#This Row],[Planned Finish]],WorkWeek,Holidays)))</f>
        <v/>
      </c>
      <c r="X124" s="58" t="str">
        <f aca="false">IF(Tasks[[#This Row],[Task Name]]="","",IF(N(Tasks[[#This Row],[Baseline Start]])&gt;0,Tasks[[#This Row],[Baseline Start]],Tasks[[#This Row],[_CalcStart]]))</f>
        <v/>
      </c>
      <c r="Y124" s="58" t="str">
        <f aca="false">IF(Tasks[[#This Row],[Task Name]]="","",IF(N(Tasks[[#This Row],[Baseline Finish]])&gt;0,Tasks[[#This Row],[Baseline Finish]],Tasks[[#This Row],[_CalcFinish]]))</f>
        <v/>
      </c>
      <c r="Z124" s="67" t="str">
        <f aca="false">IF(Tasks[[#This Row],[Task Name]]="","",IF(Tasks[[#This Row],[Start]]&gt;=Tasks[[#This Row],[Planned Start]],NETWORKDAYS.INTL(Tasks[[#This Row],[Planned Start]],Tasks[[#This Row],[Start]],WorkWeek,Holidays)-1,1-NETWORKDAYS.INTL(Tasks[[#This Row],[Start]],Tasks[[#This Row],[Planned Start]],WorkWeek,Holidays)))</f>
        <v/>
      </c>
      <c r="AA124" s="58" t="str">
        <f aca="false">IF(Tasks[[#This Row],[Task Name]]="","",IF(Tasks[[#This Row],[_IsSummary]],MIN(INDEX(Tasks[_LeafLateStart],Tasks[[#This Row],[_Row]]+1):INDEX(Tasks[_LeafLateStart],Tasks[[#This Row],[_Row]]+Tasks[[#This Row],[_Descendants]])),Tasks[[#This Row],[_LeafLateStart]]))</f>
        <v/>
      </c>
      <c r="AB124" s="58" t="str">
        <f aca="false">IF(Tasks[[#This Row],[Task Name]]="","",IF(Tasks[[#This Row],[_IsSummary]],MAX(INDEX(Tasks[_LeafLateFinish],Tasks[[#This Row],[_Row]]+1):INDEX(Tasks[_LeafLateFinish],Tasks[[#This Row],[_Row]]+Tasks[[#This Row],[_Descendants]])),Tasks[[#This Row],[_LeafLateFinish]]))</f>
        <v/>
      </c>
      <c r="AC124" s="67" t="str">
        <f aca="false">IF(Tasks[[#This Row],[Task Name]]="","",IF(Tasks[[#This Row],[_IsSummary]],MIN(INDEX(Tasks[_LeafTotalSlack],Tasks[[#This Row],[_Row]]+1):INDEX(Tasks[_LeafTotalSlack],Tasks[[#This Row],[_Row]]+Tasks[[#This Row],[_Descendants]])),Tasks[[#This Row],[_LeafTotalSlack]]))</f>
        <v/>
      </c>
      <c r="AD12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2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2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24" s="60"/>
      <c r="AH12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2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24" s="69" t="str">
        <f aca="false">IF(Tasks[[#This Row],[Task Name]]="","",IF(Tasks[[#This Row],[_IsSummary]],SUM(INDEX(Tasks[_LeafTotalWork],Tasks[[#This Row],[_Row]]+1):INDEX(Tasks[_LeafTotalWork],Tasks[[#This Row],[_Row]]+Tasks[[#This Row],[_Descendants]])),Tasks[[#This Row],[_LeafTotalWork]]))</f>
        <v/>
      </c>
      <c r="AK12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24" s="70" t="str">
        <f aca="false">IF(Tasks[[#This Row],[Task Name]]="","",IF(Tasks[[#This Row],[_IsSummary]],SUM(INDEX(Tasks[_LeafTotalCost],Tasks[[#This Row],[_Row]]+1):INDEX(Tasks[_LeafTotalCost],Tasks[[#This Row],[_Row]]+Tasks[[#This Row],[_Descendants]])),Tasks[[#This Row],[_LeafTotalCost]]))</f>
        <v/>
      </c>
      <c r="AM124" s="71"/>
      <c r="AN124" s="20" t="str">
        <f aca="false">IF(OR(Tasks[[#This Row],[Task Name]]="",Tasks[[#This Row],[Baseline Duration]]=""),"",Tasks[[#This Row],[BL Source Duration]]-N(Tasks[[#This Row],[Baseline Duration]]))</f>
        <v/>
      </c>
      <c r="AO124" s="69" t="str">
        <f aca="false">IF(OR(Tasks[[#This Row],[Task Name]]="",Tasks[[#This Row],[Baseline Work]]=""),"",Tasks[[#This Row],[Work]]-N(Tasks[[#This Row],[Baseline Work]]))</f>
        <v/>
      </c>
      <c r="AP124" s="70" t="str">
        <f aca="false">IF(OR(Tasks[[#This Row],[Task Name]]="",Tasks[[#This Row],[Baseline Cost]]=""),"",Tasks[[#This Row],[Cost]]-N(Tasks[[#This Row],[Baseline Cost]]))</f>
        <v/>
      </c>
      <c r="AQ124" s="58" t="str">
        <f aca="false">IF(Tasks[[#This Row],[Task Name]]="","",Tasks[[#This Row],[Start]])</f>
        <v/>
      </c>
      <c r="AR124" s="58" t="str">
        <f aca="false">IF(Tasks[[#This Row],[Task Name]]="","",Tasks[[#This Row],[Finish]])</f>
        <v/>
      </c>
      <c r="AS124" s="67" t="str">
        <f aca="false">IF(Tasks[[#This Row],[Task Name]]="","",IF(Tasks[[#This Row],[_IsSummary]],NETWORKDAYS.INTL(Tasks[[#This Row],[Start]],Tasks[[#This Row],[Finish]],WorkWeek,Holidays),N(Tasks[[#This Row],[Duration]])))</f>
        <v/>
      </c>
      <c r="AT124" s="69" t="str">
        <f aca="false">IF(Tasks[[#This Row],[Task Name]]="","",Tasks[[#This Row],[Work]])</f>
        <v/>
      </c>
      <c r="AU124" s="70" t="str">
        <f aca="false">IF(Tasks[[#This Row],[Task Name]]="","",Tasks[[#This Row],[Cost]])</f>
        <v/>
      </c>
      <c r="AV124" s="7"/>
      <c r="AW124" s="7"/>
      <c r="AX124" s="21"/>
      <c r="AY124" s="72"/>
      <c r="AZ124" s="71"/>
      <c r="BA124" s="70" t="str">
        <f aca="false">IF(Tasks[[#This Row],[Task Name]]="","",IF(Tasks[[#This Row],[_IsSummary]],SUM(INDEX(Tasks[_LeafEV],Tasks[[#This Row],[_Row]]+1):INDEX(Tasks[_LeafEV],Tasks[[#This Row],[_Row]]+Tasks[[#This Row],[_Descendants]])),Tasks[[#This Row],[_LeafEV]]))</f>
        <v/>
      </c>
      <c r="BB124" s="70" t="str">
        <f aca="false">IF(Tasks[[#This Row],[Task Name]]="","",IF(Tasks[[#This Row],[_IsSummary]],SUM(INDEX(Tasks[_LeafBudget],Tasks[[#This Row],[_Row]]+1):INDEX(Tasks[_LeafBudget],Tasks[[#This Row],[_Row]]+Tasks[[#This Row],[_Descendants]])),Tasks[[#This Row],[_LeafBudget]]))</f>
        <v/>
      </c>
      <c r="BC124" s="70" t="str">
        <f aca="false">IF(Tasks[[#This Row],[Task Name]]="","",IF(Tasks[[#This Row],[_IsSummary]],SUM(INDEX(Tasks[_LeafPV],Tasks[[#This Row],[_Row]]+1):INDEX(Tasks[_LeafPV],Tasks[[#This Row],[_Row]]+Tasks[[#This Row],[_Descendants]])),Tasks[[#This Row],[_LeafPV]]))</f>
        <v/>
      </c>
      <c r="BD124" s="70" t="str">
        <f aca="false">IF(Tasks[[#This Row],[Task Name]]="","",IF(Tasks[[#This Row],[_IsSummary]],SUM(INDEX(Tasks[_LeafAC],Tasks[[#This Row],[_Row]]+1):INDEX(Tasks[_LeafAC],Tasks[[#This Row],[_Row]]+Tasks[[#This Row],[_Descendants]])),Tasks[[#This Row],[_LeafAC]]))</f>
        <v/>
      </c>
      <c r="BE124" s="45" t="str">
        <f aca="false">IF(Tasks[[#This Row],[Task Name]]="","",MAX(1,N(Tasks[[#This Row],[Level]])))</f>
        <v/>
      </c>
      <c r="BF124" s="45" t="n">
        <f aca="false">ROW()-ROW(Tasks[[#Headers],[ID]])</f>
        <v>119</v>
      </c>
      <c r="BG124" s="45" t="n">
        <f aca="false">IF(OR(Tasks[[#This Row],[Task Name]]="",Tasks[[#This Row],[_Level]]&lt;=1),0,IFERROR(LOOKUP(2,1/(Tasks[[#Headers],[_Level]]:Tasks[[#This Row],[_Level]]=Tasks[[#This Row],[_Level]]-1),ROW(Tasks[[#Headers],[_Level]]:Tasks[[#This Row],[_Level]])),0))</f>
        <v>0</v>
      </c>
      <c r="BH124" s="45" t="n">
        <f aca="false">IFERROR(N(INDEX(Tasks[_Level],Tasks[[#This Row],[_Row]]+1)),0)</f>
        <v>0</v>
      </c>
      <c r="BI124" s="73" t="b">
        <f aca="false">AND(Tasks[[#This Row],[Task Name]]&lt;&gt;"",Tasks[[#This Row],[_NextLevel]]&gt;Tasks[[#This Row],[_Level]])</f>
        <v>0</v>
      </c>
      <c r="BJ124" s="45" t="n">
        <f aca="false">IF(Tasks[[#This Row],[_IsSummary]],COUNTIF(Tasks[WBS],Tasks[[#This Row],[WBS]]&amp;".*"),0)</f>
        <v>0</v>
      </c>
      <c r="BK124" s="45" t="n">
        <f aca="false">IF(AND(Tasks[[#This Row],[Task Name]]&lt;&gt;"",NOT(Tasks[[#This Row],[_IsSummary]])),1,0)</f>
        <v>0</v>
      </c>
      <c r="BL124" s="45" t="n">
        <f aca="false">IF(N(Tasks[[#This Row],[_Pred1UID]])=0,0,IFERROR(MATCH(Tasks[[#This Row],[_Pred1UID]],Tasks[UID],0),-1))</f>
        <v>0</v>
      </c>
      <c r="BM124" s="45" t="n">
        <f aca="false">IF(N(Tasks[[#This Row],[_Pred2UID]])=0,0,IFERROR(MATCH(Tasks[[#This Row],[_Pred2UID]],Tasks[UID],0),-1))</f>
        <v>0</v>
      </c>
      <c r="BN124" s="45" t="n">
        <f aca="false">IF(N(Tasks[[#This Row],[_Pred3UID]])=0,0,IFERROR(MATCH(Tasks[[#This Row],[_Pred3UID]],Tasks[UID],0),-1))</f>
        <v>0</v>
      </c>
      <c r="BO124" s="45" t="n">
        <f aca="false">IF(N(Tasks[[#This Row],[_Pred4UID]])=0,0,IFERROR(MATCH(Tasks[[#This Row],[_Pred4UID]],Tasks[UID],0),-1))</f>
        <v>0</v>
      </c>
      <c r="BP12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2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24" s="74" t="n">
        <f aca="false">IF(OR(Tasks[[#This Row],[_ConstraintCode]]=2,Tasks[[#This Row],[_ConstraintCode]]=3,Tasks[[#This Row],[_ConstraintCode]]=4,Tasks[[#This Row],[_ConstraintCode]]=6),Tasks[[#This Row],[_ConstraintStart]],0)</f>
        <v>0</v>
      </c>
      <c r="BS124" s="74" t="n">
        <f aca="false">IF(OR(Tasks[[#This Row],[_ConstraintCode]]=2,Tasks[[#This Row],[_ConstraintCode]]=3,Tasks[[#This Row],[_ConstraintCode]]=5,Tasks[[#This Row],[_ConstraintCode]]=7),Tasks[[#This Row],[_ConstraintStart]],2958465)</f>
        <v>2958465</v>
      </c>
      <c r="BT12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24" s="74" t="str">
        <f aca="false">IF(NOT(Tasks[[#This Row],[_IsLeaf]]=1),"",IF(N(Tasks[[#This Row],[Duration]])&lt;=0,Tasks[[#This Row],[_LeafCalcStart]],WORKDAY.INTL(Tasks[[#This Row],[_LeafCalcStart]],Tasks[[#This Row],[Duration]]-1,WorkWeek,Holidays)))</f>
        <v/>
      </c>
      <c r="BV12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2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24" s="45" t="str">
        <f aca="false">IF(Tasks[[#This Row],[Predecessors]]="","",TRIM(MID(SUBSTITUTE(SUBSTITUTE(SUBSTITUTE(UPPER(Tasks[[#This Row],[Predecessors]]),";",",")," ",""),",",REPT(" ",99)),1,99)))</f>
        <v/>
      </c>
      <c r="BY124" s="45" t="str">
        <f aca="false">IF(Tasks[[#This Row],[_Pred1Text]]="","",IFERROR(VALUE(LEFT(Tasks[[#This Row],[_Pred1Text]],MIN(FIND("F",Tasks[[#This Row],[_Pred1Text]]&amp;"F"),FIND("S",Tasks[[#This Row],[_Pred1Text]]&amp;"S"),FIND("+",Tasks[[#This Row],[_Pred1Text]]&amp;"+"),FIND("-",Tasks[[#This Row],[_Pred1Text]]&amp;"-"))-1)),""))</f>
        <v/>
      </c>
      <c r="BZ12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2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24" s="45" t="str">
        <f aca="false">IF(Tasks[[#This Row],[_Pred1Text]]="","",TRIM(MID(SUBSTITUTE(SUBSTITUTE(SUBSTITUTE(UPPER(Tasks[[#This Row],[Predecessors]]),";",",")," ",""),",",REPT(" ",99)),100,99)))</f>
        <v/>
      </c>
      <c r="CC124" s="45" t="str">
        <f aca="false">IF(Tasks[[#This Row],[_Pred2Text]]="","",IFERROR(VALUE(LEFT(Tasks[[#This Row],[_Pred2Text]],MIN(FIND("F",Tasks[[#This Row],[_Pred2Text]]&amp;"F"),FIND("S",Tasks[[#This Row],[_Pred2Text]]&amp;"S"),FIND("+",Tasks[[#This Row],[_Pred2Text]]&amp;"+"),FIND("-",Tasks[[#This Row],[_Pred2Text]]&amp;"-"))-1)),""))</f>
        <v/>
      </c>
      <c r="CD12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2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24" s="45" t="str">
        <f aca="false">IF(Tasks[[#This Row],[_Pred2Text]]="","",TRIM(MID(SUBSTITUTE(SUBSTITUTE(SUBSTITUTE(UPPER(Tasks[[#This Row],[Predecessors]]),";",",")," ",""),",",REPT(" ",99)),199,99)))</f>
        <v/>
      </c>
      <c r="CG124" s="45" t="str">
        <f aca="false">IF(Tasks[[#This Row],[_Pred3Text]]="","",IFERROR(VALUE(LEFT(Tasks[[#This Row],[_Pred3Text]],MIN(FIND("F",Tasks[[#This Row],[_Pred3Text]]&amp;"F"),FIND("S",Tasks[[#This Row],[_Pred3Text]]&amp;"S"),FIND("+",Tasks[[#This Row],[_Pred3Text]]&amp;"+"),FIND("-",Tasks[[#This Row],[_Pred3Text]]&amp;"-"))-1)),""))</f>
        <v/>
      </c>
      <c r="CH12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2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24" s="45" t="str">
        <f aca="false">IF(Tasks[[#This Row],[_Pred3Text]]="","",TRIM(MID(SUBSTITUTE(SUBSTITUTE(SUBSTITUTE(UPPER(Tasks[[#This Row],[Predecessors]]),";",",")," ",""),",",REPT(" ",99)),298,99)))</f>
        <v/>
      </c>
      <c r="CK124" s="45" t="str">
        <f aca="false">IF(Tasks[[#This Row],[_Pred4Text]]="","",IFERROR(VALUE(LEFT(Tasks[[#This Row],[_Pred4Text]],MIN(FIND("F",Tasks[[#This Row],[_Pred4Text]]&amp;"F"),FIND("S",Tasks[[#This Row],[_Pred4Text]]&amp;"S"),FIND("+",Tasks[[#This Row],[_Pred4Text]]&amp;"+"),FIND("-",Tasks[[#This Row],[_Pred4Text]]&amp;"-"))-1)),""))</f>
        <v/>
      </c>
      <c r="CL12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2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24" s="45" t="str">
        <f aca="false">IF(OR(Tasks[[#This Row],[Task Name]]="",Tasks[[#This Row],[Resources]]=""),"",TRIM(MID(SUBSTITUTE(Tasks[[#This Row],[Resources]],",",REPT(" ",99)),1,99)))</f>
        <v/>
      </c>
      <c r="CO124" s="45" t="str">
        <f aca="false">IF(Tasks[[#This Row],[_Res1Text]]="","",TRIM(MID(SUBSTITUTE(Tasks[[#This Row],[Resources]],",",REPT(" ",99)),100,99)))</f>
        <v/>
      </c>
      <c r="CP124" s="45" t="str">
        <f aca="false">IF(Tasks[[#This Row],[_Res2Text]]="","",TRIM(MID(SUBSTITUTE(Tasks[[#This Row],[Resources]],",",REPT(" ",99)),199,99)))</f>
        <v/>
      </c>
      <c r="CQ124" s="45" t="str">
        <f aca="false">IF(Tasks[[#This Row],[_Res3Text]]="","",TRIM(MID(SUBSTITUTE(Tasks[[#This Row],[Resources]],",",REPT(" ",99)),298,99)))</f>
        <v/>
      </c>
      <c r="CR12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2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4" s="45" t="n">
        <f aca="false">IF(NOT(Tasks[[#This Row],[_IsLeaf]]=1),0,(Tasks[[#This Row],[_Resource1]]&lt;&gt;"")+(Tasks[[#This Row],[_Res2]]&lt;&gt;"")+(Tasks[[#This Row],[_Res3]]&lt;&gt;"")+(Tasks[[#This Row],[_Res4]]&lt;&gt;""))</f>
        <v>0</v>
      </c>
      <c r="CU12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2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4" s="45" t="n">
        <f aca="false">IF(OR(NOT(Tasks[[#This Row],[_IsLeaf]]=1),Tasks[[#This Row],[_Res2]]=""),0,IF(ISNA(MATCH(Tasks[[#This Row],[_Res2]],res_Name,0)),0,N(Tasks[[#This Row],[Duration]])*HoursPerDay*IF(Tasks[[#This Row],[_Res2Units]]="",DefaultUnits,Tasks[[#This Row],[_Res2Units]])))</f>
        <v>0</v>
      </c>
      <c r="CX124" s="45" t="n">
        <f aca="false">IF(Tasks[[#This Row],[_Res2Work]]=0,0,Tasks[[#This Row],[_Res2Work]]*IFERROR(INDEX(res_Rate,MATCH(Tasks[[#This Row],[_Res2]],res_Name,0)),0))</f>
        <v>0</v>
      </c>
      <c r="CY124" s="45" t="n">
        <f aca="false">IF(AND(AND(Tasks[[#This Row],[_IsLeaf]]=1,Tasks[[#This Row],[_LeafTotalWork]]&gt;0),Tasks[[#This Row],[_Res2Work]]&gt;0),Tasks[[#This Row],[_Res2Work]]/(Tasks[[#This Row],[_FinishWorkday]]-Tasks[[#This Row],[_StartWorkday]]+1),0)</f>
        <v>0</v>
      </c>
      <c r="CZ124" s="45" t="n">
        <f aca="false">Tasks[[#This Row],[_Res2WorkPerWD]]*MAX(0,Tasks[[#This Row],[_StartWorkday]]-1)</f>
        <v>0</v>
      </c>
      <c r="DA124" s="45" t="n">
        <f aca="false">Tasks[[#This Row],[_Res2Work]]*Tasks[[#This Row],[_LeafProgress]]</f>
        <v>0</v>
      </c>
      <c r="DB124" s="45" t="n">
        <f aca="false">IF(Tasks[[#This Row],[_LeafTotalCost]]=0,0,Tasks[[#This Row],[_LeafAC]]*Tasks[[#This Row],[_Res2Cost]]/Tasks[[#This Row],[_LeafTotalCost]])</f>
        <v>0</v>
      </c>
      <c r="DC12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2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24" s="45" t="n">
        <f aca="false">IF(OR(NOT(Tasks[[#This Row],[_IsLeaf]]=1),Tasks[[#This Row],[_Res3]]=""),0,IF(ISNA(MATCH(Tasks[[#This Row],[_Res3]],res_Name,0)),0,N(Tasks[[#This Row],[Duration]])*HoursPerDay*IF(Tasks[[#This Row],[_Res3Units]]="",DefaultUnits,Tasks[[#This Row],[_Res3Units]])))</f>
        <v>0</v>
      </c>
      <c r="DF124" s="45" t="n">
        <f aca="false">IF(Tasks[[#This Row],[_Res3Work]]=0,0,Tasks[[#This Row],[_Res3Work]]*IFERROR(INDEX(res_Rate,MATCH(Tasks[[#This Row],[_Res3]],res_Name,0)),0))</f>
        <v>0</v>
      </c>
      <c r="DG124" s="45" t="n">
        <f aca="false">IF(AND(AND(Tasks[[#This Row],[_IsLeaf]]=1,Tasks[[#This Row],[_LeafTotalWork]]&gt;0),Tasks[[#This Row],[_Res3Work]]&gt;0),Tasks[[#This Row],[_Res3Work]]/(Tasks[[#This Row],[_FinishWorkday]]-Tasks[[#This Row],[_StartWorkday]]+1),0)</f>
        <v>0</v>
      </c>
      <c r="DH124" s="45" t="n">
        <f aca="false">Tasks[[#This Row],[_Res3WorkPerWD]]*MAX(0,Tasks[[#This Row],[_StartWorkday]]-1)</f>
        <v>0</v>
      </c>
      <c r="DI124" s="45" t="n">
        <f aca="false">Tasks[[#This Row],[_Res3Work]]*Tasks[[#This Row],[_LeafProgress]]</f>
        <v>0</v>
      </c>
      <c r="DJ124" s="45" t="n">
        <f aca="false">IF(Tasks[[#This Row],[_LeafTotalCost]]=0,0,Tasks[[#This Row],[_LeafAC]]*Tasks[[#This Row],[_Res3Cost]]/Tasks[[#This Row],[_LeafTotalCost]])</f>
        <v>0</v>
      </c>
      <c r="DK12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2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24" s="45" t="n">
        <f aca="false">IF(OR(NOT(Tasks[[#This Row],[_IsLeaf]]=1),Tasks[[#This Row],[_Res4]]=""),0,IF(ISNA(MATCH(Tasks[[#This Row],[_Res4]],res_Name,0)),0,N(Tasks[[#This Row],[Duration]])*HoursPerDay*IF(Tasks[[#This Row],[_Res4Units]]="",DefaultUnits,Tasks[[#This Row],[_Res4Units]])))</f>
        <v>0</v>
      </c>
      <c r="DN124" s="45" t="n">
        <f aca="false">IF(Tasks[[#This Row],[_Res4Work]]=0,0,Tasks[[#This Row],[_Res4Work]]*IFERROR(INDEX(res_Rate,MATCH(Tasks[[#This Row],[_Res4]],res_Name,0)),0))</f>
        <v>0</v>
      </c>
      <c r="DO124" s="45" t="n">
        <f aca="false">IF(AND(AND(Tasks[[#This Row],[_IsLeaf]]=1,Tasks[[#This Row],[_LeafTotalWork]]&gt;0),Tasks[[#This Row],[_Res4Work]]&gt;0),Tasks[[#This Row],[_Res4Work]]/(Tasks[[#This Row],[_FinishWorkday]]-Tasks[[#This Row],[_StartWorkday]]+1),0)</f>
        <v>0</v>
      </c>
      <c r="DP124" s="45" t="n">
        <f aca="false">Tasks[[#This Row],[_Res4WorkPerWD]]*MAX(0,Tasks[[#This Row],[_StartWorkday]]-1)</f>
        <v>0</v>
      </c>
      <c r="DQ124" s="45" t="n">
        <f aca="false">Tasks[[#This Row],[_Res4Work]]*Tasks[[#This Row],[_LeafProgress]]</f>
        <v>0</v>
      </c>
      <c r="DR124" s="45" t="n">
        <f aca="false">IF(Tasks[[#This Row],[_LeafTotalCost]]=0,0,Tasks[[#This Row],[_LeafAC]]*Tasks[[#This Row],[_Res4Cost]]/Tasks[[#This Row],[_LeafTotalCost]])</f>
        <v>0</v>
      </c>
      <c r="DS124" s="45" t="n">
        <f aca="false">IF(ISNUMBER(Tasks[[#This Row],[% Complete]]),Tasks[[#This Row],[% Complete]],IF(Tasks[[#This Row],[Stage]]="",0,IFERROR(INDEX(stg_Pct,MATCH(Tasks[[#This Row],[Stage]],stg_Name,0)),0)))</f>
        <v>0</v>
      </c>
      <c r="DT124" s="45" t="n">
        <f aca="false">IF(NOT(Tasks[[#This Row],[_IsLeaf]]=1),0,IF(N(Tasks[[#This Row],[Actual Finish]])&gt;0,1,MIN(1,Tasks[[#This Row],[_Pct]])))</f>
        <v>0</v>
      </c>
      <c r="DU124" s="45" t="n">
        <f aca="false">IF(OR(NOT(Tasks[[#This Row],[_IsLeaf]]=1),Tasks[[#This Row],[_Resource1]]=""),0,IF(ISNA(MATCH(Tasks[[#This Row],[_Resource1]],res_Name,0)),0,N(Tasks[[#This Row],[Duration]])*HoursPerDay*IF(Tasks[[#This Row],[_Units1]]="",DefaultUnits,Tasks[[#This Row],[_Units1]])))</f>
        <v>0</v>
      </c>
      <c r="DV124" s="45" t="n">
        <f aca="false">IF(Tasks[[#This Row],[_LeafWork]]=0,0,Tasks[[#This Row],[_LeafWork]]*IFERROR(INDEX(res_Rate,MATCH(Tasks[[#This Row],[_Resource1]],res_Name,0)),0))</f>
        <v>0</v>
      </c>
      <c r="DW124" s="45" t="n">
        <f aca="false">Tasks[[#This Row],[_LeafWork]]+Tasks[[#This Row],[_Res2Work]]+Tasks[[#This Row],[_Res3Work]]+Tasks[[#This Row],[_Res4Work]]</f>
        <v>0</v>
      </c>
      <c r="DX124" s="45" t="n">
        <f aca="false">Tasks[[#This Row],[_LeafCost]]+Tasks[[#This Row],[_Res2Cost]]+Tasks[[#This Row],[_Res3Cost]]+Tasks[[#This Row],[_Res4Cost]]</f>
        <v>0</v>
      </c>
      <c r="DY124" s="45" t="n">
        <f aca="false">IF(Tasks[[#This Row],[_LeafTotalCost]]=0,Tasks[[#This Row],[_LeafAC]],Tasks[[#This Row],[_LeafAC]]*Tasks[[#This Row],[_LeafCost]]/Tasks[[#This Row],[_LeafTotalCost]])</f>
        <v>0</v>
      </c>
      <c r="DZ12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2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2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2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2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2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2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2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24" s="45" t="n">
        <f aca="false">IF(NOT(Tasks[[#This Row],[_IsLeaf]]=1),0,MAX(_xlfn.MAXIFS(Tasks[_Row],Tasks[_Pred1UID],Tasks[[#This Row],[UID]]),_xlfn.MAXIFS(Tasks[_Row],Tasks[_Pred2UID],Tasks[[#This Row],[UID]]),_xlfn.MAXIFS(Tasks[_Row],Tasks[_Pred3UID],Tasks[[#This Row],[UID]]),_xlfn.MAXIFS(Tasks[_Row],Tasks[_Pred4UID],Tasks[[#This Row],[UID]])))</f>
        <v>0</v>
      </c>
      <c r="EI12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2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24" s="74" t="str">
        <f aca="false">IF(NOT(Tasks[[#This Row],[_IsLeaf]]=1),"",IF(N(Tasks[[#This Row],[Duration]])&lt;=0,Tasks[[#This Row],[_LeafLateFinish]],WORKDAY.INTL(Tasks[[#This Row],[_LeafLateFinish]],-(Tasks[[#This Row],[Duration]]-1),WorkWeek,Holidays)))</f>
        <v/>
      </c>
      <c r="EL12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24" s="73" t="b">
        <f aca="false">AND(Tasks[[#This Row],[_IsLeaf]]=1,Tasks[[#This Row],[_LeafProgress]]&lt;1,N(Tasks[[#This Row],[_LeafTotalSlack]])&lt;=CriticalSlackDays)</f>
        <v>0</v>
      </c>
      <c r="EN124" s="45" t="n">
        <f aca="false">IF(AND(Tasks[[#This Row],[_IsLeaf]]=1,Tasks[[#This Row],[_ConstraintCode]]=1,Tasks[[#This Row],[Mode]]&lt;&gt;"Manual",N(Tasks[[#This Row],[Actual Start]])=0),MAX(0,N(Tasks[[#This Row],[Free Slack]])),0)</f>
        <v>0</v>
      </c>
      <c r="EO124" s="74" t="str">
        <f aca="false">IF(NOT(Tasks[[#This Row],[_IsLeaf]]=1),"",IF(Tasks[[#This Row],[_AlapShift]]=0,Tasks[[#This Row],[_LeafCalcStart]],WORKDAY.INTL(Tasks[[#This Row],[_LeafCalcStart]],Tasks[[#This Row],[_AlapShift]],WorkWeek,Holidays)))</f>
        <v/>
      </c>
      <c r="EP124" s="74" t="str">
        <f aca="false">IF(NOT(Tasks[[#This Row],[_IsLeaf]]=1),"",IF(Tasks[[#This Row],[_AlapShift]]=0,Tasks[[#This Row],[_LeafCalcFinish]],WORKDAY.INTL(Tasks[[#This Row],[_LeafCalcFinish]],Tasks[[#This Row],[_AlapShift]],WorkWeek,Holidays)))</f>
        <v/>
      </c>
      <c r="EQ124" s="74" t="str">
        <f aca="false">IF(NOT(Tasks[[#This Row],[_IsLeaf]]=1),"",IF(Tasks[[#This Row],[_AlapShift]]=0,Tasks[[#This Row],[_LeafFcstStart]],WORKDAY.INTL(Tasks[[#This Row],[_LeafFcstStart]],Tasks[[#This Row],[_AlapShift]],WorkWeek,Holidays)))</f>
        <v/>
      </c>
      <c r="ER124" s="74" t="str">
        <f aca="false">IF(NOT(Tasks[[#This Row],[_IsLeaf]]=1),"",IF(Tasks[[#This Row],[_AlapShift]]=0,Tasks[[#This Row],[_LeafFcstFinish]],WORKDAY.INTL(Tasks[[#This Row],[_LeafFcstFinish]],Tasks[[#This Row],[_AlapShift]],WorkWeek,Holidays)))</f>
        <v/>
      </c>
      <c r="ES124" s="74" t="str">
        <f aca="false">IF(Tasks[[#This Row],[Task Name]]="","",IF(Tasks[[#This Row],[_IsSummary]],MIN(INDEX(Tasks[_ShownCalcStart],Tasks[[#This Row],[_Row]]+1):INDEX(Tasks[_ShownCalcStart],Tasks[[#This Row],[_Row]]+Tasks[[#This Row],[_Descendants]])),Tasks[[#This Row],[_ShownCalcStart]]))</f>
        <v/>
      </c>
      <c r="ET124" s="74" t="str">
        <f aca="false">IF(Tasks[[#This Row],[Task Name]]="","",IF(Tasks[[#This Row],[_IsSummary]],MAX(INDEX(Tasks[_ShownCalcFinish],Tasks[[#This Row],[_Row]]+1):INDEX(Tasks[_ShownCalcFinish],Tasks[[#This Row],[_Row]]+Tasks[[#This Row],[_Descendants]])),Tasks[[#This Row],[_ShownCalcFinish]]))</f>
        <v/>
      </c>
      <c r="EU12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2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2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2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2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2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2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2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2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2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2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2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24" s="45" t="n">
        <f aca="false">IF(AND(Tasks[[#This Row],[_IsLeaf]]=1,Tasks[[#This Row],[_LeafTotalWork]]&gt;0),NETWORKDAYS.INTL(ProjectStart,Tasks[[#This Row],[_ShownFcstStart]],WorkWeek,Holidays),0)</f>
        <v>0</v>
      </c>
      <c r="FH124" s="45" t="n">
        <f aca="false">IF(AND(Tasks[[#This Row],[_IsLeaf]]=1,Tasks[[#This Row],[_LeafTotalWork]]&gt;0),MAX(Tasks[[#This Row],[_StartWorkday]],NETWORKDAYS.INTL(ProjectStart,Tasks[[#This Row],[_ShownFcstFinish]],WorkWeek,Holidays)),0)</f>
        <v>0</v>
      </c>
      <c r="FI124" s="45" t="n">
        <f aca="false">IF(AND(Tasks[[#This Row],[_IsLeaf]]=1,Tasks[[#This Row],[_LeafTotalWork]]&gt;0),Tasks[[#This Row],[_LeafWork]]/(Tasks[[#This Row],[_FinishWorkday]]-Tasks[[#This Row],[_StartWorkday]]+1),0)</f>
        <v>0</v>
      </c>
      <c r="FJ124" s="45" t="n">
        <f aca="false">Tasks[[#This Row],[_WorkPerWorkday]]*(Tasks[[#This Row],[_StartWorkday]]-1)</f>
        <v>-0</v>
      </c>
      <c r="FK124" s="45" t="n">
        <f aca="false">IF(Tasks[[#This Row],[_IsLeaf]]=1,MAX(N(Tasks[[#This Row],[Duration]]),0.1),0)</f>
        <v>0</v>
      </c>
      <c r="FL124" s="45" t="n">
        <f aca="false">Tasks[[#This Row],[_WeightDur]]*Tasks[[#This Row],[_LeafProgress]]</f>
        <v>0</v>
      </c>
      <c r="FM12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24" s="45" t="str">
        <f aca="false">IF(AND(Tasks[[#This Row],[_IsLeaf]]=1,N(Tasks[[#This Row],[Duration]])=0,Tasks[[#This Row],[_LeafProgress]]&lt;1),Tasks[[#This Row],[_ShownFcstFinish]]+Tasks[[#This Row],[_Row]]/100000,"")</f>
        <v/>
      </c>
      <c r="FO12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24" s="45" t="n">
        <f aca="false">IF(NOT(Tasks[[#This Row],[_IsLeaf]]=1),0,IF(Tasks[[#This Row],[Baseline Cost]]="",Tasks[[#This Row],[_LeafTotalCost]],N(Tasks[[#This Row],[Baseline Cost]])))</f>
        <v>0</v>
      </c>
      <c r="FQ124" s="45" t="n">
        <f aca="false">Tasks[[#This Row],[_LeafBudget]]*Tasks[[#This Row],[_PlannedPct]]</f>
        <v>0</v>
      </c>
      <c r="FR124" s="45" t="n">
        <f aca="false">Tasks[[#This Row],[_LeafBudget]]*Tasks[[#This Row],[_LeafProgress]]</f>
        <v>0</v>
      </c>
      <c r="FS124" s="45" t="n">
        <f aca="false">IF(NOT(Tasks[[#This Row],[_IsLeaf]]=1),0,IF(Tasks[[#This Row],[Actual Cost]]="",Tasks[[#This Row],[_LeafTotalCost]]*Tasks[[#This Row],[_LeafProgress]],N(Tasks[[#This Row],[Actual Cost]])))</f>
        <v>0</v>
      </c>
      <c r="FT124" s="45" t="str">
        <f aca="false">IF(Tasks[[#This Row],[Task Name]]="","",LEFT(Tasks[[#This Row],[WBS]],FIND(".",Tasks[[#This Row],[WBS]]&amp;".")-1))</f>
        <v/>
      </c>
      <c r="FU124" s="45" t="str">
        <f aca="false">IF(AND(Tasks[[#This Row],[Task Name]]&lt;&gt;"",Tasks[[#This Row],[_Level]]=1),Tasks[[#This Row],[_Row]],"")</f>
        <v/>
      </c>
      <c r="FV124" s="45" t="str">
        <f aca="false">IF(AND(Tasks[[#This Row],[_IsLeaf]]=1,N(Tasks[[#This Row],[Duration]])=0),Tasks[[#This Row],[Planned Finish]]+Tasks[[#This Row],[_Row]]/100000,"")</f>
        <v/>
      </c>
      <c r="FW124" s="45" t="str">
        <f aca="false">IF(AND(Tasks[[#This Row],[_IsLeaf]]=1,Tasks[[#This Row],[_LeafProgress]]&lt;1,OR(N(Tasks[[#This Row],[Finish Var]])&gt;0,Tasks[[#This Row],[Status]]="Late Start")),MAX(0,Tasks[[#This Row],[Finish Var]])+1-Tasks[[#This Row],[_Row]]/1000000,"")</f>
        <v/>
      </c>
      <c r="FX124" s="45" t="str">
        <f aca="false">IF(AND(Tasks[[#This Row],[_IsLeaf]]=1,N(Tasks[[#This Row],[Actual Start]])=0,Tasks[[#This Row],[_ShownFcstStart]]&gt;=StatusDate,Tasks[[#This Row],[_ShownFcstStart]]&lt;=LookaheadEnd),Tasks[[#This Row],[_ShownFcstStart]]+Tasks[[#This Row],[_Row]]/100000,"")</f>
        <v/>
      </c>
      <c r="FY124" s="45" t="str">
        <f aca="false">IF(AND(Tasks[[#This Row],[_IsLeaf]]=1,Tasks[[#This Row],[_LeafProgress]]&lt;1,Tasks[[#This Row],[_ShownFcstFinish]]&gt;=StatusDate,Tasks[[#This Row],[_ShownFcstFinish]]&lt;=LookaheadEnd),Tasks[[#This Row],[_ShownFcstFinish]]+Tasks[[#This Row],[_Row]]/100000,"")</f>
        <v/>
      </c>
      <c r="FZ124" s="45" t="str">
        <f aca="false">IF(Tasks[[#This Row],[_LeafCritical]],Tasks[[#This Row],[_ShownFcstStart]]+Tasks[[#This Row],[_Row]]/100000,"")</f>
        <v/>
      </c>
      <c r="GA124" s="45" t="n">
        <f aca="false">Tasks[[#This Row],[_LeafWork]]*Tasks[[#This Row],[_LeafProgress]]</f>
        <v>0</v>
      </c>
      <c r="GB124" s="74" t="str">
        <f aca="false">IF(AND(Tasks[[#This Row],[_IsLeaf]]=1,Tasks[[#This Row],[_LeafProgress]]&gt;=1),IF(N(Tasks[[#This Row],[Actual Finish]])&gt;0,Tasks[[#This Row],[Actual Finish]],Tasks[[#This Row],[_ShownFcstFinish]]),"")</f>
        <v/>
      </c>
    </row>
    <row r="125" customFormat="false" ht="15" hidden="false" customHeight="false" outlineLevel="0" collapsed="false">
      <c r="A125" s="67" t="str">
        <f aca="false">IF(Tasks[[#This Row],[Task Name]]="","",COUNTA(Tasks[[#Headers],[Task Name]]:Tasks[[#This Row],[Task Name]])-1)</f>
        <v/>
      </c>
      <c r="B125" s="21" t="n">
        <v>120</v>
      </c>
      <c r="C12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21"/>
      <c r="E125" s="22"/>
      <c r="F125" s="21"/>
      <c r="G125" s="22"/>
      <c r="H125" s="22"/>
      <c r="I125" s="22"/>
      <c r="J125" s="7"/>
      <c r="K125" s="7"/>
      <c r="L125" s="22"/>
      <c r="M125" s="58" t="str">
        <f aca="false">IF(Tasks[[#This Row],[Task Name]]="","",IF(Tasks[[#This Row],[_IsSummary]],MIN(INDEX(Tasks[_ShownFcstStart],Tasks[[#This Row],[_Row]]+1):INDEX(Tasks[_ShownFcstStart],Tasks[[#This Row],[_Row]]+Tasks[[#This Row],[_Descendants]])),Tasks[[#This Row],[_ShownFcstStart]]))</f>
        <v/>
      </c>
      <c r="N125" s="58" t="str">
        <f aca="false">IF(Tasks[[#This Row],[Task Name]]="","",IF(Tasks[[#This Row],[_IsSummary]],MAX(INDEX(Tasks[_ShownFcstFinish],Tasks[[#This Row],[_Row]]+1):INDEX(Tasks[_ShownFcstFinish],Tasks[[#This Row],[_Row]]+Tasks[[#This Row],[_Descendants]])),Tasks[[#This Row],[_ShownFcstFinish]]))</f>
        <v/>
      </c>
      <c r="O125" s="20" t="str">
        <f aca="false">IF(Tasks[[#This Row],[Task Name]]="","",IF(Tasks[[#This Row],[Progress]]&gt;=1,"Complete",IF(OR(N(Tasks[[#This Row],[Actual Start]])&gt;0,Tasks[[#This Row],[Progress]]&gt;0),IF(Tasks[[#This Row],[Finish Var]]&gt;0,"Behind","In Progress"),IF(Tasks[[#This Row],[Planned Start]]&lt;StatusDate,"Late Start","Not Started"))))</f>
        <v/>
      </c>
      <c r="P125" s="20" t="str">
        <f aca="false">IF(Tasks[[#This Row],[Task Name]]="","",IF(IF(Tasks[[#This Row],[_IsSummary]],COUNTIF(INDEX(Tasks[_LeafCritical],Tasks[[#This Row],[_Row]]+1):INDEX(Tasks[_LeafCritical],Tasks[[#This Row],[_Row]]+Tasks[[#This Row],[_Descendants]]),TRUE())&gt;0,Tasks[[#This Row],[_LeafCritical]]),"Yes",""))</f>
        <v/>
      </c>
      <c r="Q12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25" s="67" t="str">
        <f aca="false">IF(Tasks[[#This Row],[Task Name]]="","",IF(Tasks[[#This Row],[_Level]]&lt;=OutlineShowLevel,"Yes","No"))</f>
        <v/>
      </c>
      <c r="S125" s="7"/>
      <c r="T125" s="21"/>
      <c r="U125" s="22"/>
      <c r="V125" s="7"/>
      <c r="W125" s="67" t="str">
        <f aca="false">IF(Tasks[[#This Row],[Task Name]]="","",IF(Tasks[[#This Row],[Finish]]&gt;=Tasks[[#This Row],[Planned Finish]],NETWORKDAYS.INTL(Tasks[[#This Row],[Planned Finish]],Tasks[[#This Row],[Finish]],WorkWeek,Holidays)-1,1-NETWORKDAYS.INTL(Tasks[[#This Row],[Finish]],Tasks[[#This Row],[Planned Finish]],WorkWeek,Holidays)))</f>
        <v/>
      </c>
      <c r="X125" s="58" t="str">
        <f aca="false">IF(Tasks[[#This Row],[Task Name]]="","",IF(N(Tasks[[#This Row],[Baseline Start]])&gt;0,Tasks[[#This Row],[Baseline Start]],Tasks[[#This Row],[_CalcStart]]))</f>
        <v/>
      </c>
      <c r="Y125" s="58" t="str">
        <f aca="false">IF(Tasks[[#This Row],[Task Name]]="","",IF(N(Tasks[[#This Row],[Baseline Finish]])&gt;0,Tasks[[#This Row],[Baseline Finish]],Tasks[[#This Row],[_CalcFinish]]))</f>
        <v/>
      </c>
      <c r="Z125" s="67" t="str">
        <f aca="false">IF(Tasks[[#This Row],[Task Name]]="","",IF(Tasks[[#This Row],[Start]]&gt;=Tasks[[#This Row],[Planned Start]],NETWORKDAYS.INTL(Tasks[[#This Row],[Planned Start]],Tasks[[#This Row],[Start]],WorkWeek,Holidays)-1,1-NETWORKDAYS.INTL(Tasks[[#This Row],[Start]],Tasks[[#This Row],[Planned Start]],WorkWeek,Holidays)))</f>
        <v/>
      </c>
      <c r="AA125" s="58" t="str">
        <f aca="false">IF(Tasks[[#This Row],[Task Name]]="","",IF(Tasks[[#This Row],[_IsSummary]],MIN(INDEX(Tasks[_LeafLateStart],Tasks[[#This Row],[_Row]]+1):INDEX(Tasks[_LeafLateStart],Tasks[[#This Row],[_Row]]+Tasks[[#This Row],[_Descendants]])),Tasks[[#This Row],[_LeafLateStart]]))</f>
        <v/>
      </c>
      <c r="AB125" s="58" t="str">
        <f aca="false">IF(Tasks[[#This Row],[Task Name]]="","",IF(Tasks[[#This Row],[_IsSummary]],MAX(INDEX(Tasks[_LeafLateFinish],Tasks[[#This Row],[_Row]]+1):INDEX(Tasks[_LeafLateFinish],Tasks[[#This Row],[_Row]]+Tasks[[#This Row],[_Descendants]])),Tasks[[#This Row],[_LeafLateFinish]]))</f>
        <v/>
      </c>
      <c r="AC125" s="67" t="str">
        <f aca="false">IF(Tasks[[#This Row],[Task Name]]="","",IF(Tasks[[#This Row],[_IsSummary]],MIN(INDEX(Tasks[_LeafTotalSlack],Tasks[[#This Row],[_Row]]+1):INDEX(Tasks[_LeafTotalSlack],Tasks[[#This Row],[_Row]]+Tasks[[#This Row],[_Descendants]])),Tasks[[#This Row],[_LeafTotalSlack]]))</f>
        <v/>
      </c>
      <c r="AD12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2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2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25" s="60"/>
      <c r="AH12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2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25" s="69" t="str">
        <f aca="false">IF(Tasks[[#This Row],[Task Name]]="","",IF(Tasks[[#This Row],[_IsSummary]],SUM(INDEX(Tasks[_LeafTotalWork],Tasks[[#This Row],[_Row]]+1):INDEX(Tasks[_LeafTotalWork],Tasks[[#This Row],[_Row]]+Tasks[[#This Row],[_Descendants]])),Tasks[[#This Row],[_LeafTotalWork]]))</f>
        <v/>
      </c>
      <c r="AK12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25" s="70" t="str">
        <f aca="false">IF(Tasks[[#This Row],[Task Name]]="","",IF(Tasks[[#This Row],[_IsSummary]],SUM(INDEX(Tasks[_LeafTotalCost],Tasks[[#This Row],[_Row]]+1):INDEX(Tasks[_LeafTotalCost],Tasks[[#This Row],[_Row]]+Tasks[[#This Row],[_Descendants]])),Tasks[[#This Row],[_LeafTotalCost]]))</f>
        <v/>
      </c>
      <c r="AM125" s="71"/>
      <c r="AN125" s="20" t="str">
        <f aca="false">IF(OR(Tasks[[#This Row],[Task Name]]="",Tasks[[#This Row],[Baseline Duration]]=""),"",Tasks[[#This Row],[BL Source Duration]]-N(Tasks[[#This Row],[Baseline Duration]]))</f>
        <v/>
      </c>
      <c r="AO125" s="69" t="str">
        <f aca="false">IF(OR(Tasks[[#This Row],[Task Name]]="",Tasks[[#This Row],[Baseline Work]]=""),"",Tasks[[#This Row],[Work]]-N(Tasks[[#This Row],[Baseline Work]]))</f>
        <v/>
      </c>
      <c r="AP125" s="70" t="str">
        <f aca="false">IF(OR(Tasks[[#This Row],[Task Name]]="",Tasks[[#This Row],[Baseline Cost]]=""),"",Tasks[[#This Row],[Cost]]-N(Tasks[[#This Row],[Baseline Cost]]))</f>
        <v/>
      </c>
      <c r="AQ125" s="58" t="str">
        <f aca="false">IF(Tasks[[#This Row],[Task Name]]="","",Tasks[[#This Row],[Start]])</f>
        <v/>
      </c>
      <c r="AR125" s="58" t="str">
        <f aca="false">IF(Tasks[[#This Row],[Task Name]]="","",Tasks[[#This Row],[Finish]])</f>
        <v/>
      </c>
      <c r="AS125" s="67" t="str">
        <f aca="false">IF(Tasks[[#This Row],[Task Name]]="","",IF(Tasks[[#This Row],[_IsSummary]],NETWORKDAYS.INTL(Tasks[[#This Row],[Start]],Tasks[[#This Row],[Finish]],WorkWeek,Holidays),N(Tasks[[#This Row],[Duration]])))</f>
        <v/>
      </c>
      <c r="AT125" s="69" t="str">
        <f aca="false">IF(Tasks[[#This Row],[Task Name]]="","",Tasks[[#This Row],[Work]])</f>
        <v/>
      </c>
      <c r="AU125" s="70" t="str">
        <f aca="false">IF(Tasks[[#This Row],[Task Name]]="","",Tasks[[#This Row],[Cost]])</f>
        <v/>
      </c>
      <c r="AV125" s="7"/>
      <c r="AW125" s="7"/>
      <c r="AX125" s="21"/>
      <c r="AY125" s="72"/>
      <c r="AZ125" s="71"/>
      <c r="BA125" s="70" t="str">
        <f aca="false">IF(Tasks[[#This Row],[Task Name]]="","",IF(Tasks[[#This Row],[_IsSummary]],SUM(INDEX(Tasks[_LeafEV],Tasks[[#This Row],[_Row]]+1):INDEX(Tasks[_LeafEV],Tasks[[#This Row],[_Row]]+Tasks[[#This Row],[_Descendants]])),Tasks[[#This Row],[_LeafEV]]))</f>
        <v/>
      </c>
      <c r="BB125" s="70" t="str">
        <f aca="false">IF(Tasks[[#This Row],[Task Name]]="","",IF(Tasks[[#This Row],[_IsSummary]],SUM(INDEX(Tasks[_LeafBudget],Tasks[[#This Row],[_Row]]+1):INDEX(Tasks[_LeafBudget],Tasks[[#This Row],[_Row]]+Tasks[[#This Row],[_Descendants]])),Tasks[[#This Row],[_LeafBudget]]))</f>
        <v/>
      </c>
      <c r="BC125" s="70" t="str">
        <f aca="false">IF(Tasks[[#This Row],[Task Name]]="","",IF(Tasks[[#This Row],[_IsSummary]],SUM(INDEX(Tasks[_LeafPV],Tasks[[#This Row],[_Row]]+1):INDEX(Tasks[_LeafPV],Tasks[[#This Row],[_Row]]+Tasks[[#This Row],[_Descendants]])),Tasks[[#This Row],[_LeafPV]]))</f>
        <v/>
      </c>
      <c r="BD125" s="70" t="str">
        <f aca="false">IF(Tasks[[#This Row],[Task Name]]="","",IF(Tasks[[#This Row],[_IsSummary]],SUM(INDEX(Tasks[_LeafAC],Tasks[[#This Row],[_Row]]+1):INDEX(Tasks[_LeafAC],Tasks[[#This Row],[_Row]]+Tasks[[#This Row],[_Descendants]])),Tasks[[#This Row],[_LeafAC]]))</f>
        <v/>
      </c>
      <c r="BE125" s="45" t="str">
        <f aca="false">IF(Tasks[[#This Row],[Task Name]]="","",MAX(1,N(Tasks[[#This Row],[Level]])))</f>
        <v/>
      </c>
      <c r="BF125" s="45" t="n">
        <f aca="false">ROW()-ROW(Tasks[[#Headers],[ID]])</f>
        <v>120</v>
      </c>
      <c r="BG125" s="45" t="n">
        <f aca="false">IF(OR(Tasks[[#This Row],[Task Name]]="",Tasks[[#This Row],[_Level]]&lt;=1),0,IFERROR(LOOKUP(2,1/(Tasks[[#Headers],[_Level]]:Tasks[[#This Row],[_Level]]=Tasks[[#This Row],[_Level]]-1),ROW(Tasks[[#Headers],[_Level]]:Tasks[[#This Row],[_Level]])),0))</f>
        <v>0</v>
      </c>
      <c r="BH125" s="45" t="n">
        <f aca="false">IFERROR(N(INDEX(Tasks[_Level],Tasks[[#This Row],[_Row]]+1)),0)</f>
        <v>0</v>
      </c>
      <c r="BI125" s="73" t="b">
        <f aca="false">AND(Tasks[[#This Row],[Task Name]]&lt;&gt;"",Tasks[[#This Row],[_NextLevel]]&gt;Tasks[[#This Row],[_Level]])</f>
        <v>0</v>
      </c>
      <c r="BJ125" s="45" t="n">
        <f aca="false">IF(Tasks[[#This Row],[_IsSummary]],COUNTIF(Tasks[WBS],Tasks[[#This Row],[WBS]]&amp;".*"),0)</f>
        <v>0</v>
      </c>
      <c r="BK125" s="45" t="n">
        <f aca="false">IF(AND(Tasks[[#This Row],[Task Name]]&lt;&gt;"",NOT(Tasks[[#This Row],[_IsSummary]])),1,0)</f>
        <v>0</v>
      </c>
      <c r="BL125" s="45" t="n">
        <f aca="false">IF(N(Tasks[[#This Row],[_Pred1UID]])=0,0,IFERROR(MATCH(Tasks[[#This Row],[_Pred1UID]],Tasks[UID],0),-1))</f>
        <v>0</v>
      </c>
      <c r="BM125" s="45" t="n">
        <f aca="false">IF(N(Tasks[[#This Row],[_Pred2UID]])=0,0,IFERROR(MATCH(Tasks[[#This Row],[_Pred2UID]],Tasks[UID],0),-1))</f>
        <v>0</v>
      </c>
      <c r="BN125" s="45" t="n">
        <f aca="false">IF(N(Tasks[[#This Row],[_Pred3UID]])=0,0,IFERROR(MATCH(Tasks[[#This Row],[_Pred3UID]],Tasks[UID],0),-1))</f>
        <v>0</v>
      </c>
      <c r="BO125" s="45" t="n">
        <f aca="false">IF(N(Tasks[[#This Row],[_Pred4UID]])=0,0,IFERROR(MATCH(Tasks[[#This Row],[_Pred4UID]],Tasks[UID],0),-1))</f>
        <v>0</v>
      </c>
      <c r="BP12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2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25" s="74" t="n">
        <f aca="false">IF(OR(Tasks[[#This Row],[_ConstraintCode]]=2,Tasks[[#This Row],[_ConstraintCode]]=3,Tasks[[#This Row],[_ConstraintCode]]=4,Tasks[[#This Row],[_ConstraintCode]]=6),Tasks[[#This Row],[_ConstraintStart]],0)</f>
        <v>0</v>
      </c>
      <c r="BS125" s="74" t="n">
        <f aca="false">IF(OR(Tasks[[#This Row],[_ConstraintCode]]=2,Tasks[[#This Row],[_ConstraintCode]]=3,Tasks[[#This Row],[_ConstraintCode]]=5,Tasks[[#This Row],[_ConstraintCode]]=7),Tasks[[#This Row],[_ConstraintStart]],2958465)</f>
        <v>2958465</v>
      </c>
      <c r="BT12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25" s="74" t="str">
        <f aca="false">IF(NOT(Tasks[[#This Row],[_IsLeaf]]=1),"",IF(N(Tasks[[#This Row],[Duration]])&lt;=0,Tasks[[#This Row],[_LeafCalcStart]],WORKDAY.INTL(Tasks[[#This Row],[_LeafCalcStart]],Tasks[[#This Row],[Duration]]-1,WorkWeek,Holidays)))</f>
        <v/>
      </c>
      <c r="BV12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2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25" s="45" t="str">
        <f aca="false">IF(Tasks[[#This Row],[Predecessors]]="","",TRIM(MID(SUBSTITUTE(SUBSTITUTE(SUBSTITUTE(UPPER(Tasks[[#This Row],[Predecessors]]),";",",")," ",""),",",REPT(" ",99)),1,99)))</f>
        <v/>
      </c>
      <c r="BY125" s="45" t="str">
        <f aca="false">IF(Tasks[[#This Row],[_Pred1Text]]="","",IFERROR(VALUE(LEFT(Tasks[[#This Row],[_Pred1Text]],MIN(FIND("F",Tasks[[#This Row],[_Pred1Text]]&amp;"F"),FIND("S",Tasks[[#This Row],[_Pred1Text]]&amp;"S"),FIND("+",Tasks[[#This Row],[_Pred1Text]]&amp;"+"),FIND("-",Tasks[[#This Row],[_Pred1Text]]&amp;"-"))-1)),""))</f>
        <v/>
      </c>
      <c r="BZ12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2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25" s="45" t="str">
        <f aca="false">IF(Tasks[[#This Row],[_Pred1Text]]="","",TRIM(MID(SUBSTITUTE(SUBSTITUTE(SUBSTITUTE(UPPER(Tasks[[#This Row],[Predecessors]]),";",",")," ",""),",",REPT(" ",99)),100,99)))</f>
        <v/>
      </c>
      <c r="CC125" s="45" t="str">
        <f aca="false">IF(Tasks[[#This Row],[_Pred2Text]]="","",IFERROR(VALUE(LEFT(Tasks[[#This Row],[_Pred2Text]],MIN(FIND("F",Tasks[[#This Row],[_Pred2Text]]&amp;"F"),FIND("S",Tasks[[#This Row],[_Pred2Text]]&amp;"S"),FIND("+",Tasks[[#This Row],[_Pred2Text]]&amp;"+"),FIND("-",Tasks[[#This Row],[_Pred2Text]]&amp;"-"))-1)),""))</f>
        <v/>
      </c>
      <c r="CD12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2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25" s="45" t="str">
        <f aca="false">IF(Tasks[[#This Row],[_Pred2Text]]="","",TRIM(MID(SUBSTITUTE(SUBSTITUTE(SUBSTITUTE(UPPER(Tasks[[#This Row],[Predecessors]]),";",",")," ",""),",",REPT(" ",99)),199,99)))</f>
        <v/>
      </c>
      <c r="CG125" s="45" t="str">
        <f aca="false">IF(Tasks[[#This Row],[_Pred3Text]]="","",IFERROR(VALUE(LEFT(Tasks[[#This Row],[_Pred3Text]],MIN(FIND("F",Tasks[[#This Row],[_Pred3Text]]&amp;"F"),FIND("S",Tasks[[#This Row],[_Pred3Text]]&amp;"S"),FIND("+",Tasks[[#This Row],[_Pred3Text]]&amp;"+"),FIND("-",Tasks[[#This Row],[_Pred3Text]]&amp;"-"))-1)),""))</f>
        <v/>
      </c>
      <c r="CH12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2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25" s="45" t="str">
        <f aca="false">IF(Tasks[[#This Row],[_Pred3Text]]="","",TRIM(MID(SUBSTITUTE(SUBSTITUTE(SUBSTITUTE(UPPER(Tasks[[#This Row],[Predecessors]]),";",",")," ",""),",",REPT(" ",99)),298,99)))</f>
        <v/>
      </c>
      <c r="CK125" s="45" t="str">
        <f aca="false">IF(Tasks[[#This Row],[_Pred4Text]]="","",IFERROR(VALUE(LEFT(Tasks[[#This Row],[_Pred4Text]],MIN(FIND("F",Tasks[[#This Row],[_Pred4Text]]&amp;"F"),FIND("S",Tasks[[#This Row],[_Pred4Text]]&amp;"S"),FIND("+",Tasks[[#This Row],[_Pred4Text]]&amp;"+"),FIND("-",Tasks[[#This Row],[_Pred4Text]]&amp;"-"))-1)),""))</f>
        <v/>
      </c>
      <c r="CL12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2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25" s="45" t="str">
        <f aca="false">IF(OR(Tasks[[#This Row],[Task Name]]="",Tasks[[#This Row],[Resources]]=""),"",TRIM(MID(SUBSTITUTE(Tasks[[#This Row],[Resources]],",",REPT(" ",99)),1,99)))</f>
        <v/>
      </c>
      <c r="CO125" s="45" t="str">
        <f aca="false">IF(Tasks[[#This Row],[_Res1Text]]="","",TRIM(MID(SUBSTITUTE(Tasks[[#This Row],[Resources]],",",REPT(" ",99)),100,99)))</f>
        <v/>
      </c>
      <c r="CP125" s="45" t="str">
        <f aca="false">IF(Tasks[[#This Row],[_Res2Text]]="","",TRIM(MID(SUBSTITUTE(Tasks[[#This Row],[Resources]],",",REPT(" ",99)),199,99)))</f>
        <v/>
      </c>
      <c r="CQ125" s="45" t="str">
        <f aca="false">IF(Tasks[[#This Row],[_Res3Text]]="","",TRIM(MID(SUBSTITUTE(Tasks[[#This Row],[Resources]],",",REPT(" ",99)),298,99)))</f>
        <v/>
      </c>
      <c r="CR12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2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5" s="45" t="n">
        <f aca="false">IF(NOT(Tasks[[#This Row],[_IsLeaf]]=1),0,(Tasks[[#This Row],[_Resource1]]&lt;&gt;"")+(Tasks[[#This Row],[_Res2]]&lt;&gt;"")+(Tasks[[#This Row],[_Res3]]&lt;&gt;"")+(Tasks[[#This Row],[_Res4]]&lt;&gt;""))</f>
        <v>0</v>
      </c>
      <c r="CU12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2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5" s="45" t="n">
        <f aca="false">IF(OR(NOT(Tasks[[#This Row],[_IsLeaf]]=1),Tasks[[#This Row],[_Res2]]=""),0,IF(ISNA(MATCH(Tasks[[#This Row],[_Res2]],res_Name,0)),0,N(Tasks[[#This Row],[Duration]])*HoursPerDay*IF(Tasks[[#This Row],[_Res2Units]]="",DefaultUnits,Tasks[[#This Row],[_Res2Units]])))</f>
        <v>0</v>
      </c>
      <c r="CX125" s="45" t="n">
        <f aca="false">IF(Tasks[[#This Row],[_Res2Work]]=0,0,Tasks[[#This Row],[_Res2Work]]*IFERROR(INDEX(res_Rate,MATCH(Tasks[[#This Row],[_Res2]],res_Name,0)),0))</f>
        <v>0</v>
      </c>
      <c r="CY125" s="45" t="n">
        <f aca="false">IF(AND(AND(Tasks[[#This Row],[_IsLeaf]]=1,Tasks[[#This Row],[_LeafTotalWork]]&gt;0),Tasks[[#This Row],[_Res2Work]]&gt;0),Tasks[[#This Row],[_Res2Work]]/(Tasks[[#This Row],[_FinishWorkday]]-Tasks[[#This Row],[_StartWorkday]]+1),0)</f>
        <v>0</v>
      </c>
      <c r="CZ125" s="45" t="n">
        <f aca="false">Tasks[[#This Row],[_Res2WorkPerWD]]*MAX(0,Tasks[[#This Row],[_StartWorkday]]-1)</f>
        <v>0</v>
      </c>
      <c r="DA125" s="45" t="n">
        <f aca="false">Tasks[[#This Row],[_Res2Work]]*Tasks[[#This Row],[_LeafProgress]]</f>
        <v>0</v>
      </c>
      <c r="DB125" s="45" t="n">
        <f aca="false">IF(Tasks[[#This Row],[_LeafTotalCost]]=0,0,Tasks[[#This Row],[_LeafAC]]*Tasks[[#This Row],[_Res2Cost]]/Tasks[[#This Row],[_LeafTotalCost]])</f>
        <v>0</v>
      </c>
      <c r="DC12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2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25" s="45" t="n">
        <f aca="false">IF(OR(NOT(Tasks[[#This Row],[_IsLeaf]]=1),Tasks[[#This Row],[_Res3]]=""),0,IF(ISNA(MATCH(Tasks[[#This Row],[_Res3]],res_Name,0)),0,N(Tasks[[#This Row],[Duration]])*HoursPerDay*IF(Tasks[[#This Row],[_Res3Units]]="",DefaultUnits,Tasks[[#This Row],[_Res3Units]])))</f>
        <v>0</v>
      </c>
      <c r="DF125" s="45" t="n">
        <f aca="false">IF(Tasks[[#This Row],[_Res3Work]]=0,0,Tasks[[#This Row],[_Res3Work]]*IFERROR(INDEX(res_Rate,MATCH(Tasks[[#This Row],[_Res3]],res_Name,0)),0))</f>
        <v>0</v>
      </c>
      <c r="DG125" s="45" t="n">
        <f aca="false">IF(AND(AND(Tasks[[#This Row],[_IsLeaf]]=1,Tasks[[#This Row],[_LeafTotalWork]]&gt;0),Tasks[[#This Row],[_Res3Work]]&gt;0),Tasks[[#This Row],[_Res3Work]]/(Tasks[[#This Row],[_FinishWorkday]]-Tasks[[#This Row],[_StartWorkday]]+1),0)</f>
        <v>0</v>
      </c>
      <c r="DH125" s="45" t="n">
        <f aca="false">Tasks[[#This Row],[_Res3WorkPerWD]]*MAX(0,Tasks[[#This Row],[_StartWorkday]]-1)</f>
        <v>0</v>
      </c>
      <c r="DI125" s="45" t="n">
        <f aca="false">Tasks[[#This Row],[_Res3Work]]*Tasks[[#This Row],[_LeafProgress]]</f>
        <v>0</v>
      </c>
      <c r="DJ125" s="45" t="n">
        <f aca="false">IF(Tasks[[#This Row],[_LeafTotalCost]]=0,0,Tasks[[#This Row],[_LeafAC]]*Tasks[[#This Row],[_Res3Cost]]/Tasks[[#This Row],[_LeafTotalCost]])</f>
        <v>0</v>
      </c>
      <c r="DK12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2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25" s="45" t="n">
        <f aca="false">IF(OR(NOT(Tasks[[#This Row],[_IsLeaf]]=1),Tasks[[#This Row],[_Res4]]=""),0,IF(ISNA(MATCH(Tasks[[#This Row],[_Res4]],res_Name,0)),0,N(Tasks[[#This Row],[Duration]])*HoursPerDay*IF(Tasks[[#This Row],[_Res4Units]]="",DefaultUnits,Tasks[[#This Row],[_Res4Units]])))</f>
        <v>0</v>
      </c>
      <c r="DN125" s="45" t="n">
        <f aca="false">IF(Tasks[[#This Row],[_Res4Work]]=0,0,Tasks[[#This Row],[_Res4Work]]*IFERROR(INDEX(res_Rate,MATCH(Tasks[[#This Row],[_Res4]],res_Name,0)),0))</f>
        <v>0</v>
      </c>
      <c r="DO125" s="45" t="n">
        <f aca="false">IF(AND(AND(Tasks[[#This Row],[_IsLeaf]]=1,Tasks[[#This Row],[_LeafTotalWork]]&gt;0),Tasks[[#This Row],[_Res4Work]]&gt;0),Tasks[[#This Row],[_Res4Work]]/(Tasks[[#This Row],[_FinishWorkday]]-Tasks[[#This Row],[_StartWorkday]]+1),0)</f>
        <v>0</v>
      </c>
      <c r="DP125" s="45" t="n">
        <f aca="false">Tasks[[#This Row],[_Res4WorkPerWD]]*MAX(0,Tasks[[#This Row],[_StartWorkday]]-1)</f>
        <v>0</v>
      </c>
      <c r="DQ125" s="45" t="n">
        <f aca="false">Tasks[[#This Row],[_Res4Work]]*Tasks[[#This Row],[_LeafProgress]]</f>
        <v>0</v>
      </c>
      <c r="DR125" s="45" t="n">
        <f aca="false">IF(Tasks[[#This Row],[_LeafTotalCost]]=0,0,Tasks[[#This Row],[_LeafAC]]*Tasks[[#This Row],[_Res4Cost]]/Tasks[[#This Row],[_LeafTotalCost]])</f>
        <v>0</v>
      </c>
      <c r="DS125" s="45" t="n">
        <f aca="false">IF(ISNUMBER(Tasks[[#This Row],[% Complete]]),Tasks[[#This Row],[% Complete]],IF(Tasks[[#This Row],[Stage]]="",0,IFERROR(INDEX(stg_Pct,MATCH(Tasks[[#This Row],[Stage]],stg_Name,0)),0)))</f>
        <v>0</v>
      </c>
      <c r="DT125" s="45" t="n">
        <f aca="false">IF(NOT(Tasks[[#This Row],[_IsLeaf]]=1),0,IF(N(Tasks[[#This Row],[Actual Finish]])&gt;0,1,MIN(1,Tasks[[#This Row],[_Pct]])))</f>
        <v>0</v>
      </c>
      <c r="DU125" s="45" t="n">
        <f aca="false">IF(OR(NOT(Tasks[[#This Row],[_IsLeaf]]=1),Tasks[[#This Row],[_Resource1]]=""),0,IF(ISNA(MATCH(Tasks[[#This Row],[_Resource1]],res_Name,0)),0,N(Tasks[[#This Row],[Duration]])*HoursPerDay*IF(Tasks[[#This Row],[_Units1]]="",DefaultUnits,Tasks[[#This Row],[_Units1]])))</f>
        <v>0</v>
      </c>
      <c r="DV125" s="45" t="n">
        <f aca="false">IF(Tasks[[#This Row],[_LeafWork]]=0,0,Tasks[[#This Row],[_LeafWork]]*IFERROR(INDEX(res_Rate,MATCH(Tasks[[#This Row],[_Resource1]],res_Name,0)),0))</f>
        <v>0</v>
      </c>
      <c r="DW125" s="45" t="n">
        <f aca="false">Tasks[[#This Row],[_LeafWork]]+Tasks[[#This Row],[_Res2Work]]+Tasks[[#This Row],[_Res3Work]]+Tasks[[#This Row],[_Res4Work]]</f>
        <v>0</v>
      </c>
      <c r="DX125" s="45" t="n">
        <f aca="false">Tasks[[#This Row],[_LeafCost]]+Tasks[[#This Row],[_Res2Cost]]+Tasks[[#This Row],[_Res3Cost]]+Tasks[[#This Row],[_Res4Cost]]</f>
        <v>0</v>
      </c>
      <c r="DY125" s="45" t="n">
        <f aca="false">IF(Tasks[[#This Row],[_LeafTotalCost]]=0,Tasks[[#This Row],[_LeafAC]],Tasks[[#This Row],[_LeafAC]]*Tasks[[#This Row],[_LeafCost]]/Tasks[[#This Row],[_LeafTotalCost]])</f>
        <v>0</v>
      </c>
      <c r="DZ12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2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2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2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2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2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2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2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25" s="45" t="n">
        <f aca="false">IF(NOT(Tasks[[#This Row],[_IsLeaf]]=1),0,MAX(_xlfn.MAXIFS(Tasks[_Row],Tasks[_Pred1UID],Tasks[[#This Row],[UID]]),_xlfn.MAXIFS(Tasks[_Row],Tasks[_Pred2UID],Tasks[[#This Row],[UID]]),_xlfn.MAXIFS(Tasks[_Row],Tasks[_Pred3UID],Tasks[[#This Row],[UID]]),_xlfn.MAXIFS(Tasks[_Row],Tasks[_Pred4UID],Tasks[[#This Row],[UID]])))</f>
        <v>0</v>
      </c>
      <c r="EI12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2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25" s="74" t="str">
        <f aca="false">IF(NOT(Tasks[[#This Row],[_IsLeaf]]=1),"",IF(N(Tasks[[#This Row],[Duration]])&lt;=0,Tasks[[#This Row],[_LeafLateFinish]],WORKDAY.INTL(Tasks[[#This Row],[_LeafLateFinish]],-(Tasks[[#This Row],[Duration]]-1),WorkWeek,Holidays)))</f>
        <v/>
      </c>
      <c r="EL12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25" s="73" t="b">
        <f aca="false">AND(Tasks[[#This Row],[_IsLeaf]]=1,Tasks[[#This Row],[_LeafProgress]]&lt;1,N(Tasks[[#This Row],[_LeafTotalSlack]])&lt;=CriticalSlackDays)</f>
        <v>0</v>
      </c>
      <c r="EN125" s="45" t="n">
        <f aca="false">IF(AND(Tasks[[#This Row],[_IsLeaf]]=1,Tasks[[#This Row],[_ConstraintCode]]=1,Tasks[[#This Row],[Mode]]&lt;&gt;"Manual",N(Tasks[[#This Row],[Actual Start]])=0),MAX(0,N(Tasks[[#This Row],[Free Slack]])),0)</f>
        <v>0</v>
      </c>
      <c r="EO125" s="74" t="str">
        <f aca="false">IF(NOT(Tasks[[#This Row],[_IsLeaf]]=1),"",IF(Tasks[[#This Row],[_AlapShift]]=0,Tasks[[#This Row],[_LeafCalcStart]],WORKDAY.INTL(Tasks[[#This Row],[_LeafCalcStart]],Tasks[[#This Row],[_AlapShift]],WorkWeek,Holidays)))</f>
        <v/>
      </c>
      <c r="EP125" s="74" t="str">
        <f aca="false">IF(NOT(Tasks[[#This Row],[_IsLeaf]]=1),"",IF(Tasks[[#This Row],[_AlapShift]]=0,Tasks[[#This Row],[_LeafCalcFinish]],WORKDAY.INTL(Tasks[[#This Row],[_LeafCalcFinish]],Tasks[[#This Row],[_AlapShift]],WorkWeek,Holidays)))</f>
        <v/>
      </c>
      <c r="EQ125" s="74" t="str">
        <f aca="false">IF(NOT(Tasks[[#This Row],[_IsLeaf]]=1),"",IF(Tasks[[#This Row],[_AlapShift]]=0,Tasks[[#This Row],[_LeafFcstStart]],WORKDAY.INTL(Tasks[[#This Row],[_LeafFcstStart]],Tasks[[#This Row],[_AlapShift]],WorkWeek,Holidays)))</f>
        <v/>
      </c>
      <c r="ER125" s="74" t="str">
        <f aca="false">IF(NOT(Tasks[[#This Row],[_IsLeaf]]=1),"",IF(Tasks[[#This Row],[_AlapShift]]=0,Tasks[[#This Row],[_LeafFcstFinish]],WORKDAY.INTL(Tasks[[#This Row],[_LeafFcstFinish]],Tasks[[#This Row],[_AlapShift]],WorkWeek,Holidays)))</f>
        <v/>
      </c>
      <c r="ES125" s="74" t="str">
        <f aca="false">IF(Tasks[[#This Row],[Task Name]]="","",IF(Tasks[[#This Row],[_IsSummary]],MIN(INDEX(Tasks[_ShownCalcStart],Tasks[[#This Row],[_Row]]+1):INDEX(Tasks[_ShownCalcStart],Tasks[[#This Row],[_Row]]+Tasks[[#This Row],[_Descendants]])),Tasks[[#This Row],[_ShownCalcStart]]))</f>
        <v/>
      </c>
      <c r="ET125" s="74" t="str">
        <f aca="false">IF(Tasks[[#This Row],[Task Name]]="","",IF(Tasks[[#This Row],[_IsSummary]],MAX(INDEX(Tasks[_ShownCalcFinish],Tasks[[#This Row],[_Row]]+1):INDEX(Tasks[_ShownCalcFinish],Tasks[[#This Row],[_Row]]+Tasks[[#This Row],[_Descendants]])),Tasks[[#This Row],[_ShownCalcFinish]]))</f>
        <v/>
      </c>
      <c r="EU12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2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2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2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2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2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2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2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2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2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2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2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25" s="45" t="n">
        <f aca="false">IF(AND(Tasks[[#This Row],[_IsLeaf]]=1,Tasks[[#This Row],[_LeafTotalWork]]&gt;0),NETWORKDAYS.INTL(ProjectStart,Tasks[[#This Row],[_ShownFcstStart]],WorkWeek,Holidays),0)</f>
        <v>0</v>
      </c>
      <c r="FH125" s="45" t="n">
        <f aca="false">IF(AND(Tasks[[#This Row],[_IsLeaf]]=1,Tasks[[#This Row],[_LeafTotalWork]]&gt;0),MAX(Tasks[[#This Row],[_StartWorkday]],NETWORKDAYS.INTL(ProjectStart,Tasks[[#This Row],[_ShownFcstFinish]],WorkWeek,Holidays)),0)</f>
        <v>0</v>
      </c>
      <c r="FI125" s="45" t="n">
        <f aca="false">IF(AND(Tasks[[#This Row],[_IsLeaf]]=1,Tasks[[#This Row],[_LeafTotalWork]]&gt;0),Tasks[[#This Row],[_LeafWork]]/(Tasks[[#This Row],[_FinishWorkday]]-Tasks[[#This Row],[_StartWorkday]]+1),0)</f>
        <v>0</v>
      </c>
      <c r="FJ125" s="45" t="n">
        <f aca="false">Tasks[[#This Row],[_WorkPerWorkday]]*(Tasks[[#This Row],[_StartWorkday]]-1)</f>
        <v>-0</v>
      </c>
      <c r="FK125" s="45" t="n">
        <f aca="false">IF(Tasks[[#This Row],[_IsLeaf]]=1,MAX(N(Tasks[[#This Row],[Duration]]),0.1),0)</f>
        <v>0</v>
      </c>
      <c r="FL125" s="45" t="n">
        <f aca="false">Tasks[[#This Row],[_WeightDur]]*Tasks[[#This Row],[_LeafProgress]]</f>
        <v>0</v>
      </c>
      <c r="FM12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25" s="45" t="str">
        <f aca="false">IF(AND(Tasks[[#This Row],[_IsLeaf]]=1,N(Tasks[[#This Row],[Duration]])=0,Tasks[[#This Row],[_LeafProgress]]&lt;1),Tasks[[#This Row],[_ShownFcstFinish]]+Tasks[[#This Row],[_Row]]/100000,"")</f>
        <v/>
      </c>
      <c r="FO12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25" s="45" t="n">
        <f aca="false">IF(NOT(Tasks[[#This Row],[_IsLeaf]]=1),0,IF(Tasks[[#This Row],[Baseline Cost]]="",Tasks[[#This Row],[_LeafTotalCost]],N(Tasks[[#This Row],[Baseline Cost]])))</f>
        <v>0</v>
      </c>
      <c r="FQ125" s="45" t="n">
        <f aca="false">Tasks[[#This Row],[_LeafBudget]]*Tasks[[#This Row],[_PlannedPct]]</f>
        <v>0</v>
      </c>
      <c r="FR125" s="45" t="n">
        <f aca="false">Tasks[[#This Row],[_LeafBudget]]*Tasks[[#This Row],[_LeafProgress]]</f>
        <v>0</v>
      </c>
      <c r="FS125" s="45" t="n">
        <f aca="false">IF(NOT(Tasks[[#This Row],[_IsLeaf]]=1),0,IF(Tasks[[#This Row],[Actual Cost]]="",Tasks[[#This Row],[_LeafTotalCost]]*Tasks[[#This Row],[_LeafProgress]],N(Tasks[[#This Row],[Actual Cost]])))</f>
        <v>0</v>
      </c>
      <c r="FT125" s="45" t="str">
        <f aca="false">IF(Tasks[[#This Row],[Task Name]]="","",LEFT(Tasks[[#This Row],[WBS]],FIND(".",Tasks[[#This Row],[WBS]]&amp;".")-1))</f>
        <v/>
      </c>
      <c r="FU125" s="45" t="str">
        <f aca="false">IF(AND(Tasks[[#This Row],[Task Name]]&lt;&gt;"",Tasks[[#This Row],[_Level]]=1),Tasks[[#This Row],[_Row]],"")</f>
        <v/>
      </c>
      <c r="FV125" s="45" t="str">
        <f aca="false">IF(AND(Tasks[[#This Row],[_IsLeaf]]=1,N(Tasks[[#This Row],[Duration]])=0),Tasks[[#This Row],[Planned Finish]]+Tasks[[#This Row],[_Row]]/100000,"")</f>
        <v/>
      </c>
      <c r="FW125" s="45" t="str">
        <f aca="false">IF(AND(Tasks[[#This Row],[_IsLeaf]]=1,Tasks[[#This Row],[_LeafProgress]]&lt;1,OR(N(Tasks[[#This Row],[Finish Var]])&gt;0,Tasks[[#This Row],[Status]]="Late Start")),MAX(0,Tasks[[#This Row],[Finish Var]])+1-Tasks[[#This Row],[_Row]]/1000000,"")</f>
        <v/>
      </c>
      <c r="FX125" s="45" t="str">
        <f aca="false">IF(AND(Tasks[[#This Row],[_IsLeaf]]=1,N(Tasks[[#This Row],[Actual Start]])=0,Tasks[[#This Row],[_ShownFcstStart]]&gt;=StatusDate,Tasks[[#This Row],[_ShownFcstStart]]&lt;=LookaheadEnd),Tasks[[#This Row],[_ShownFcstStart]]+Tasks[[#This Row],[_Row]]/100000,"")</f>
        <v/>
      </c>
      <c r="FY125" s="45" t="str">
        <f aca="false">IF(AND(Tasks[[#This Row],[_IsLeaf]]=1,Tasks[[#This Row],[_LeafProgress]]&lt;1,Tasks[[#This Row],[_ShownFcstFinish]]&gt;=StatusDate,Tasks[[#This Row],[_ShownFcstFinish]]&lt;=LookaheadEnd),Tasks[[#This Row],[_ShownFcstFinish]]+Tasks[[#This Row],[_Row]]/100000,"")</f>
        <v/>
      </c>
      <c r="FZ125" s="45" t="str">
        <f aca="false">IF(Tasks[[#This Row],[_LeafCritical]],Tasks[[#This Row],[_ShownFcstStart]]+Tasks[[#This Row],[_Row]]/100000,"")</f>
        <v/>
      </c>
      <c r="GA125" s="45" t="n">
        <f aca="false">Tasks[[#This Row],[_LeafWork]]*Tasks[[#This Row],[_LeafProgress]]</f>
        <v>0</v>
      </c>
      <c r="GB125" s="74" t="str">
        <f aca="false">IF(AND(Tasks[[#This Row],[_IsLeaf]]=1,Tasks[[#This Row],[_LeafProgress]]&gt;=1),IF(N(Tasks[[#This Row],[Actual Finish]])&gt;0,Tasks[[#This Row],[Actual Finish]],Tasks[[#This Row],[_ShownFcstFinish]]),"")</f>
        <v/>
      </c>
    </row>
    <row r="126" customFormat="false" ht="15" hidden="false" customHeight="false" outlineLevel="0" collapsed="false">
      <c r="A126" s="67" t="str">
        <f aca="false">IF(Tasks[[#This Row],[Task Name]]="","",COUNTA(Tasks[[#Headers],[Task Name]]:Tasks[[#This Row],[Task Name]])-1)</f>
        <v/>
      </c>
      <c r="B126" s="21" t="n">
        <v>121</v>
      </c>
      <c r="C12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21"/>
      <c r="E126" s="22"/>
      <c r="F126" s="21"/>
      <c r="G126" s="22"/>
      <c r="H126" s="22"/>
      <c r="I126" s="22"/>
      <c r="J126" s="7"/>
      <c r="K126" s="7"/>
      <c r="L126" s="22"/>
      <c r="M126" s="58" t="str">
        <f aca="false">IF(Tasks[[#This Row],[Task Name]]="","",IF(Tasks[[#This Row],[_IsSummary]],MIN(INDEX(Tasks[_ShownFcstStart],Tasks[[#This Row],[_Row]]+1):INDEX(Tasks[_ShownFcstStart],Tasks[[#This Row],[_Row]]+Tasks[[#This Row],[_Descendants]])),Tasks[[#This Row],[_ShownFcstStart]]))</f>
        <v/>
      </c>
      <c r="N126" s="58" t="str">
        <f aca="false">IF(Tasks[[#This Row],[Task Name]]="","",IF(Tasks[[#This Row],[_IsSummary]],MAX(INDEX(Tasks[_ShownFcstFinish],Tasks[[#This Row],[_Row]]+1):INDEX(Tasks[_ShownFcstFinish],Tasks[[#This Row],[_Row]]+Tasks[[#This Row],[_Descendants]])),Tasks[[#This Row],[_ShownFcstFinish]]))</f>
        <v/>
      </c>
      <c r="O126" s="20" t="str">
        <f aca="false">IF(Tasks[[#This Row],[Task Name]]="","",IF(Tasks[[#This Row],[Progress]]&gt;=1,"Complete",IF(OR(N(Tasks[[#This Row],[Actual Start]])&gt;0,Tasks[[#This Row],[Progress]]&gt;0),IF(Tasks[[#This Row],[Finish Var]]&gt;0,"Behind","In Progress"),IF(Tasks[[#This Row],[Planned Start]]&lt;StatusDate,"Late Start","Not Started"))))</f>
        <v/>
      </c>
      <c r="P126" s="20" t="str">
        <f aca="false">IF(Tasks[[#This Row],[Task Name]]="","",IF(IF(Tasks[[#This Row],[_IsSummary]],COUNTIF(INDEX(Tasks[_LeafCritical],Tasks[[#This Row],[_Row]]+1):INDEX(Tasks[_LeafCritical],Tasks[[#This Row],[_Row]]+Tasks[[#This Row],[_Descendants]]),TRUE())&gt;0,Tasks[[#This Row],[_LeafCritical]]),"Yes",""))</f>
        <v/>
      </c>
      <c r="Q12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26" s="67" t="str">
        <f aca="false">IF(Tasks[[#This Row],[Task Name]]="","",IF(Tasks[[#This Row],[_Level]]&lt;=OutlineShowLevel,"Yes","No"))</f>
        <v/>
      </c>
      <c r="S126" s="7"/>
      <c r="T126" s="21"/>
      <c r="U126" s="22"/>
      <c r="V126" s="7"/>
      <c r="W126" s="67" t="str">
        <f aca="false">IF(Tasks[[#This Row],[Task Name]]="","",IF(Tasks[[#This Row],[Finish]]&gt;=Tasks[[#This Row],[Planned Finish]],NETWORKDAYS.INTL(Tasks[[#This Row],[Planned Finish]],Tasks[[#This Row],[Finish]],WorkWeek,Holidays)-1,1-NETWORKDAYS.INTL(Tasks[[#This Row],[Finish]],Tasks[[#This Row],[Planned Finish]],WorkWeek,Holidays)))</f>
        <v/>
      </c>
      <c r="X126" s="58" t="str">
        <f aca="false">IF(Tasks[[#This Row],[Task Name]]="","",IF(N(Tasks[[#This Row],[Baseline Start]])&gt;0,Tasks[[#This Row],[Baseline Start]],Tasks[[#This Row],[_CalcStart]]))</f>
        <v/>
      </c>
      <c r="Y126" s="58" t="str">
        <f aca="false">IF(Tasks[[#This Row],[Task Name]]="","",IF(N(Tasks[[#This Row],[Baseline Finish]])&gt;0,Tasks[[#This Row],[Baseline Finish]],Tasks[[#This Row],[_CalcFinish]]))</f>
        <v/>
      </c>
      <c r="Z126" s="67" t="str">
        <f aca="false">IF(Tasks[[#This Row],[Task Name]]="","",IF(Tasks[[#This Row],[Start]]&gt;=Tasks[[#This Row],[Planned Start]],NETWORKDAYS.INTL(Tasks[[#This Row],[Planned Start]],Tasks[[#This Row],[Start]],WorkWeek,Holidays)-1,1-NETWORKDAYS.INTL(Tasks[[#This Row],[Start]],Tasks[[#This Row],[Planned Start]],WorkWeek,Holidays)))</f>
        <v/>
      </c>
      <c r="AA126" s="58" t="str">
        <f aca="false">IF(Tasks[[#This Row],[Task Name]]="","",IF(Tasks[[#This Row],[_IsSummary]],MIN(INDEX(Tasks[_LeafLateStart],Tasks[[#This Row],[_Row]]+1):INDEX(Tasks[_LeafLateStart],Tasks[[#This Row],[_Row]]+Tasks[[#This Row],[_Descendants]])),Tasks[[#This Row],[_LeafLateStart]]))</f>
        <v/>
      </c>
      <c r="AB126" s="58" t="str">
        <f aca="false">IF(Tasks[[#This Row],[Task Name]]="","",IF(Tasks[[#This Row],[_IsSummary]],MAX(INDEX(Tasks[_LeafLateFinish],Tasks[[#This Row],[_Row]]+1):INDEX(Tasks[_LeafLateFinish],Tasks[[#This Row],[_Row]]+Tasks[[#This Row],[_Descendants]])),Tasks[[#This Row],[_LeafLateFinish]]))</f>
        <v/>
      </c>
      <c r="AC126" s="67" t="str">
        <f aca="false">IF(Tasks[[#This Row],[Task Name]]="","",IF(Tasks[[#This Row],[_IsSummary]],MIN(INDEX(Tasks[_LeafTotalSlack],Tasks[[#This Row],[_Row]]+1):INDEX(Tasks[_LeafTotalSlack],Tasks[[#This Row],[_Row]]+Tasks[[#This Row],[_Descendants]])),Tasks[[#This Row],[_LeafTotalSlack]]))</f>
        <v/>
      </c>
      <c r="AD12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2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2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26" s="60"/>
      <c r="AH12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2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26" s="69" t="str">
        <f aca="false">IF(Tasks[[#This Row],[Task Name]]="","",IF(Tasks[[#This Row],[_IsSummary]],SUM(INDEX(Tasks[_LeafTotalWork],Tasks[[#This Row],[_Row]]+1):INDEX(Tasks[_LeafTotalWork],Tasks[[#This Row],[_Row]]+Tasks[[#This Row],[_Descendants]])),Tasks[[#This Row],[_LeafTotalWork]]))</f>
        <v/>
      </c>
      <c r="AK12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26" s="70" t="str">
        <f aca="false">IF(Tasks[[#This Row],[Task Name]]="","",IF(Tasks[[#This Row],[_IsSummary]],SUM(INDEX(Tasks[_LeafTotalCost],Tasks[[#This Row],[_Row]]+1):INDEX(Tasks[_LeafTotalCost],Tasks[[#This Row],[_Row]]+Tasks[[#This Row],[_Descendants]])),Tasks[[#This Row],[_LeafTotalCost]]))</f>
        <v/>
      </c>
      <c r="AM126" s="71"/>
      <c r="AN126" s="20" t="str">
        <f aca="false">IF(OR(Tasks[[#This Row],[Task Name]]="",Tasks[[#This Row],[Baseline Duration]]=""),"",Tasks[[#This Row],[BL Source Duration]]-N(Tasks[[#This Row],[Baseline Duration]]))</f>
        <v/>
      </c>
      <c r="AO126" s="69" t="str">
        <f aca="false">IF(OR(Tasks[[#This Row],[Task Name]]="",Tasks[[#This Row],[Baseline Work]]=""),"",Tasks[[#This Row],[Work]]-N(Tasks[[#This Row],[Baseline Work]]))</f>
        <v/>
      </c>
      <c r="AP126" s="70" t="str">
        <f aca="false">IF(OR(Tasks[[#This Row],[Task Name]]="",Tasks[[#This Row],[Baseline Cost]]=""),"",Tasks[[#This Row],[Cost]]-N(Tasks[[#This Row],[Baseline Cost]]))</f>
        <v/>
      </c>
      <c r="AQ126" s="58" t="str">
        <f aca="false">IF(Tasks[[#This Row],[Task Name]]="","",Tasks[[#This Row],[Start]])</f>
        <v/>
      </c>
      <c r="AR126" s="58" t="str">
        <f aca="false">IF(Tasks[[#This Row],[Task Name]]="","",Tasks[[#This Row],[Finish]])</f>
        <v/>
      </c>
      <c r="AS126" s="67" t="str">
        <f aca="false">IF(Tasks[[#This Row],[Task Name]]="","",IF(Tasks[[#This Row],[_IsSummary]],NETWORKDAYS.INTL(Tasks[[#This Row],[Start]],Tasks[[#This Row],[Finish]],WorkWeek,Holidays),N(Tasks[[#This Row],[Duration]])))</f>
        <v/>
      </c>
      <c r="AT126" s="69" t="str">
        <f aca="false">IF(Tasks[[#This Row],[Task Name]]="","",Tasks[[#This Row],[Work]])</f>
        <v/>
      </c>
      <c r="AU126" s="70" t="str">
        <f aca="false">IF(Tasks[[#This Row],[Task Name]]="","",Tasks[[#This Row],[Cost]])</f>
        <v/>
      </c>
      <c r="AV126" s="7"/>
      <c r="AW126" s="7"/>
      <c r="AX126" s="21"/>
      <c r="AY126" s="72"/>
      <c r="AZ126" s="71"/>
      <c r="BA126" s="70" t="str">
        <f aca="false">IF(Tasks[[#This Row],[Task Name]]="","",IF(Tasks[[#This Row],[_IsSummary]],SUM(INDEX(Tasks[_LeafEV],Tasks[[#This Row],[_Row]]+1):INDEX(Tasks[_LeafEV],Tasks[[#This Row],[_Row]]+Tasks[[#This Row],[_Descendants]])),Tasks[[#This Row],[_LeafEV]]))</f>
        <v/>
      </c>
      <c r="BB126" s="70" t="str">
        <f aca="false">IF(Tasks[[#This Row],[Task Name]]="","",IF(Tasks[[#This Row],[_IsSummary]],SUM(INDEX(Tasks[_LeafBudget],Tasks[[#This Row],[_Row]]+1):INDEX(Tasks[_LeafBudget],Tasks[[#This Row],[_Row]]+Tasks[[#This Row],[_Descendants]])),Tasks[[#This Row],[_LeafBudget]]))</f>
        <v/>
      </c>
      <c r="BC126" s="70" t="str">
        <f aca="false">IF(Tasks[[#This Row],[Task Name]]="","",IF(Tasks[[#This Row],[_IsSummary]],SUM(INDEX(Tasks[_LeafPV],Tasks[[#This Row],[_Row]]+1):INDEX(Tasks[_LeafPV],Tasks[[#This Row],[_Row]]+Tasks[[#This Row],[_Descendants]])),Tasks[[#This Row],[_LeafPV]]))</f>
        <v/>
      </c>
      <c r="BD126" s="70" t="str">
        <f aca="false">IF(Tasks[[#This Row],[Task Name]]="","",IF(Tasks[[#This Row],[_IsSummary]],SUM(INDEX(Tasks[_LeafAC],Tasks[[#This Row],[_Row]]+1):INDEX(Tasks[_LeafAC],Tasks[[#This Row],[_Row]]+Tasks[[#This Row],[_Descendants]])),Tasks[[#This Row],[_LeafAC]]))</f>
        <v/>
      </c>
      <c r="BE126" s="45" t="str">
        <f aca="false">IF(Tasks[[#This Row],[Task Name]]="","",MAX(1,N(Tasks[[#This Row],[Level]])))</f>
        <v/>
      </c>
      <c r="BF126" s="45" t="n">
        <f aca="false">ROW()-ROW(Tasks[[#Headers],[ID]])</f>
        <v>121</v>
      </c>
      <c r="BG126" s="45" t="n">
        <f aca="false">IF(OR(Tasks[[#This Row],[Task Name]]="",Tasks[[#This Row],[_Level]]&lt;=1),0,IFERROR(LOOKUP(2,1/(Tasks[[#Headers],[_Level]]:Tasks[[#This Row],[_Level]]=Tasks[[#This Row],[_Level]]-1),ROW(Tasks[[#Headers],[_Level]]:Tasks[[#This Row],[_Level]])),0))</f>
        <v>0</v>
      </c>
      <c r="BH126" s="45" t="n">
        <f aca="false">IFERROR(N(INDEX(Tasks[_Level],Tasks[[#This Row],[_Row]]+1)),0)</f>
        <v>0</v>
      </c>
      <c r="BI126" s="73" t="b">
        <f aca="false">AND(Tasks[[#This Row],[Task Name]]&lt;&gt;"",Tasks[[#This Row],[_NextLevel]]&gt;Tasks[[#This Row],[_Level]])</f>
        <v>0</v>
      </c>
      <c r="BJ126" s="45" t="n">
        <f aca="false">IF(Tasks[[#This Row],[_IsSummary]],COUNTIF(Tasks[WBS],Tasks[[#This Row],[WBS]]&amp;".*"),0)</f>
        <v>0</v>
      </c>
      <c r="BK126" s="45" t="n">
        <f aca="false">IF(AND(Tasks[[#This Row],[Task Name]]&lt;&gt;"",NOT(Tasks[[#This Row],[_IsSummary]])),1,0)</f>
        <v>0</v>
      </c>
      <c r="BL126" s="45" t="n">
        <f aca="false">IF(N(Tasks[[#This Row],[_Pred1UID]])=0,0,IFERROR(MATCH(Tasks[[#This Row],[_Pred1UID]],Tasks[UID],0),-1))</f>
        <v>0</v>
      </c>
      <c r="BM126" s="45" t="n">
        <f aca="false">IF(N(Tasks[[#This Row],[_Pred2UID]])=0,0,IFERROR(MATCH(Tasks[[#This Row],[_Pred2UID]],Tasks[UID],0),-1))</f>
        <v>0</v>
      </c>
      <c r="BN126" s="45" t="n">
        <f aca="false">IF(N(Tasks[[#This Row],[_Pred3UID]])=0,0,IFERROR(MATCH(Tasks[[#This Row],[_Pred3UID]],Tasks[UID],0),-1))</f>
        <v>0</v>
      </c>
      <c r="BO126" s="45" t="n">
        <f aca="false">IF(N(Tasks[[#This Row],[_Pred4UID]])=0,0,IFERROR(MATCH(Tasks[[#This Row],[_Pred4UID]],Tasks[UID],0),-1))</f>
        <v>0</v>
      </c>
      <c r="BP12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2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26" s="74" t="n">
        <f aca="false">IF(OR(Tasks[[#This Row],[_ConstraintCode]]=2,Tasks[[#This Row],[_ConstraintCode]]=3,Tasks[[#This Row],[_ConstraintCode]]=4,Tasks[[#This Row],[_ConstraintCode]]=6),Tasks[[#This Row],[_ConstraintStart]],0)</f>
        <v>0</v>
      </c>
      <c r="BS126" s="74" t="n">
        <f aca="false">IF(OR(Tasks[[#This Row],[_ConstraintCode]]=2,Tasks[[#This Row],[_ConstraintCode]]=3,Tasks[[#This Row],[_ConstraintCode]]=5,Tasks[[#This Row],[_ConstraintCode]]=7),Tasks[[#This Row],[_ConstraintStart]],2958465)</f>
        <v>2958465</v>
      </c>
      <c r="BT12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26" s="74" t="str">
        <f aca="false">IF(NOT(Tasks[[#This Row],[_IsLeaf]]=1),"",IF(N(Tasks[[#This Row],[Duration]])&lt;=0,Tasks[[#This Row],[_LeafCalcStart]],WORKDAY.INTL(Tasks[[#This Row],[_LeafCalcStart]],Tasks[[#This Row],[Duration]]-1,WorkWeek,Holidays)))</f>
        <v/>
      </c>
      <c r="BV12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2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26" s="45" t="str">
        <f aca="false">IF(Tasks[[#This Row],[Predecessors]]="","",TRIM(MID(SUBSTITUTE(SUBSTITUTE(SUBSTITUTE(UPPER(Tasks[[#This Row],[Predecessors]]),";",",")," ",""),",",REPT(" ",99)),1,99)))</f>
        <v/>
      </c>
      <c r="BY126" s="45" t="str">
        <f aca="false">IF(Tasks[[#This Row],[_Pred1Text]]="","",IFERROR(VALUE(LEFT(Tasks[[#This Row],[_Pred1Text]],MIN(FIND("F",Tasks[[#This Row],[_Pred1Text]]&amp;"F"),FIND("S",Tasks[[#This Row],[_Pred1Text]]&amp;"S"),FIND("+",Tasks[[#This Row],[_Pred1Text]]&amp;"+"),FIND("-",Tasks[[#This Row],[_Pred1Text]]&amp;"-"))-1)),""))</f>
        <v/>
      </c>
      <c r="BZ12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2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26" s="45" t="str">
        <f aca="false">IF(Tasks[[#This Row],[_Pred1Text]]="","",TRIM(MID(SUBSTITUTE(SUBSTITUTE(SUBSTITUTE(UPPER(Tasks[[#This Row],[Predecessors]]),";",",")," ",""),",",REPT(" ",99)),100,99)))</f>
        <v/>
      </c>
      <c r="CC126" s="45" t="str">
        <f aca="false">IF(Tasks[[#This Row],[_Pred2Text]]="","",IFERROR(VALUE(LEFT(Tasks[[#This Row],[_Pred2Text]],MIN(FIND("F",Tasks[[#This Row],[_Pred2Text]]&amp;"F"),FIND("S",Tasks[[#This Row],[_Pred2Text]]&amp;"S"),FIND("+",Tasks[[#This Row],[_Pred2Text]]&amp;"+"),FIND("-",Tasks[[#This Row],[_Pred2Text]]&amp;"-"))-1)),""))</f>
        <v/>
      </c>
      <c r="CD12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2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26" s="45" t="str">
        <f aca="false">IF(Tasks[[#This Row],[_Pred2Text]]="","",TRIM(MID(SUBSTITUTE(SUBSTITUTE(SUBSTITUTE(UPPER(Tasks[[#This Row],[Predecessors]]),";",",")," ",""),",",REPT(" ",99)),199,99)))</f>
        <v/>
      </c>
      <c r="CG126" s="45" t="str">
        <f aca="false">IF(Tasks[[#This Row],[_Pred3Text]]="","",IFERROR(VALUE(LEFT(Tasks[[#This Row],[_Pred3Text]],MIN(FIND("F",Tasks[[#This Row],[_Pred3Text]]&amp;"F"),FIND("S",Tasks[[#This Row],[_Pred3Text]]&amp;"S"),FIND("+",Tasks[[#This Row],[_Pred3Text]]&amp;"+"),FIND("-",Tasks[[#This Row],[_Pred3Text]]&amp;"-"))-1)),""))</f>
        <v/>
      </c>
      <c r="CH12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2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26" s="45" t="str">
        <f aca="false">IF(Tasks[[#This Row],[_Pred3Text]]="","",TRIM(MID(SUBSTITUTE(SUBSTITUTE(SUBSTITUTE(UPPER(Tasks[[#This Row],[Predecessors]]),";",",")," ",""),",",REPT(" ",99)),298,99)))</f>
        <v/>
      </c>
      <c r="CK126" s="45" t="str">
        <f aca="false">IF(Tasks[[#This Row],[_Pred4Text]]="","",IFERROR(VALUE(LEFT(Tasks[[#This Row],[_Pred4Text]],MIN(FIND("F",Tasks[[#This Row],[_Pred4Text]]&amp;"F"),FIND("S",Tasks[[#This Row],[_Pred4Text]]&amp;"S"),FIND("+",Tasks[[#This Row],[_Pred4Text]]&amp;"+"),FIND("-",Tasks[[#This Row],[_Pred4Text]]&amp;"-"))-1)),""))</f>
        <v/>
      </c>
      <c r="CL12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2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26" s="45" t="str">
        <f aca="false">IF(OR(Tasks[[#This Row],[Task Name]]="",Tasks[[#This Row],[Resources]]=""),"",TRIM(MID(SUBSTITUTE(Tasks[[#This Row],[Resources]],",",REPT(" ",99)),1,99)))</f>
        <v/>
      </c>
      <c r="CO126" s="45" t="str">
        <f aca="false">IF(Tasks[[#This Row],[_Res1Text]]="","",TRIM(MID(SUBSTITUTE(Tasks[[#This Row],[Resources]],",",REPT(" ",99)),100,99)))</f>
        <v/>
      </c>
      <c r="CP126" s="45" t="str">
        <f aca="false">IF(Tasks[[#This Row],[_Res2Text]]="","",TRIM(MID(SUBSTITUTE(Tasks[[#This Row],[Resources]],",",REPT(" ",99)),199,99)))</f>
        <v/>
      </c>
      <c r="CQ126" s="45" t="str">
        <f aca="false">IF(Tasks[[#This Row],[_Res3Text]]="","",TRIM(MID(SUBSTITUTE(Tasks[[#This Row],[Resources]],",",REPT(" ",99)),298,99)))</f>
        <v/>
      </c>
      <c r="CR12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2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6" s="45" t="n">
        <f aca="false">IF(NOT(Tasks[[#This Row],[_IsLeaf]]=1),0,(Tasks[[#This Row],[_Resource1]]&lt;&gt;"")+(Tasks[[#This Row],[_Res2]]&lt;&gt;"")+(Tasks[[#This Row],[_Res3]]&lt;&gt;"")+(Tasks[[#This Row],[_Res4]]&lt;&gt;""))</f>
        <v>0</v>
      </c>
      <c r="CU12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2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6" s="45" t="n">
        <f aca="false">IF(OR(NOT(Tasks[[#This Row],[_IsLeaf]]=1),Tasks[[#This Row],[_Res2]]=""),0,IF(ISNA(MATCH(Tasks[[#This Row],[_Res2]],res_Name,0)),0,N(Tasks[[#This Row],[Duration]])*HoursPerDay*IF(Tasks[[#This Row],[_Res2Units]]="",DefaultUnits,Tasks[[#This Row],[_Res2Units]])))</f>
        <v>0</v>
      </c>
      <c r="CX126" s="45" t="n">
        <f aca="false">IF(Tasks[[#This Row],[_Res2Work]]=0,0,Tasks[[#This Row],[_Res2Work]]*IFERROR(INDEX(res_Rate,MATCH(Tasks[[#This Row],[_Res2]],res_Name,0)),0))</f>
        <v>0</v>
      </c>
      <c r="CY126" s="45" t="n">
        <f aca="false">IF(AND(AND(Tasks[[#This Row],[_IsLeaf]]=1,Tasks[[#This Row],[_LeafTotalWork]]&gt;0),Tasks[[#This Row],[_Res2Work]]&gt;0),Tasks[[#This Row],[_Res2Work]]/(Tasks[[#This Row],[_FinishWorkday]]-Tasks[[#This Row],[_StartWorkday]]+1),0)</f>
        <v>0</v>
      </c>
      <c r="CZ126" s="45" t="n">
        <f aca="false">Tasks[[#This Row],[_Res2WorkPerWD]]*MAX(0,Tasks[[#This Row],[_StartWorkday]]-1)</f>
        <v>0</v>
      </c>
      <c r="DA126" s="45" t="n">
        <f aca="false">Tasks[[#This Row],[_Res2Work]]*Tasks[[#This Row],[_LeafProgress]]</f>
        <v>0</v>
      </c>
      <c r="DB126" s="45" t="n">
        <f aca="false">IF(Tasks[[#This Row],[_LeafTotalCost]]=0,0,Tasks[[#This Row],[_LeafAC]]*Tasks[[#This Row],[_Res2Cost]]/Tasks[[#This Row],[_LeafTotalCost]])</f>
        <v>0</v>
      </c>
      <c r="DC12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2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26" s="45" t="n">
        <f aca="false">IF(OR(NOT(Tasks[[#This Row],[_IsLeaf]]=1),Tasks[[#This Row],[_Res3]]=""),0,IF(ISNA(MATCH(Tasks[[#This Row],[_Res3]],res_Name,0)),0,N(Tasks[[#This Row],[Duration]])*HoursPerDay*IF(Tasks[[#This Row],[_Res3Units]]="",DefaultUnits,Tasks[[#This Row],[_Res3Units]])))</f>
        <v>0</v>
      </c>
      <c r="DF126" s="45" t="n">
        <f aca="false">IF(Tasks[[#This Row],[_Res3Work]]=0,0,Tasks[[#This Row],[_Res3Work]]*IFERROR(INDEX(res_Rate,MATCH(Tasks[[#This Row],[_Res3]],res_Name,0)),0))</f>
        <v>0</v>
      </c>
      <c r="DG126" s="45" t="n">
        <f aca="false">IF(AND(AND(Tasks[[#This Row],[_IsLeaf]]=1,Tasks[[#This Row],[_LeafTotalWork]]&gt;0),Tasks[[#This Row],[_Res3Work]]&gt;0),Tasks[[#This Row],[_Res3Work]]/(Tasks[[#This Row],[_FinishWorkday]]-Tasks[[#This Row],[_StartWorkday]]+1),0)</f>
        <v>0</v>
      </c>
      <c r="DH126" s="45" t="n">
        <f aca="false">Tasks[[#This Row],[_Res3WorkPerWD]]*MAX(0,Tasks[[#This Row],[_StartWorkday]]-1)</f>
        <v>0</v>
      </c>
      <c r="DI126" s="45" t="n">
        <f aca="false">Tasks[[#This Row],[_Res3Work]]*Tasks[[#This Row],[_LeafProgress]]</f>
        <v>0</v>
      </c>
      <c r="DJ126" s="45" t="n">
        <f aca="false">IF(Tasks[[#This Row],[_LeafTotalCost]]=0,0,Tasks[[#This Row],[_LeafAC]]*Tasks[[#This Row],[_Res3Cost]]/Tasks[[#This Row],[_LeafTotalCost]])</f>
        <v>0</v>
      </c>
      <c r="DK12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2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26" s="45" t="n">
        <f aca="false">IF(OR(NOT(Tasks[[#This Row],[_IsLeaf]]=1),Tasks[[#This Row],[_Res4]]=""),0,IF(ISNA(MATCH(Tasks[[#This Row],[_Res4]],res_Name,0)),0,N(Tasks[[#This Row],[Duration]])*HoursPerDay*IF(Tasks[[#This Row],[_Res4Units]]="",DefaultUnits,Tasks[[#This Row],[_Res4Units]])))</f>
        <v>0</v>
      </c>
      <c r="DN126" s="45" t="n">
        <f aca="false">IF(Tasks[[#This Row],[_Res4Work]]=0,0,Tasks[[#This Row],[_Res4Work]]*IFERROR(INDEX(res_Rate,MATCH(Tasks[[#This Row],[_Res4]],res_Name,0)),0))</f>
        <v>0</v>
      </c>
      <c r="DO126" s="45" t="n">
        <f aca="false">IF(AND(AND(Tasks[[#This Row],[_IsLeaf]]=1,Tasks[[#This Row],[_LeafTotalWork]]&gt;0),Tasks[[#This Row],[_Res4Work]]&gt;0),Tasks[[#This Row],[_Res4Work]]/(Tasks[[#This Row],[_FinishWorkday]]-Tasks[[#This Row],[_StartWorkday]]+1),0)</f>
        <v>0</v>
      </c>
      <c r="DP126" s="45" t="n">
        <f aca="false">Tasks[[#This Row],[_Res4WorkPerWD]]*MAX(0,Tasks[[#This Row],[_StartWorkday]]-1)</f>
        <v>0</v>
      </c>
      <c r="DQ126" s="45" t="n">
        <f aca="false">Tasks[[#This Row],[_Res4Work]]*Tasks[[#This Row],[_LeafProgress]]</f>
        <v>0</v>
      </c>
      <c r="DR126" s="45" t="n">
        <f aca="false">IF(Tasks[[#This Row],[_LeafTotalCost]]=0,0,Tasks[[#This Row],[_LeafAC]]*Tasks[[#This Row],[_Res4Cost]]/Tasks[[#This Row],[_LeafTotalCost]])</f>
        <v>0</v>
      </c>
      <c r="DS126" s="45" t="n">
        <f aca="false">IF(ISNUMBER(Tasks[[#This Row],[% Complete]]),Tasks[[#This Row],[% Complete]],IF(Tasks[[#This Row],[Stage]]="",0,IFERROR(INDEX(stg_Pct,MATCH(Tasks[[#This Row],[Stage]],stg_Name,0)),0)))</f>
        <v>0</v>
      </c>
      <c r="DT126" s="45" t="n">
        <f aca="false">IF(NOT(Tasks[[#This Row],[_IsLeaf]]=1),0,IF(N(Tasks[[#This Row],[Actual Finish]])&gt;0,1,MIN(1,Tasks[[#This Row],[_Pct]])))</f>
        <v>0</v>
      </c>
      <c r="DU126" s="45" t="n">
        <f aca="false">IF(OR(NOT(Tasks[[#This Row],[_IsLeaf]]=1),Tasks[[#This Row],[_Resource1]]=""),0,IF(ISNA(MATCH(Tasks[[#This Row],[_Resource1]],res_Name,0)),0,N(Tasks[[#This Row],[Duration]])*HoursPerDay*IF(Tasks[[#This Row],[_Units1]]="",DefaultUnits,Tasks[[#This Row],[_Units1]])))</f>
        <v>0</v>
      </c>
      <c r="DV126" s="45" t="n">
        <f aca="false">IF(Tasks[[#This Row],[_LeafWork]]=0,0,Tasks[[#This Row],[_LeafWork]]*IFERROR(INDEX(res_Rate,MATCH(Tasks[[#This Row],[_Resource1]],res_Name,0)),0))</f>
        <v>0</v>
      </c>
      <c r="DW126" s="45" t="n">
        <f aca="false">Tasks[[#This Row],[_LeafWork]]+Tasks[[#This Row],[_Res2Work]]+Tasks[[#This Row],[_Res3Work]]+Tasks[[#This Row],[_Res4Work]]</f>
        <v>0</v>
      </c>
      <c r="DX126" s="45" t="n">
        <f aca="false">Tasks[[#This Row],[_LeafCost]]+Tasks[[#This Row],[_Res2Cost]]+Tasks[[#This Row],[_Res3Cost]]+Tasks[[#This Row],[_Res4Cost]]</f>
        <v>0</v>
      </c>
      <c r="DY126" s="45" t="n">
        <f aca="false">IF(Tasks[[#This Row],[_LeafTotalCost]]=0,Tasks[[#This Row],[_LeafAC]],Tasks[[#This Row],[_LeafAC]]*Tasks[[#This Row],[_LeafCost]]/Tasks[[#This Row],[_LeafTotalCost]])</f>
        <v>0</v>
      </c>
      <c r="DZ12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2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2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2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2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2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2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2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26" s="45" t="n">
        <f aca="false">IF(NOT(Tasks[[#This Row],[_IsLeaf]]=1),0,MAX(_xlfn.MAXIFS(Tasks[_Row],Tasks[_Pred1UID],Tasks[[#This Row],[UID]]),_xlfn.MAXIFS(Tasks[_Row],Tasks[_Pred2UID],Tasks[[#This Row],[UID]]),_xlfn.MAXIFS(Tasks[_Row],Tasks[_Pred3UID],Tasks[[#This Row],[UID]]),_xlfn.MAXIFS(Tasks[_Row],Tasks[_Pred4UID],Tasks[[#This Row],[UID]])))</f>
        <v>0</v>
      </c>
      <c r="EI12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2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26" s="74" t="str">
        <f aca="false">IF(NOT(Tasks[[#This Row],[_IsLeaf]]=1),"",IF(N(Tasks[[#This Row],[Duration]])&lt;=0,Tasks[[#This Row],[_LeafLateFinish]],WORKDAY.INTL(Tasks[[#This Row],[_LeafLateFinish]],-(Tasks[[#This Row],[Duration]]-1),WorkWeek,Holidays)))</f>
        <v/>
      </c>
      <c r="EL12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26" s="73" t="b">
        <f aca="false">AND(Tasks[[#This Row],[_IsLeaf]]=1,Tasks[[#This Row],[_LeafProgress]]&lt;1,N(Tasks[[#This Row],[_LeafTotalSlack]])&lt;=CriticalSlackDays)</f>
        <v>0</v>
      </c>
      <c r="EN126" s="45" t="n">
        <f aca="false">IF(AND(Tasks[[#This Row],[_IsLeaf]]=1,Tasks[[#This Row],[_ConstraintCode]]=1,Tasks[[#This Row],[Mode]]&lt;&gt;"Manual",N(Tasks[[#This Row],[Actual Start]])=0),MAX(0,N(Tasks[[#This Row],[Free Slack]])),0)</f>
        <v>0</v>
      </c>
      <c r="EO126" s="74" t="str">
        <f aca="false">IF(NOT(Tasks[[#This Row],[_IsLeaf]]=1),"",IF(Tasks[[#This Row],[_AlapShift]]=0,Tasks[[#This Row],[_LeafCalcStart]],WORKDAY.INTL(Tasks[[#This Row],[_LeafCalcStart]],Tasks[[#This Row],[_AlapShift]],WorkWeek,Holidays)))</f>
        <v/>
      </c>
      <c r="EP126" s="74" t="str">
        <f aca="false">IF(NOT(Tasks[[#This Row],[_IsLeaf]]=1),"",IF(Tasks[[#This Row],[_AlapShift]]=0,Tasks[[#This Row],[_LeafCalcFinish]],WORKDAY.INTL(Tasks[[#This Row],[_LeafCalcFinish]],Tasks[[#This Row],[_AlapShift]],WorkWeek,Holidays)))</f>
        <v/>
      </c>
      <c r="EQ126" s="74" t="str">
        <f aca="false">IF(NOT(Tasks[[#This Row],[_IsLeaf]]=1),"",IF(Tasks[[#This Row],[_AlapShift]]=0,Tasks[[#This Row],[_LeafFcstStart]],WORKDAY.INTL(Tasks[[#This Row],[_LeafFcstStart]],Tasks[[#This Row],[_AlapShift]],WorkWeek,Holidays)))</f>
        <v/>
      </c>
      <c r="ER126" s="74" t="str">
        <f aca="false">IF(NOT(Tasks[[#This Row],[_IsLeaf]]=1),"",IF(Tasks[[#This Row],[_AlapShift]]=0,Tasks[[#This Row],[_LeafFcstFinish]],WORKDAY.INTL(Tasks[[#This Row],[_LeafFcstFinish]],Tasks[[#This Row],[_AlapShift]],WorkWeek,Holidays)))</f>
        <v/>
      </c>
      <c r="ES126" s="74" t="str">
        <f aca="false">IF(Tasks[[#This Row],[Task Name]]="","",IF(Tasks[[#This Row],[_IsSummary]],MIN(INDEX(Tasks[_ShownCalcStart],Tasks[[#This Row],[_Row]]+1):INDEX(Tasks[_ShownCalcStart],Tasks[[#This Row],[_Row]]+Tasks[[#This Row],[_Descendants]])),Tasks[[#This Row],[_ShownCalcStart]]))</f>
        <v/>
      </c>
      <c r="ET126" s="74" t="str">
        <f aca="false">IF(Tasks[[#This Row],[Task Name]]="","",IF(Tasks[[#This Row],[_IsSummary]],MAX(INDEX(Tasks[_ShownCalcFinish],Tasks[[#This Row],[_Row]]+1):INDEX(Tasks[_ShownCalcFinish],Tasks[[#This Row],[_Row]]+Tasks[[#This Row],[_Descendants]])),Tasks[[#This Row],[_ShownCalcFinish]]))</f>
        <v/>
      </c>
      <c r="EU12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2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2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2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2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2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2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2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2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2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2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2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26" s="45" t="n">
        <f aca="false">IF(AND(Tasks[[#This Row],[_IsLeaf]]=1,Tasks[[#This Row],[_LeafTotalWork]]&gt;0),NETWORKDAYS.INTL(ProjectStart,Tasks[[#This Row],[_ShownFcstStart]],WorkWeek,Holidays),0)</f>
        <v>0</v>
      </c>
      <c r="FH126" s="45" t="n">
        <f aca="false">IF(AND(Tasks[[#This Row],[_IsLeaf]]=1,Tasks[[#This Row],[_LeafTotalWork]]&gt;0),MAX(Tasks[[#This Row],[_StartWorkday]],NETWORKDAYS.INTL(ProjectStart,Tasks[[#This Row],[_ShownFcstFinish]],WorkWeek,Holidays)),0)</f>
        <v>0</v>
      </c>
      <c r="FI126" s="45" t="n">
        <f aca="false">IF(AND(Tasks[[#This Row],[_IsLeaf]]=1,Tasks[[#This Row],[_LeafTotalWork]]&gt;0),Tasks[[#This Row],[_LeafWork]]/(Tasks[[#This Row],[_FinishWorkday]]-Tasks[[#This Row],[_StartWorkday]]+1),0)</f>
        <v>0</v>
      </c>
      <c r="FJ126" s="45" t="n">
        <f aca="false">Tasks[[#This Row],[_WorkPerWorkday]]*(Tasks[[#This Row],[_StartWorkday]]-1)</f>
        <v>-0</v>
      </c>
      <c r="FK126" s="45" t="n">
        <f aca="false">IF(Tasks[[#This Row],[_IsLeaf]]=1,MAX(N(Tasks[[#This Row],[Duration]]),0.1),0)</f>
        <v>0</v>
      </c>
      <c r="FL126" s="45" t="n">
        <f aca="false">Tasks[[#This Row],[_WeightDur]]*Tasks[[#This Row],[_LeafProgress]]</f>
        <v>0</v>
      </c>
      <c r="FM12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26" s="45" t="str">
        <f aca="false">IF(AND(Tasks[[#This Row],[_IsLeaf]]=1,N(Tasks[[#This Row],[Duration]])=0,Tasks[[#This Row],[_LeafProgress]]&lt;1),Tasks[[#This Row],[_ShownFcstFinish]]+Tasks[[#This Row],[_Row]]/100000,"")</f>
        <v/>
      </c>
      <c r="FO12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26" s="45" t="n">
        <f aca="false">IF(NOT(Tasks[[#This Row],[_IsLeaf]]=1),0,IF(Tasks[[#This Row],[Baseline Cost]]="",Tasks[[#This Row],[_LeafTotalCost]],N(Tasks[[#This Row],[Baseline Cost]])))</f>
        <v>0</v>
      </c>
      <c r="FQ126" s="45" t="n">
        <f aca="false">Tasks[[#This Row],[_LeafBudget]]*Tasks[[#This Row],[_PlannedPct]]</f>
        <v>0</v>
      </c>
      <c r="FR126" s="45" t="n">
        <f aca="false">Tasks[[#This Row],[_LeafBudget]]*Tasks[[#This Row],[_LeafProgress]]</f>
        <v>0</v>
      </c>
      <c r="FS126" s="45" t="n">
        <f aca="false">IF(NOT(Tasks[[#This Row],[_IsLeaf]]=1),0,IF(Tasks[[#This Row],[Actual Cost]]="",Tasks[[#This Row],[_LeafTotalCost]]*Tasks[[#This Row],[_LeafProgress]],N(Tasks[[#This Row],[Actual Cost]])))</f>
        <v>0</v>
      </c>
      <c r="FT126" s="45" t="str">
        <f aca="false">IF(Tasks[[#This Row],[Task Name]]="","",LEFT(Tasks[[#This Row],[WBS]],FIND(".",Tasks[[#This Row],[WBS]]&amp;".")-1))</f>
        <v/>
      </c>
      <c r="FU126" s="45" t="str">
        <f aca="false">IF(AND(Tasks[[#This Row],[Task Name]]&lt;&gt;"",Tasks[[#This Row],[_Level]]=1),Tasks[[#This Row],[_Row]],"")</f>
        <v/>
      </c>
      <c r="FV126" s="45" t="str">
        <f aca="false">IF(AND(Tasks[[#This Row],[_IsLeaf]]=1,N(Tasks[[#This Row],[Duration]])=0),Tasks[[#This Row],[Planned Finish]]+Tasks[[#This Row],[_Row]]/100000,"")</f>
        <v/>
      </c>
      <c r="FW126" s="45" t="str">
        <f aca="false">IF(AND(Tasks[[#This Row],[_IsLeaf]]=1,Tasks[[#This Row],[_LeafProgress]]&lt;1,OR(N(Tasks[[#This Row],[Finish Var]])&gt;0,Tasks[[#This Row],[Status]]="Late Start")),MAX(0,Tasks[[#This Row],[Finish Var]])+1-Tasks[[#This Row],[_Row]]/1000000,"")</f>
        <v/>
      </c>
      <c r="FX126" s="45" t="str">
        <f aca="false">IF(AND(Tasks[[#This Row],[_IsLeaf]]=1,N(Tasks[[#This Row],[Actual Start]])=0,Tasks[[#This Row],[_ShownFcstStart]]&gt;=StatusDate,Tasks[[#This Row],[_ShownFcstStart]]&lt;=LookaheadEnd),Tasks[[#This Row],[_ShownFcstStart]]+Tasks[[#This Row],[_Row]]/100000,"")</f>
        <v/>
      </c>
      <c r="FY126" s="45" t="str">
        <f aca="false">IF(AND(Tasks[[#This Row],[_IsLeaf]]=1,Tasks[[#This Row],[_LeafProgress]]&lt;1,Tasks[[#This Row],[_ShownFcstFinish]]&gt;=StatusDate,Tasks[[#This Row],[_ShownFcstFinish]]&lt;=LookaheadEnd),Tasks[[#This Row],[_ShownFcstFinish]]+Tasks[[#This Row],[_Row]]/100000,"")</f>
        <v/>
      </c>
      <c r="FZ126" s="45" t="str">
        <f aca="false">IF(Tasks[[#This Row],[_LeafCritical]],Tasks[[#This Row],[_ShownFcstStart]]+Tasks[[#This Row],[_Row]]/100000,"")</f>
        <v/>
      </c>
      <c r="GA126" s="45" t="n">
        <f aca="false">Tasks[[#This Row],[_LeafWork]]*Tasks[[#This Row],[_LeafProgress]]</f>
        <v>0</v>
      </c>
      <c r="GB126" s="74" t="str">
        <f aca="false">IF(AND(Tasks[[#This Row],[_IsLeaf]]=1,Tasks[[#This Row],[_LeafProgress]]&gt;=1),IF(N(Tasks[[#This Row],[Actual Finish]])&gt;0,Tasks[[#This Row],[Actual Finish]],Tasks[[#This Row],[_ShownFcstFinish]]),"")</f>
        <v/>
      </c>
    </row>
    <row r="127" customFormat="false" ht="15" hidden="false" customHeight="false" outlineLevel="0" collapsed="false">
      <c r="A127" s="67" t="str">
        <f aca="false">IF(Tasks[[#This Row],[Task Name]]="","",COUNTA(Tasks[[#Headers],[Task Name]]:Tasks[[#This Row],[Task Name]])-1)</f>
        <v/>
      </c>
      <c r="B127" s="21" t="n">
        <v>122</v>
      </c>
      <c r="C12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21"/>
      <c r="E127" s="22"/>
      <c r="F127" s="21"/>
      <c r="G127" s="22"/>
      <c r="H127" s="22"/>
      <c r="I127" s="22"/>
      <c r="J127" s="7"/>
      <c r="K127" s="7"/>
      <c r="L127" s="22"/>
      <c r="M127" s="58" t="str">
        <f aca="false">IF(Tasks[[#This Row],[Task Name]]="","",IF(Tasks[[#This Row],[_IsSummary]],MIN(INDEX(Tasks[_ShownFcstStart],Tasks[[#This Row],[_Row]]+1):INDEX(Tasks[_ShownFcstStart],Tasks[[#This Row],[_Row]]+Tasks[[#This Row],[_Descendants]])),Tasks[[#This Row],[_ShownFcstStart]]))</f>
        <v/>
      </c>
      <c r="N127" s="58" t="str">
        <f aca="false">IF(Tasks[[#This Row],[Task Name]]="","",IF(Tasks[[#This Row],[_IsSummary]],MAX(INDEX(Tasks[_ShownFcstFinish],Tasks[[#This Row],[_Row]]+1):INDEX(Tasks[_ShownFcstFinish],Tasks[[#This Row],[_Row]]+Tasks[[#This Row],[_Descendants]])),Tasks[[#This Row],[_ShownFcstFinish]]))</f>
        <v/>
      </c>
      <c r="O127" s="20" t="str">
        <f aca="false">IF(Tasks[[#This Row],[Task Name]]="","",IF(Tasks[[#This Row],[Progress]]&gt;=1,"Complete",IF(OR(N(Tasks[[#This Row],[Actual Start]])&gt;0,Tasks[[#This Row],[Progress]]&gt;0),IF(Tasks[[#This Row],[Finish Var]]&gt;0,"Behind","In Progress"),IF(Tasks[[#This Row],[Planned Start]]&lt;StatusDate,"Late Start","Not Started"))))</f>
        <v/>
      </c>
      <c r="P127" s="20" t="str">
        <f aca="false">IF(Tasks[[#This Row],[Task Name]]="","",IF(IF(Tasks[[#This Row],[_IsSummary]],COUNTIF(INDEX(Tasks[_LeafCritical],Tasks[[#This Row],[_Row]]+1):INDEX(Tasks[_LeafCritical],Tasks[[#This Row],[_Row]]+Tasks[[#This Row],[_Descendants]]),TRUE())&gt;0,Tasks[[#This Row],[_LeafCritical]]),"Yes",""))</f>
        <v/>
      </c>
      <c r="Q12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27" s="67" t="str">
        <f aca="false">IF(Tasks[[#This Row],[Task Name]]="","",IF(Tasks[[#This Row],[_Level]]&lt;=OutlineShowLevel,"Yes","No"))</f>
        <v/>
      </c>
      <c r="S127" s="7"/>
      <c r="T127" s="21"/>
      <c r="U127" s="22"/>
      <c r="V127" s="7"/>
      <c r="W127" s="67" t="str">
        <f aca="false">IF(Tasks[[#This Row],[Task Name]]="","",IF(Tasks[[#This Row],[Finish]]&gt;=Tasks[[#This Row],[Planned Finish]],NETWORKDAYS.INTL(Tasks[[#This Row],[Planned Finish]],Tasks[[#This Row],[Finish]],WorkWeek,Holidays)-1,1-NETWORKDAYS.INTL(Tasks[[#This Row],[Finish]],Tasks[[#This Row],[Planned Finish]],WorkWeek,Holidays)))</f>
        <v/>
      </c>
      <c r="X127" s="58" t="str">
        <f aca="false">IF(Tasks[[#This Row],[Task Name]]="","",IF(N(Tasks[[#This Row],[Baseline Start]])&gt;0,Tasks[[#This Row],[Baseline Start]],Tasks[[#This Row],[_CalcStart]]))</f>
        <v/>
      </c>
      <c r="Y127" s="58" t="str">
        <f aca="false">IF(Tasks[[#This Row],[Task Name]]="","",IF(N(Tasks[[#This Row],[Baseline Finish]])&gt;0,Tasks[[#This Row],[Baseline Finish]],Tasks[[#This Row],[_CalcFinish]]))</f>
        <v/>
      </c>
      <c r="Z127" s="67" t="str">
        <f aca="false">IF(Tasks[[#This Row],[Task Name]]="","",IF(Tasks[[#This Row],[Start]]&gt;=Tasks[[#This Row],[Planned Start]],NETWORKDAYS.INTL(Tasks[[#This Row],[Planned Start]],Tasks[[#This Row],[Start]],WorkWeek,Holidays)-1,1-NETWORKDAYS.INTL(Tasks[[#This Row],[Start]],Tasks[[#This Row],[Planned Start]],WorkWeek,Holidays)))</f>
        <v/>
      </c>
      <c r="AA127" s="58" t="str">
        <f aca="false">IF(Tasks[[#This Row],[Task Name]]="","",IF(Tasks[[#This Row],[_IsSummary]],MIN(INDEX(Tasks[_LeafLateStart],Tasks[[#This Row],[_Row]]+1):INDEX(Tasks[_LeafLateStart],Tasks[[#This Row],[_Row]]+Tasks[[#This Row],[_Descendants]])),Tasks[[#This Row],[_LeafLateStart]]))</f>
        <v/>
      </c>
      <c r="AB127" s="58" t="str">
        <f aca="false">IF(Tasks[[#This Row],[Task Name]]="","",IF(Tasks[[#This Row],[_IsSummary]],MAX(INDEX(Tasks[_LeafLateFinish],Tasks[[#This Row],[_Row]]+1):INDEX(Tasks[_LeafLateFinish],Tasks[[#This Row],[_Row]]+Tasks[[#This Row],[_Descendants]])),Tasks[[#This Row],[_LeafLateFinish]]))</f>
        <v/>
      </c>
      <c r="AC127" s="67" t="str">
        <f aca="false">IF(Tasks[[#This Row],[Task Name]]="","",IF(Tasks[[#This Row],[_IsSummary]],MIN(INDEX(Tasks[_LeafTotalSlack],Tasks[[#This Row],[_Row]]+1):INDEX(Tasks[_LeafTotalSlack],Tasks[[#This Row],[_Row]]+Tasks[[#This Row],[_Descendants]])),Tasks[[#This Row],[_LeafTotalSlack]]))</f>
        <v/>
      </c>
      <c r="AD12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2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2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27" s="60"/>
      <c r="AH12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2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27" s="69" t="str">
        <f aca="false">IF(Tasks[[#This Row],[Task Name]]="","",IF(Tasks[[#This Row],[_IsSummary]],SUM(INDEX(Tasks[_LeafTotalWork],Tasks[[#This Row],[_Row]]+1):INDEX(Tasks[_LeafTotalWork],Tasks[[#This Row],[_Row]]+Tasks[[#This Row],[_Descendants]])),Tasks[[#This Row],[_LeafTotalWork]]))</f>
        <v/>
      </c>
      <c r="AK12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27" s="70" t="str">
        <f aca="false">IF(Tasks[[#This Row],[Task Name]]="","",IF(Tasks[[#This Row],[_IsSummary]],SUM(INDEX(Tasks[_LeafTotalCost],Tasks[[#This Row],[_Row]]+1):INDEX(Tasks[_LeafTotalCost],Tasks[[#This Row],[_Row]]+Tasks[[#This Row],[_Descendants]])),Tasks[[#This Row],[_LeafTotalCost]]))</f>
        <v/>
      </c>
      <c r="AM127" s="71"/>
      <c r="AN127" s="20" t="str">
        <f aca="false">IF(OR(Tasks[[#This Row],[Task Name]]="",Tasks[[#This Row],[Baseline Duration]]=""),"",Tasks[[#This Row],[BL Source Duration]]-N(Tasks[[#This Row],[Baseline Duration]]))</f>
        <v/>
      </c>
      <c r="AO127" s="69" t="str">
        <f aca="false">IF(OR(Tasks[[#This Row],[Task Name]]="",Tasks[[#This Row],[Baseline Work]]=""),"",Tasks[[#This Row],[Work]]-N(Tasks[[#This Row],[Baseline Work]]))</f>
        <v/>
      </c>
      <c r="AP127" s="70" t="str">
        <f aca="false">IF(OR(Tasks[[#This Row],[Task Name]]="",Tasks[[#This Row],[Baseline Cost]]=""),"",Tasks[[#This Row],[Cost]]-N(Tasks[[#This Row],[Baseline Cost]]))</f>
        <v/>
      </c>
      <c r="AQ127" s="58" t="str">
        <f aca="false">IF(Tasks[[#This Row],[Task Name]]="","",Tasks[[#This Row],[Start]])</f>
        <v/>
      </c>
      <c r="AR127" s="58" t="str">
        <f aca="false">IF(Tasks[[#This Row],[Task Name]]="","",Tasks[[#This Row],[Finish]])</f>
        <v/>
      </c>
      <c r="AS127" s="67" t="str">
        <f aca="false">IF(Tasks[[#This Row],[Task Name]]="","",IF(Tasks[[#This Row],[_IsSummary]],NETWORKDAYS.INTL(Tasks[[#This Row],[Start]],Tasks[[#This Row],[Finish]],WorkWeek,Holidays),N(Tasks[[#This Row],[Duration]])))</f>
        <v/>
      </c>
      <c r="AT127" s="69" t="str">
        <f aca="false">IF(Tasks[[#This Row],[Task Name]]="","",Tasks[[#This Row],[Work]])</f>
        <v/>
      </c>
      <c r="AU127" s="70" t="str">
        <f aca="false">IF(Tasks[[#This Row],[Task Name]]="","",Tasks[[#This Row],[Cost]])</f>
        <v/>
      </c>
      <c r="AV127" s="7"/>
      <c r="AW127" s="7"/>
      <c r="AX127" s="21"/>
      <c r="AY127" s="72"/>
      <c r="AZ127" s="71"/>
      <c r="BA127" s="70" t="str">
        <f aca="false">IF(Tasks[[#This Row],[Task Name]]="","",IF(Tasks[[#This Row],[_IsSummary]],SUM(INDEX(Tasks[_LeafEV],Tasks[[#This Row],[_Row]]+1):INDEX(Tasks[_LeafEV],Tasks[[#This Row],[_Row]]+Tasks[[#This Row],[_Descendants]])),Tasks[[#This Row],[_LeafEV]]))</f>
        <v/>
      </c>
      <c r="BB127" s="70" t="str">
        <f aca="false">IF(Tasks[[#This Row],[Task Name]]="","",IF(Tasks[[#This Row],[_IsSummary]],SUM(INDEX(Tasks[_LeafBudget],Tasks[[#This Row],[_Row]]+1):INDEX(Tasks[_LeafBudget],Tasks[[#This Row],[_Row]]+Tasks[[#This Row],[_Descendants]])),Tasks[[#This Row],[_LeafBudget]]))</f>
        <v/>
      </c>
      <c r="BC127" s="70" t="str">
        <f aca="false">IF(Tasks[[#This Row],[Task Name]]="","",IF(Tasks[[#This Row],[_IsSummary]],SUM(INDEX(Tasks[_LeafPV],Tasks[[#This Row],[_Row]]+1):INDEX(Tasks[_LeafPV],Tasks[[#This Row],[_Row]]+Tasks[[#This Row],[_Descendants]])),Tasks[[#This Row],[_LeafPV]]))</f>
        <v/>
      </c>
      <c r="BD127" s="70" t="str">
        <f aca="false">IF(Tasks[[#This Row],[Task Name]]="","",IF(Tasks[[#This Row],[_IsSummary]],SUM(INDEX(Tasks[_LeafAC],Tasks[[#This Row],[_Row]]+1):INDEX(Tasks[_LeafAC],Tasks[[#This Row],[_Row]]+Tasks[[#This Row],[_Descendants]])),Tasks[[#This Row],[_LeafAC]]))</f>
        <v/>
      </c>
      <c r="BE127" s="45" t="str">
        <f aca="false">IF(Tasks[[#This Row],[Task Name]]="","",MAX(1,N(Tasks[[#This Row],[Level]])))</f>
        <v/>
      </c>
      <c r="BF127" s="45" t="n">
        <f aca="false">ROW()-ROW(Tasks[[#Headers],[ID]])</f>
        <v>122</v>
      </c>
      <c r="BG127" s="45" t="n">
        <f aca="false">IF(OR(Tasks[[#This Row],[Task Name]]="",Tasks[[#This Row],[_Level]]&lt;=1),0,IFERROR(LOOKUP(2,1/(Tasks[[#Headers],[_Level]]:Tasks[[#This Row],[_Level]]=Tasks[[#This Row],[_Level]]-1),ROW(Tasks[[#Headers],[_Level]]:Tasks[[#This Row],[_Level]])),0))</f>
        <v>0</v>
      </c>
      <c r="BH127" s="45" t="n">
        <f aca="false">IFERROR(N(INDEX(Tasks[_Level],Tasks[[#This Row],[_Row]]+1)),0)</f>
        <v>0</v>
      </c>
      <c r="BI127" s="73" t="b">
        <f aca="false">AND(Tasks[[#This Row],[Task Name]]&lt;&gt;"",Tasks[[#This Row],[_NextLevel]]&gt;Tasks[[#This Row],[_Level]])</f>
        <v>0</v>
      </c>
      <c r="BJ127" s="45" t="n">
        <f aca="false">IF(Tasks[[#This Row],[_IsSummary]],COUNTIF(Tasks[WBS],Tasks[[#This Row],[WBS]]&amp;".*"),0)</f>
        <v>0</v>
      </c>
      <c r="BK127" s="45" t="n">
        <f aca="false">IF(AND(Tasks[[#This Row],[Task Name]]&lt;&gt;"",NOT(Tasks[[#This Row],[_IsSummary]])),1,0)</f>
        <v>0</v>
      </c>
      <c r="BL127" s="45" t="n">
        <f aca="false">IF(N(Tasks[[#This Row],[_Pred1UID]])=0,0,IFERROR(MATCH(Tasks[[#This Row],[_Pred1UID]],Tasks[UID],0),-1))</f>
        <v>0</v>
      </c>
      <c r="BM127" s="45" t="n">
        <f aca="false">IF(N(Tasks[[#This Row],[_Pred2UID]])=0,0,IFERROR(MATCH(Tasks[[#This Row],[_Pred2UID]],Tasks[UID],0),-1))</f>
        <v>0</v>
      </c>
      <c r="BN127" s="45" t="n">
        <f aca="false">IF(N(Tasks[[#This Row],[_Pred3UID]])=0,0,IFERROR(MATCH(Tasks[[#This Row],[_Pred3UID]],Tasks[UID],0),-1))</f>
        <v>0</v>
      </c>
      <c r="BO127" s="45" t="n">
        <f aca="false">IF(N(Tasks[[#This Row],[_Pred4UID]])=0,0,IFERROR(MATCH(Tasks[[#This Row],[_Pred4UID]],Tasks[UID],0),-1))</f>
        <v>0</v>
      </c>
      <c r="BP12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2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27" s="74" t="n">
        <f aca="false">IF(OR(Tasks[[#This Row],[_ConstraintCode]]=2,Tasks[[#This Row],[_ConstraintCode]]=3,Tasks[[#This Row],[_ConstraintCode]]=4,Tasks[[#This Row],[_ConstraintCode]]=6),Tasks[[#This Row],[_ConstraintStart]],0)</f>
        <v>0</v>
      </c>
      <c r="BS127" s="74" t="n">
        <f aca="false">IF(OR(Tasks[[#This Row],[_ConstraintCode]]=2,Tasks[[#This Row],[_ConstraintCode]]=3,Tasks[[#This Row],[_ConstraintCode]]=5,Tasks[[#This Row],[_ConstraintCode]]=7),Tasks[[#This Row],[_ConstraintStart]],2958465)</f>
        <v>2958465</v>
      </c>
      <c r="BT12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27" s="74" t="str">
        <f aca="false">IF(NOT(Tasks[[#This Row],[_IsLeaf]]=1),"",IF(N(Tasks[[#This Row],[Duration]])&lt;=0,Tasks[[#This Row],[_LeafCalcStart]],WORKDAY.INTL(Tasks[[#This Row],[_LeafCalcStart]],Tasks[[#This Row],[Duration]]-1,WorkWeek,Holidays)))</f>
        <v/>
      </c>
      <c r="BV12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2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27" s="45" t="str">
        <f aca="false">IF(Tasks[[#This Row],[Predecessors]]="","",TRIM(MID(SUBSTITUTE(SUBSTITUTE(SUBSTITUTE(UPPER(Tasks[[#This Row],[Predecessors]]),";",",")," ",""),",",REPT(" ",99)),1,99)))</f>
        <v/>
      </c>
      <c r="BY127" s="45" t="str">
        <f aca="false">IF(Tasks[[#This Row],[_Pred1Text]]="","",IFERROR(VALUE(LEFT(Tasks[[#This Row],[_Pred1Text]],MIN(FIND("F",Tasks[[#This Row],[_Pred1Text]]&amp;"F"),FIND("S",Tasks[[#This Row],[_Pred1Text]]&amp;"S"),FIND("+",Tasks[[#This Row],[_Pred1Text]]&amp;"+"),FIND("-",Tasks[[#This Row],[_Pred1Text]]&amp;"-"))-1)),""))</f>
        <v/>
      </c>
      <c r="BZ12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2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27" s="45" t="str">
        <f aca="false">IF(Tasks[[#This Row],[_Pred1Text]]="","",TRIM(MID(SUBSTITUTE(SUBSTITUTE(SUBSTITUTE(UPPER(Tasks[[#This Row],[Predecessors]]),";",",")," ",""),",",REPT(" ",99)),100,99)))</f>
        <v/>
      </c>
      <c r="CC127" s="45" t="str">
        <f aca="false">IF(Tasks[[#This Row],[_Pred2Text]]="","",IFERROR(VALUE(LEFT(Tasks[[#This Row],[_Pred2Text]],MIN(FIND("F",Tasks[[#This Row],[_Pred2Text]]&amp;"F"),FIND("S",Tasks[[#This Row],[_Pred2Text]]&amp;"S"),FIND("+",Tasks[[#This Row],[_Pred2Text]]&amp;"+"),FIND("-",Tasks[[#This Row],[_Pred2Text]]&amp;"-"))-1)),""))</f>
        <v/>
      </c>
      <c r="CD12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2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27" s="45" t="str">
        <f aca="false">IF(Tasks[[#This Row],[_Pred2Text]]="","",TRIM(MID(SUBSTITUTE(SUBSTITUTE(SUBSTITUTE(UPPER(Tasks[[#This Row],[Predecessors]]),";",",")," ",""),",",REPT(" ",99)),199,99)))</f>
        <v/>
      </c>
      <c r="CG127" s="45" t="str">
        <f aca="false">IF(Tasks[[#This Row],[_Pred3Text]]="","",IFERROR(VALUE(LEFT(Tasks[[#This Row],[_Pred3Text]],MIN(FIND("F",Tasks[[#This Row],[_Pred3Text]]&amp;"F"),FIND("S",Tasks[[#This Row],[_Pred3Text]]&amp;"S"),FIND("+",Tasks[[#This Row],[_Pred3Text]]&amp;"+"),FIND("-",Tasks[[#This Row],[_Pred3Text]]&amp;"-"))-1)),""))</f>
        <v/>
      </c>
      <c r="CH12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2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27" s="45" t="str">
        <f aca="false">IF(Tasks[[#This Row],[_Pred3Text]]="","",TRIM(MID(SUBSTITUTE(SUBSTITUTE(SUBSTITUTE(UPPER(Tasks[[#This Row],[Predecessors]]),";",",")," ",""),",",REPT(" ",99)),298,99)))</f>
        <v/>
      </c>
      <c r="CK127" s="45" t="str">
        <f aca="false">IF(Tasks[[#This Row],[_Pred4Text]]="","",IFERROR(VALUE(LEFT(Tasks[[#This Row],[_Pred4Text]],MIN(FIND("F",Tasks[[#This Row],[_Pred4Text]]&amp;"F"),FIND("S",Tasks[[#This Row],[_Pred4Text]]&amp;"S"),FIND("+",Tasks[[#This Row],[_Pred4Text]]&amp;"+"),FIND("-",Tasks[[#This Row],[_Pred4Text]]&amp;"-"))-1)),""))</f>
        <v/>
      </c>
      <c r="CL12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2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27" s="45" t="str">
        <f aca="false">IF(OR(Tasks[[#This Row],[Task Name]]="",Tasks[[#This Row],[Resources]]=""),"",TRIM(MID(SUBSTITUTE(Tasks[[#This Row],[Resources]],",",REPT(" ",99)),1,99)))</f>
        <v/>
      </c>
      <c r="CO127" s="45" t="str">
        <f aca="false">IF(Tasks[[#This Row],[_Res1Text]]="","",TRIM(MID(SUBSTITUTE(Tasks[[#This Row],[Resources]],",",REPT(" ",99)),100,99)))</f>
        <v/>
      </c>
      <c r="CP127" s="45" t="str">
        <f aca="false">IF(Tasks[[#This Row],[_Res2Text]]="","",TRIM(MID(SUBSTITUTE(Tasks[[#This Row],[Resources]],",",REPT(" ",99)),199,99)))</f>
        <v/>
      </c>
      <c r="CQ127" s="45" t="str">
        <f aca="false">IF(Tasks[[#This Row],[_Res3Text]]="","",TRIM(MID(SUBSTITUTE(Tasks[[#This Row],[Resources]],",",REPT(" ",99)),298,99)))</f>
        <v/>
      </c>
      <c r="CR12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2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7" s="45" t="n">
        <f aca="false">IF(NOT(Tasks[[#This Row],[_IsLeaf]]=1),0,(Tasks[[#This Row],[_Resource1]]&lt;&gt;"")+(Tasks[[#This Row],[_Res2]]&lt;&gt;"")+(Tasks[[#This Row],[_Res3]]&lt;&gt;"")+(Tasks[[#This Row],[_Res4]]&lt;&gt;""))</f>
        <v>0</v>
      </c>
      <c r="CU12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2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7" s="45" t="n">
        <f aca="false">IF(OR(NOT(Tasks[[#This Row],[_IsLeaf]]=1),Tasks[[#This Row],[_Res2]]=""),0,IF(ISNA(MATCH(Tasks[[#This Row],[_Res2]],res_Name,0)),0,N(Tasks[[#This Row],[Duration]])*HoursPerDay*IF(Tasks[[#This Row],[_Res2Units]]="",DefaultUnits,Tasks[[#This Row],[_Res2Units]])))</f>
        <v>0</v>
      </c>
      <c r="CX127" s="45" t="n">
        <f aca="false">IF(Tasks[[#This Row],[_Res2Work]]=0,0,Tasks[[#This Row],[_Res2Work]]*IFERROR(INDEX(res_Rate,MATCH(Tasks[[#This Row],[_Res2]],res_Name,0)),0))</f>
        <v>0</v>
      </c>
      <c r="CY127" s="45" t="n">
        <f aca="false">IF(AND(AND(Tasks[[#This Row],[_IsLeaf]]=1,Tasks[[#This Row],[_LeafTotalWork]]&gt;0),Tasks[[#This Row],[_Res2Work]]&gt;0),Tasks[[#This Row],[_Res2Work]]/(Tasks[[#This Row],[_FinishWorkday]]-Tasks[[#This Row],[_StartWorkday]]+1),0)</f>
        <v>0</v>
      </c>
      <c r="CZ127" s="45" t="n">
        <f aca="false">Tasks[[#This Row],[_Res2WorkPerWD]]*MAX(0,Tasks[[#This Row],[_StartWorkday]]-1)</f>
        <v>0</v>
      </c>
      <c r="DA127" s="45" t="n">
        <f aca="false">Tasks[[#This Row],[_Res2Work]]*Tasks[[#This Row],[_LeafProgress]]</f>
        <v>0</v>
      </c>
      <c r="DB127" s="45" t="n">
        <f aca="false">IF(Tasks[[#This Row],[_LeafTotalCost]]=0,0,Tasks[[#This Row],[_LeafAC]]*Tasks[[#This Row],[_Res2Cost]]/Tasks[[#This Row],[_LeafTotalCost]])</f>
        <v>0</v>
      </c>
      <c r="DC12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2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27" s="45" t="n">
        <f aca="false">IF(OR(NOT(Tasks[[#This Row],[_IsLeaf]]=1),Tasks[[#This Row],[_Res3]]=""),0,IF(ISNA(MATCH(Tasks[[#This Row],[_Res3]],res_Name,0)),0,N(Tasks[[#This Row],[Duration]])*HoursPerDay*IF(Tasks[[#This Row],[_Res3Units]]="",DefaultUnits,Tasks[[#This Row],[_Res3Units]])))</f>
        <v>0</v>
      </c>
      <c r="DF127" s="45" t="n">
        <f aca="false">IF(Tasks[[#This Row],[_Res3Work]]=0,0,Tasks[[#This Row],[_Res3Work]]*IFERROR(INDEX(res_Rate,MATCH(Tasks[[#This Row],[_Res3]],res_Name,0)),0))</f>
        <v>0</v>
      </c>
      <c r="DG127" s="45" t="n">
        <f aca="false">IF(AND(AND(Tasks[[#This Row],[_IsLeaf]]=1,Tasks[[#This Row],[_LeafTotalWork]]&gt;0),Tasks[[#This Row],[_Res3Work]]&gt;0),Tasks[[#This Row],[_Res3Work]]/(Tasks[[#This Row],[_FinishWorkday]]-Tasks[[#This Row],[_StartWorkday]]+1),0)</f>
        <v>0</v>
      </c>
      <c r="DH127" s="45" t="n">
        <f aca="false">Tasks[[#This Row],[_Res3WorkPerWD]]*MAX(0,Tasks[[#This Row],[_StartWorkday]]-1)</f>
        <v>0</v>
      </c>
      <c r="DI127" s="45" t="n">
        <f aca="false">Tasks[[#This Row],[_Res3Work]]*Tasks[[#This Row],[_LeafProgress]]</f>
        <v>0</v>
      </c>
      <c r="DJ127" s="45" t="n">
        <f aca="false">IF(Tasks[[#This Row],[_LeafTotalCost]]=0,0,Tasks[[#This Row],[_LeafAC]]*Tasks[[#This Row],[_Res3Cost]]/Tasks[[#This Row],[_LeafTotalCost]])</f>
        <v>0</v>
      </c>
      <c r="DK12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2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27" s="45" t="n">
        <f aca="false">IF(OR(NOT(Tasks[[#This Row],[_IsLeaf]]=1),Tasks[[#This Row],[_Res4]]=""),0,IF(ISNA(MATCH(Tasks[[#This Row],[_Res4]],res_Name,0)),0,N(Tasks[[#This Row],[Duration]])*HoursPerDay*IF(Tasks[[#This Row],[_Res4Units]]="",DefaultUnits,Tasks[[#This Row],[_Res4Units]])))</f>
        <v>0</v>
      </c>
      <c r="DN127" s="45" t="n">
        <f aca="false">IF(Tasks[[#This Row],[_Res4Work]]=0,0,Tasks[[#This Row],[_Res4Work]]*IFERROR(INDEX(res_Rate,MATCH(Tasks[[#This Row],[_Res4]],res_Name,0)),0))</f>
        <v>0</v>
      </c>
      <c r="DO127" s="45" t="n">
        <f aca="false">IF(AND(AND(Tasks[[#This Row],[_IsLeaf]]=1,Tasks[[#This Row],[_LeafTotalWork]]&gt;0),Tasks[[#This Row],[_Res4Work]]&gt;0),Tasks[[#This Row],[_Res4Work]]/(Tasks[[#This Row],[_FinishWorkday]]-Tasks[[#This Row],[_StartWorkday]]+1),0)</f>
        <v>0</v>
      </c>
      <c r="DP127" s="45" t="n">
        <f aca="false">Tasks[[#This Row],[_Res4WorkPerWD]]*MAX(0,Tasks[[#This Row],[_StartWorkday]]-1)</f>
        <v>0</v>
      </c>
      <c r="DQ127" s="45" t="n">
        <f aca="false">Tasks[[#This Row],[_Res4Work]]*Tasks[[#This Row],[_LeafProgress]]</f>
        <v>0</v>
      </c>
      <c r="DR127" s="45" t="n">
        <f aca="false">IF(Tasks[[#This Row],[_LeafTotalCost]]=0,0,Tasks[[#This Row],[_LeafAC]]*Tasks[[#This Row],[_Res4Cost]]/Tasks[[#This Row],[_LeafTotalCost]])</f>
        <v>0</v>
      </c>
      <c r="DS127" s="45" t="n">
        <f aca="false">IF(ISNUMBER(Tasks[[#This Row],[% Complete]]),Tasks[[#This Row],[% Complete]],IF(Tasks[[#This Row],[Stage]]="",0,IFERROR(INDEX(stg_Pct,MATCH(Tasks[[#This Row],[Stage]],stg_Name,0)),0)))</f>
        <v>0</v>
      </c>
      <c r="DT127" s="45" t="n">
        <f aca="false">IF(NOT(Tasks[[#This Row],[_IsLeaf]]=1),0,IF(N(Tasks[[#This Row],[Actual Finish]])&gt;0,1,MIN(1,Tasks[[#This Row],[_Pct]])))</f>
        <v>0</v>
      </c>
      <c r="DU127" s="45" t="n">
        <f aca="false">IF(OR(NOT(Tasks[[#This Row],[_IsLeaf]]=1),Tasks[[#This Row],[_Resource1]]=""),0,IF(ISNA(MATCH(Tasks[[#This Row],[_Resource1]],res_Name,0)),0,N(Tasks[[#This Row],[Duration]])*HoursPerDay*IF(Tasks[[#This Row],[_Units1]]="",DefaultUnits,Tasks[[#This Row],[_Units1]])))</f>
        <v>0</v>
      </c>
      <c r="DV127" s="45" t="n">
        <f aca="false">IF(Tasks[[#This Row],[_LeafWork]]=0,0,Tasks[[#This Row],[_LeafWork]]*IFERROR(INDEX(res_Rate,MATCH(Tasks[[#This Row],[_Resource1]],res_Name,0)),0))</f>
        <v>0</v>
      </c>
      <c r="DW127" s="45" t="n">
        <f aca="false">Tasks[[#This Row],[_LeafWork]]+Tasks[[#This Row],[_Res2Work]]+Tasks[[#This Row],[_Res3Work]]+Tasks[[#This Row],[_Res4Work]]</f>
        <v>0</v>
      </c>
      <c r="DX127" s="45" t="n">
        <f aca="false">Tasks[[#This Row],[_LeafCost]]+Tasks[[#This Row],[_Res2Cost]]+Tasks[[#This Row],[_Res3Cost]]+Tasks[[#This Row],[_Res4Cost]]</f>
        <v>0</v>
      </c>
      <c r="DY127" s="45" t="n">
        <f aca="false">IF(Tasks[[#This Row],[_LeafTotalCost]]=0,Tasks[[#This Row],[_LeafAC]],Tasks[[#This Row],[_LeafAC]]*Tasks[[#This Row],[_LeafCost]]/Tasks[[#This Row],[_LeafTotalCost]])</f>
        <v>0</v>
      </c>
      <c r="DZ12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2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2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2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2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2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2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2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27" s="45" t="n">
        <f aca="false">IF(NOT(Tasks[[#This Row],[_IsLeaf]]=1),0,MAX(_xlfn.MAXIFS(Tasks[_Row],Tasks[_Pred1UID],Tasks[[#This Row],[UID]]),_xlfn.MAXIFS(Tasks[_Row],Tasks[_Pred2UID],Tasks[[#This Row],[UID]]),_xlfn.MAXIFS(Tasks[_Row],Tasks[_Pred3UID],Tasks[[#This Row],[UID]]),_xlfn.MAXIFS(Tasks[_Row],Tasks[_Pred4UID],Tasks[[#This Row],[UID]])))</f>
        <v>0</v>
      </c>
      <c r="EI12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2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27" s="74" t="str">
        <f aca="false">IF(NOT(Tasks[[#This Row],[_IsLeaf]]=1),"",IF(N(Tasks[[#This Row],[Duration]])&lt;=0,Tasks[[#This Row],[_LeafLateFinish]],WORKDAY.INTL(Tasks[[#This Row],[_LeafLateFinish]],-(Tasks[[#This Row],[Duration]]-1),WorkWeek,Holidays)))</f>
        <v/>
      </c>
      <c r="EL12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27" s="73" t="b">
        <f aca="false">AND(Tasks[[#This Row],[_IsLeaf]]=1,Tasks[[#This Row],[_LeafProgress]]&lt;1,N(Tasks[[#This Row],[_LeafTotalSlack]])&lt;=CriticalSlackDays)</f>
        <v>0</v>
      </c>
      <c r="EN127" s="45" t="n">
        <f aca="false">IF(AND(Tasks[[#This Row],[_IsLeaf]]=1,Tasks[[#This Row],[_ConstraintCode]]=1,Tasks[[#This Row],[Mode]]&lt;&gt;"Manual",N(Tasks[[#This Row],[Actual Start]])=0),MAX(0,N(Tasks[[#This Row],[Free Slack]])),0)</f>
        <v>0</v>
      </c>
      <c r="EO127" s="74" t="str">
        <f aca="false">IF(NOT(Tasks[[#This Row],[_IsLeaf]]=1),"",IF(Tasks[[#This Row],[_AlapShift]]=0,Tasks[[#This Row],[_LeafCalcStart]],WORKDAY.INTL(Tasks[[#This Row],[_LeafCalcStart]],Tasks[[#This Row],[_AlapShift]],WorkWeek,Holidays)))</f>
        <v/>
      </c>
      <c r="EP127" s="74" t="str">
        <f aca="false">IF(NOT(Tasks[[#This Row],[_IsLeaf]]=1),"",IF(Tasks[[#This Row],[_AlapShift]]=0,Tasks[[#This Row],[_LeafCalcFinish]],WORKDAY.INTL(Tasks[[#This Row],[_LeafCalcFinish]],Tasks[[#This Row],[_AlapShift]],WorkWeek,Holidays)))</f>
        <v/>
      </c>
      <c r="EQ127" s="74" t="str">
        <f aca="false">IF(NOT(Tasks[[#This Row],[_IsLeaf]]=1),"",IF(Tasks[[#This Row],[_AlapShift]]=0,Tasks[[#This Row],[_LeafFcstStart]],WORKDAY.INTL(Tasks[[#This Row],[_LeafFcstStart]],Tasks[[#This Row],[_AlapShift]],WorkWeek,Holidays)))</f>
        <v/>
      </c>
      <c r="ER127" s="74" t="str">
        <f aca="false">IF(NOT(Tasks[[#This Row],[_IsLeaf]]=1),"",IF(Tasks[[#This Row],[_AlapShift]]=0,Tasks[[#This Row],[_LeafFcstFinish]],WORKDAY.INTL(Tasks[[#This Row],[_LeafFcstFinish]],Tasks[[#This Row],[_AlapShift]],WorkWeek,Holidays)))</f>
        <v/>
      </c>
      <c r="ES127" s="74" t="str">
        <f aca="false">IF(Tasks[[#This Row],[Task Name]]="","",IF(Tasks[[#This Row],[_IsSummary]],MIN(INDEX(Tasks[_ShownCalcStart],Tasks[[#This Row],[_Row]]+1):INDEX(Tasks[_ShownCalcStart],Tasks[[#This Row],[_Row]]+Tasks[[#This Row],[_Descendants]])),Tasks[[#This Row],[_ShownCalcStart]]))</f>
        <v/>
      </c>
      <c r="ET127" s="74" t="str">
        <f aca="false">IF(Tasks[[#This Row],[Task Name]]="","",IF(Tasks[[#This Row],[_IsSummary]],MAX(INDEX(Tasks[_ShownCalcFinish],Tasks[[#This Row],[_Row]]+1):INDEX(Tasks[_ShownCalcFinish],Tasks[[#This Row],[_Row]]+Tasks[[#This Row],[_Descendants]])),Tasks[[#This Row],[_ShownCalcFinish]]))</f>
        <v/>
      </c>
      <c r="EU12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2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2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2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2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2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2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2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2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2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2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2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27" s="45" t="n">
        <f aca="false">IF(AND(Tasks[[#This Row],[_IsLeaf]]=1,Tasks[[#This Row],[_LeafTotalWork]]&gt;0),NETWORKDAYS.INTL(ProjectStart,Tasks[[#This Row],[_ShownFcstStart]],WorkWeek,Holidays),0)</f>
        <v>0</v>
      </c>
      <c r="FH127" s="45" t="n">
        <f aca="false">IF(AND(Tasks[[#This Row],[_IsLeaf]]=1,Tasks[[#This Row],[_LeafTotalWork]]&gt;0),MAX(Tasks[[#This Row],[_StartWorkday]],NETWORKDAYS.INTL(ProjectStart,Tasks[[#This Row],[_ShownFcstFinish]],WorkWeek,Holidays)),0)</f>
        <v>0</v>
      </c>
      <c r="FI127" s="45" t="n">
        <f aca="false">IF(AND(Tasks[[#This Row],[_IsLeaf]]=1,Tasks[[#This Row],[_LeafTotalWork]]&gt;0),Tasks[[#This Row],[_LeafWork]]/(Tasks[[#This Row],[_FinishWorkday]]-Tasks[[#This Row],[_StartWorkday]]+1),0)</f>
        <v>0</v>
      </c>
      <c r="FJ127" s="45" t="n">
        <f aca="false">Tasks[[#This Row],[_WorkPerWorkday]]*(Tasks[[#This Row],[_StartWorkday]]-1)</f>
        <v>-0</v>
      </c>
      <c r="FK127" s="45" t="n">
        <f aca="false">IF(Tasks[[#This Row],[_IsLeaf]]=1,MAX(N(Tasks[[#This Row],[Duration]]),0.1),0)</f>
        <v>0</v>
      </c>
      <c r="FL127" s="45" t="n">
        <f aca="false">Tasks[[#This Row],[_WeightDur]]*Tasks[[#This Row],[_LeafProgress]]</f>
        <v>0</v>
      </c>
      <c r="FM12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27" s="45" t="str">
        <f aca="false">IF(AND(Tasks[[#This Row],[_IsLeaf]]=1,N(Tasks[[#This Row],[Duration]])=0,Tasks[[#This Row],[_LeafProgress]]&lt;1),Tasks[[#This Row],[_ShownFcstFinish]]+Tasks[[#This Row],[_Row]]/100000,"")</f>
        <v/>
      </c>
      <c r="FO12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27" s="45" t="n">
        <f aca="false">IF(NOT(Tasks[[#This Row],[_IsLeaf]]=1),0,IF(Tasks[[#This Row],[Baseline Cost]]="",Tasks[[#This Row],[_LeafTotalCost]],N(Tasks[[#This Row],[Baseline Cost]])))</f>
        <v>0</v>
      </c>
      <c r="FQ127" s="45" t="n">
        <f aca="false">Tasks[[#This Row],[_LeafBudget]]*Tasks[[#This Row],[_PlannedPct]]</f>
        <v>0</v>
      </c>
      <c r="FR127" s="45" t="n">
        <f aca="false">Tasks[[#This Row],[_LeafBudget]]*Tasks[[#This Row],[_LeafProgress]]</f>
        <v>0</v>
      </c>
      <c r="FS127" s="45" t="n">
        <f aca="false">IF(NOT(Tasks[[#This Row],[_IsLeaf]]=1),0,IF(Tasks[[#This Row],[Actual Cost]]="",Tasks[[#This Row],[_LeafTotalCost]]*Tasks[[#This Row],[_LeafProgress]],N(Tasks[[#This Row],[Actual Cost]])))</f>
        <v>0</v>
      </c>
      <c r="FT127" s="45" t="str">
        <f aca="false">IF(Tasks[[#This Row],[Task Name]]="","",LEFT(Tasks[[#This Row],[WBS]],FIND(".",Tasks[[#This Row],[WBS]]&amp;".")-1))</f>
        <v/>
      </c>
      <c r="FU127" s="45" t="str">
        <f aca="false">IF(AND(Tasks[[#This Row],[Task Name]]&lt;&gt;"",Tasks[[#This Row],[_Level]]=1),Tasks[[#This Row],[_Row]],"")</f>
        <v/>
      </c>
      <c r="FV127" s="45" t="str">
        <f aca="false">IF(AND(Tasks[[#This Row],[_IsLeaf]]=1,N(Tasks[[#This Row],[Duration]])=0),Tasks[[#This Row],[Planned Finish]]+Tasks[[#This Row],[_Row]]/100000,"")</f>
        <v/>
      </c>
      <c r="FW127" s="45" t="str">
        <f aca="false">IF(AND(Tasks[[#This Row],[_IsLeaf]]=1,Tasks[[#This Row],[_LeafProgress]]&lt;1,OR(N(Tasks[[#This Row],[Finish Var]])&gt;0,Tasks[[#This Row],[Status]]="Late Start")),MAX(0,Tasks[[#This Row],[Finish Var]])+1-Tasks[[#This Row],[_Row]]/1000000,"")</f>
        <v/>
      </c>
      <c r="FX127" s="45" t="str">
        <f aca="false">IF(AND(Tasks[[#This Row],[_IsLeaf]]=1,N(Tasks[[#This Row],[Actual Start]])=0,Tasks[[#This Row],[_ShownFcstStart]]&gt;=StatusDate,Tasks[[#This Row],[_ShownFcstStart]]&lt;=LookaheadEnd),Tasks[[#This Row],[_ShownFcstStart]]+Tasks[[#This Row],[_Row]]/100000,"")</f>
        <v/>
      </c>
      <c r="FY127" s="45" t="str">
        <f aca="false">IF(AND(Tasks[[#This Row],[_IsLeaf]]=1,Tasks[[#This Row],[_LeafProgress]]&lt;1,Tasks[[#This Row],[_ShownFcstFinish]]&gt;=StatusDate,Tasks[[#This Row],[_ShownFcstFinish]]&lt;=LookaheadEnd),Tasks[[#This Row],[_ShownFcstFinish]]+Tasks[[#This Row],[_Row]]/100000,"")</f>
        <v/>
      </c>
      <c r="FZ127" s="45" t="str">
        <f aca="false">IF(Tasks[[#This Row],[_LeafCritical]],Tasks[[#This Row],[_ShownFcstStart]]+Tasks[[#This Row],[_Row]]/100000,"")</f>
        <v/>
      </c>
      <c r="GA127" s="45" t="n">
        <f aca="false">Tasks[[#This Row],[_LeafWork]]*Tasks[[#This Row],[_LeafProgress]]</f>
        <v>0</v>
      </c>
      <c r="GB127" s="74" t="str">
        <f aca="false">IF(AND(Tasks[[#This Row],[_IsLeaf]]=1,Tasks[[#This Row],[_LeafProgress]]&gt;=1),IF(N(Tasks[[#This Row],[Actual Finish]])&gt;0,Tasks[[#This Row],[Actual Finish]],Tasks[[#This Row],[_ShownFcstFinish]]),"")</f>
        <v/>
      </c>
    </row>
    <row r="128" customFormat="false" ht="15" hidden="false" customHeight="false" outlineLevel="0" collapsed="false">
      <c r="A128" s="67" t="str">
        <f aca="false">IF(Tasks[[#This Row],[Task Name]]="","",COUNTA(Tasks[[#Headers],[Task Name]]:Tasks[[#This Row],[Task Name]])-1)</f>
        <v/>
      </c>
      <c r="B128" s="21" t="n">
        <v>123</v>
      </c>
      <c r="C12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21"/>
      <c r="E128" s="22"/>
      <c r="F128" s="21"/>
      <c r="G128" s="22"/>
      <c r="H128" s="22"/>
      <c r="I128" s="22"/>
      <c r="J128" s="7"/>
      <c r="K128" s="7"/>
      <c r="L128" s="22"/>
      <c r="M128" s="58" t="str">
        <f aca="false">IF(Tasks[[#This Row],[Task Name]]="","",IF(Tasks[[#This Row],[_IsSummary]],MIN(INDEX(Tasks[_ShownFcstStart],Tasks[[#This Row],[_Row]]+1):INDEX(Tasks[_ShownFcstStart],Tasks[[#This Row],[_Row]]+Tasks[[#This Row],[_Descendants]])),Tasks[[#This Row],[_ShownFcstStart]]))</f>
        <v/>
      </c>
      <c r="N128" s="58" t="str">
        <f aca="false">IF(Tasks[[#This Row],[Task Name]]="","",IF(Tasks[[#This Row],[_IsSummary]],MAX(INDEX(Tasks[_ShownFcstFinish],Tasks[[#This Row],[_Row]]+1):INDEX(Tasks[_ShownFcstFinish],Tasks[[#This Row],[_Row]]+Tasks[[#This Row],[_Descendants]])),Tasks[[#This Row],[_ShownFcstFinish]]))</f>
        <v/>
      </c>
      <c r="O128" s="20" t="str">
        <f aca="false">IF(Tasks[[#This Row],[Task Name]]="","",IF(Tasks[[#This Row],[Progress]]&gt;=1,"Complete",IF(OR(N(Tasks[[#This Row],[Actual Start]])&gt;0,Tasks[[#This Row],[Progress]]&gt;0),IF(Tasks[[#This Row],[Finish Var]]&gt;0,"Behind","In Progress"),IF(Tasks[[#This Row],[Planned Start]]&lt;StatusDate,"Late Start","Not Started"))))</f>
        <v/>
      </c>
      <c r="P128" s="20" t="str">
        <f aca="false">IF(Tasks[[#This Row],[Task Name]]="","",IF(IF(Tasks[[#This Row],[_IsSummary]],COUNTIF(INDEX(Tasks[_LeafCritical],Tasks[[#This Row],[_Row]]+1):INDEX(Tasks[_LeafCritical],Tasks[[#This Row],[_Row]]+Tasks[[#This Row],[_Descendants]]),TRUE())&gt;0,Tasks[[#This Row],[_LeafCritical]]),"Yes",""))</f>
        <v/>
      </c>
      <c r="Q12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28" s="67" t="str">
        <f aca="false">IF(Tasks[[#This Row],[Task Name]]="","",IF(Tasks[[#This Row],[_Level]]&lt;=OutlineShowLevel,"Yes","No"))</f>
        <v/>
      </c>
      <c r="S128" s="7"/>
      <c r="T128" s="21"/>
      <c r="U128" s="22"/>
      <c r="V128" s="7"/>
      <c r="W128" s="67" t="str">
        <f aca="false">IF(Tasks[[#This Row],[Task Name]]="","",IF(Tasks[[#This Row],[Finish]]&gt;=Tasks[[#This Row],[Planned Finish]],NETWORKDAYS.INTL(Tasks[[#This Row],[Planned Finish]],Tasks[[#This Row],[Finish]],WorkWeek,Holidays)-1,1-NETWORKDAYS.INTL(Tasks[[#This Row],[Finish]],Tasks[[#This Row],[Planned Finish]],WorkWeek,Holidays)))</f>
        <v/>
      </c>
      <c r="X128" s="58" t="str">
        <f aca="false">IF(Tasks[[#This Row],[Task Name]]="","",IF(N(Tasks[[#This Row],[Baseline Start]])&gt;0,Tasks[[#This Row],[Baseline Start]],Tasks[[#This Row],[_CalcStart]]))</f>
        <v/>
      </c>
      <c r="Y128" s="58" t="str">
        <f aca="false">IF(Tasks[[#This Row],[Task Name]]="","",IF(N(Tasks[[#This Row],[Baseline Finish]])&gt;0,Tasks[[#This Row],[Baseline Finish]],Tasks[[#This Row],[_CalcFinish]]))</f>
        <v/>
      </c>
      <c r="Z128" s="67" t="str">
        <f aca="false">IF(Tasks[[#This Row],[Task Name]]="","",IF(Tasks[[#This Row],[Start]]&gt;=Tasks[[#This Row],[Planned Start]],NETWORKDAYS.INTL(Tasks[[#This Row],[Planned Start]],Tasks[[#This Row],[Start]],WorkWeek,Holidays)-1,1-NETWORKDAYS.INTL(Tasks[[#This Row],[Start]],Tasks[[#This Row],[Planned Start]],WorkWeek,Holidays)))</f>
        <v/>
      </c>
      <c r="AA128" s="58" t="str">
        <f aca="false">IF(Tasks[[#This Row],[Task Name]]="","",IF(Tasks[[#This Row],[_IsSummary]],MIN(INDEX(Tasks[_LeafLateStart],Tasks[[#This Row],[_Row]]+1):INDEX(Tasks[_LeafLateStart],Tasks[[#This Row],[_Row]]+Tasks[[#This Row],[_Descendants]])),Tasks[[#This Row],[_LeafLateStart]]))</f>
        <v/>
      </c>
      <c r="AB128" s="58" t="str">
        <f aca="false">IF(Tasks[[#This Row],[Task Name]]="","",IF(Tasks[[#This Row],[_IsSummary]],MAX(INDEX(Tasks[_LeafLateFinish],Tasks[[#This Row],[_Row]]+1):INDEX(Tasks[_LeafLateFinish],Tasks[[#This Row],[_Row]]+Tasks[[#This Row],[_Descendants]])),Tasks[[#This Row],[_LeafLateFinish]]))</f>
        <v/>
      </c>
      <c r="AC128" s="67" t="str">
        <f aca="false">IF(Tasks[[#This Row],[Task Name]]="","",IF(Tasks[[#This Row],[_IsSummary]],MIN(INDEX(Tasks[_LeafTotalSlack],Tasks[[#This Row],[_Row]]+1):INDEX(Tasks[_LeafTotalSlack],Tasks[[#This Row],[_Row]]+Tasks[[#This Row],[_Descendants]])),Tasks[[#This Row],[_LeafTotalSlack]]))</f>
        <v/>
      </c>
      <c r="AD12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2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2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28" s="60"/>
      <c r="AH12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2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28" s="69" t="str">
        <f aca="false">IF(Tasks[[#This Row],[Task Name]]="","",IF(Tasks[[#This Row],[_IsSummary]],SUM(INDEX(Tasks[_LeafTotalWork],Tasks[[#This Row],[_Row]]+1):INDEX(Tasks[_LeafTotalWork],Tasks[[#This Row],[_Row]]+Tasks[[#This Row],[_Descendants]])),Tasks[[#This Row],[_LeafTotalWork]]))</f>
        <v/>
      </c>
      <c r="AK12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28" s="70" t="str">
        <f aca="false">IF(Tasks[[#This Row],[Task Name]]="","",IF(Tasks[[#This Row],[_IsSummary]],SUM(INDEX(Tasks[_LeafTotalCost],Tasks[[#This Row],[_Row]]+1):INDEX(Tasks[_LeafTotalCost],Tasks[[#This Row],[_Row]]+Tasks[[#This Row],[_Descendants]])),Tasks[[#This Row],[_LeafTotalCost]]))</f>
        <v/>
      </c>
      <c r="AM128" s="71"/>
      <c r="AN128" s="20" t="str">
        <f aca="false">IF(OR(Tasks[[#This Row],[Task Name]]="",Tasks[[#This Row],[Baseline Duration]]=""),"",Tasks[[#This Row],[BL Source Duration]]-N(Tasks[[#This Row],[Baseline Duration]]))</f>
        <v/>
      </c>
      <c r="AO128" s="69" t="str">
        <f aca="false">IF(OR(Tasks[[#This Row],[Task Name]]="",Tasks[[#This Row],[Baseline Work]]=""),"",Tasks[[#This Row],[Work]]-N(Tasks[[#This Row],[Baseline Work]]))</f>
        <v/>
      </c>
      <c r="AP128" s="70" t="str">
        <f aca="false">IF(OR(Tasks[[#This Row],[Task Name]]="",Tasks[[#This Row],[Baseline Cost]]=""),"",Tasks[[#This Row],[Cost]]-N(Tasks[[#This Row],[Baseline Cost]]))</f>
        <v/>
      </c>
      <c r="AQ128" s="58" t="str">
        <f aca="false">IF(Tasks[[#This Row],[Task Name]]="","",Tasks[[#This Row],[Start]])</f>
        <v/>
      </c>
      <c r="AR128" s="58" t="str">
        <f aca="false">IF(Tasks[[#This Row],[Task Name]]="","",Tasks[[#This Row],[Finish]])</f>
        <v/>
      </c>
      <c r="AS128" s="67" t="str">
        <f aca="false">IF(Tasks[[#This Row],[Task Name]]="","",IF(Tasks[[#This Row],[_IsSummary]],NETWORKDAYS.INTL(Tasks[[#This Row],[Start]],Tasks[[#This Row],[Finish]],WorkWeek,Holidays),N(Tasks[[#This Row],[Duration]])))</f>
        <v/>
      </c>
      <c r="AT128" s="69" t="str">
        <f aca="false">IF(Tasks[[#This Row],[Task Name]]="","",Tasks[[#This Row],[Work]])</f>
        <v/>
      </c>
      <c r="AU128" s="70" t="str">
        <f aca="false">IF(Tasks[[#This Row],[Task Name]]="","",Tasks[[#This Row],[Cost]])</f>
        <v/>
      </c>
      <c r="AV128" s="7"/>
      <c r="AW128" s="7"/>
      <c r="AX128" s="21"/>
      <c r="AY128" s="72"/>
      <c r="AZ128" s="71"/>
      <c r="BA128" s="70" t="str">
        <f aca="false">IF(Tasks[[#This Row],[Task Name]]="","",IF(Tasks[[#This Row],[_IsSummary]],SUM(INDEX(Tasks[_LeafEV],Tasks[[#This Row],[_Row]]+1):INDEX(Tasks[_LeafEV],Tasks[[#This Row],[_Row]]+Tasks[[#This Row],[_Descendants]])),Tasks[[#This Row],[_LeafEV]]))</f>
        <v/>
      </c>
      <c r="BB128" s="70" t="str">
        <f aca="false">IF(Tasks[[#This Row],[Task Name]]="","",IF(Tasks[[#This Row],[_IsSummary]],SUM(INDEX(Tasks[_LeafBudget],Tasks[[#This Row],[_Row]]+1):INDEX(Tasks[_LeafBudget],Tasks[[#This Row],[_Row]]+Tasks[[#This Row],[_Descendants]])),Tasks[[#This Row],[_LeafBudget]]))</f>
        <v/>
      </c>
      <c r="BC128" s="70" t="str">
        <f aca="false">IF(Tasks[[#This Row],[Task Name]]="","",IF(Tasks[[#This Row],[_IsSummary]],SUM(INDEX(Tasks[_LeafPV],Tasks[[#This Row],[_Row]]+1):INDEX(Tasks[_LeafPV],Tasks[[#This Row],[_Row]]+Tasks[[#This Row],[_Descendants]])),Tasks[[#This Row],[_LeafPV]]))</f>
        <v/>
      </c>
      <c r="BD128" s="70" t="str">
        <f aca="false">IF(Tasks[[#This Row],[Task Name]]="","",IF(Tasks[[#This Row],[_IsSummary]],SUM(INDEX(Tasks[_LeafAC],Tasks[[#This Row],[_Row]]+1):INDEX(Tasks[_LeafAC],Tasks[[#This Row],[_Row]]+Tasks[[#This Row],[_Descendants]])),Tasks[[#This Row],[_LeafAC]]))</f>
        <v/>
      </c>
      <c r="BE128" s="45" t="str">
        <f aca="false">IF(Tasks[[#This Row],[Task Name]]="","",MAX(1,N(Tasks[[#This Row],[Level]])))</f>
        <v/>
      </c>
      <c r="BF128" s="45" t="n">
        <f aca="false">ROW()-ROW(Tasks[[#Headers],[ID]])</f>
        <v>123</v>
      </c>
      <c r="BG128" s="45" t="n">
        <f aca="false">IF(OR(Tasks[[#This Row],[Task Name]]="",Tasks[[#This Row],[_Level]]&lt;=1),0,IFERROR(LOOKUP(2,1/(Tasks[[#Headers],[_Level]]:Tasks[[#This Row],[_Level]]=Tasks[[#This Row],[_Level]]-1),ROW(Tasks[[#Headers],[_Level]]:Tasks[[#This Row],[_Level]])),0))</f>
        <v>0</v>
      </c>
      <c r="BH128" s="45" t="n">
        <f aca="false">IFERROR(N(INDEX(Tasks[_Level],Tasks[[#This Row],[_Row]]+1)),0)</f>
        <v>0</v>
      </c>
      <c r="BI128" s="73" t="b">
        <f aca="false">AND(Tasks[[#This Row],[Task Name]]&lt;&gt;"",Tasks[[#This Row],[_NextLevel]]&gt;Tasks[[#This Row],[_Level]])</f>
        <v>0</v>
      </c>
      <c r="BJ128" s="45" t="n">
        <f aca="false">IF(Tasks[[#This Row],[_IsSummary]],COUNTIF(Tasks[WBS],Tasks[[#This Row],[WBS]]&amp;".*"),0)</f>
        <v>0</v>
      </c>
      <c r="BK128" s="45" t="n">
        <f aca="false">IF(AND(Tasks[[#This Row],[Task Name]]&lt;&gt;"",NOT(Tasks[[#This Row],[_IsSummary]])),1,0)</f>
        <v>0</v>
      </c>
      <c r="BL128" s="45" t="n">
        <f aca="false">IF(N(Tasks[[#This Row],[_Pred1UID]])=0,0,IFERROR(MATCH(Tasks[[#This Row],[_Pred1UID]],Tasks[UID],0),-1))</f>
        <v>0</v>
      </c>
      <c r="BM128" s="45" t="n">
        <f aca="false">IF(N(Tasks[[#This Row],[_Pred2UID]])=0,0,IFERROR(MATCH(Tasks[[#This Row],[_Pred2UID]],Tasks[UID],0),-1))</f>
        <v>0</v>
      </c>
      <c r="BN128" s="45" t="n">
        <f aca="false">IF(N(Tasks[[#This Row],[_Pred3UID]])=0,0,IFERROR(MATCH(Tasks[[#This Row],[_Pred3UID]],Tasks[UID],0),-1))</f>
        <v>0</v>
      </c>
      <c r="BO128" s="45" t="n">
        <f aca="false">IF(N(Tasks[[#This Row],[_Pred4UID]])=0,0,IFERROR(MATCH(Tasks[[#This Row],[_Pred4UID]],Tasks[UID],0),-1))</f>
        <v>0</v>
      </c>
      <c r="BP12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2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28" s="74" t="n">
        <f aca="false">IF(OR(Tasks[[#This Row],[_ConstraintCode]]=2,Tasks[[#This Row],[_ConstraintCode]]=3,Tasks[[#This Row],[_ConstraintCode]]=4,Tasks[[#This Row],[_ConstraintCode]]=6),Tasks[[#This Row],[_ConstraintStart]],0)</f>
        <v>0</v>
      </c>
      <c r="BS128" s="74" t="n">
        <f aca="false">IF(OR(Tasks[[#This Row],[_ConstraintCode]]=2,Tasks[[#This Row],[_ConstraintCode]]=3,Tasks[[#This Row],[_ConstraintCode]]=5,Tasks[[#This Row],[_ConstraintCode]]=7),Tasks[[#This Row],[_ConstraintStart]],2958465)</f>
        <v>2958465</v>
      </c>
      <c r="BT12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28" s="74" t="str">
        <f aca="false">IF(NOT(Tasks[[#This Row],[_IsLeaf]]=1),"",IF(N(Tasks[[#This Row],[Duration]])&lt;=0,Tasks[[#This Row],[_LeafCalcStart]],WORKDAY.INTL(Tasks[[#This Row],[_LeafCalcStart]],Tasks[[#This Row],[Duration]]-1,WorkWeek,Holidays)))</f>
        <v/>
      </c>
      <c r="BV12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2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28" s="45" t="str">
        <f aca="false">IF(Tasks[[#This Row],[Predecessors]]="","",TRIM(MID(SUBSTITUTE(SUBSTITUTE(SUBSTITUTE(UPPER(Tasks[[#This Row],[Predecessors]]),";",",")," ",""),",",REPT(" ",99)),1,99)))</f>
        <v/>
      </c>
      <c r="BY128" s="45" t="str">
        <f aca="false">IF(Tasks[[#This Row],[_Pred1Text]]="","",IFERROR(VALUE(LEFT(Tasks[[#This Row],[_Pred1Text]],MIN(FIND("F",Tasks[[#This Row],[_Pred1Text]]&amp;"F"),FIND("S",Tasks[[#This Row],[_Pred1Text]]&amp;"S"),FIND("+",Tasks[[#This Row],[_Pred1Text]]&amp;"+"),FIND("-",Tasks[[#This Row],[_Pred1Text]]&amp;"-"))-1)),""))</f>
        <v/>
      </c>
      <c r="BZ12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2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28" s="45" t="str">
        <f aca="false">IF(Tasks[[#This Row],[_Pred1Text]]="","",TRIM(MID(SUBSTITUTE(SUBSTITUTE(SUBSTITUTE(UPPER(Tasks[[#This Row],[Predecessors]]),";",",")," ",""),",",REPT(" ",99)),100,99)))</f>
        <v/>
      </c>
      <c r="CC128" s="45" t="str">
        <f aca="false">IF(Tasks[[#This Row],[_Pred2Text]]="","",IFERROR(VALUE(LEFT(Tasks[[#This Row],[_Pred2Text]],MIN(FIND("F",Tasks[[#This Row],[_Pred2Text]]&amp;"F"),FIND("S",Tasks[[#This Row],[_Pred2Text]]&amp;"S"),FIND("+",Tasks[[#This Row],[_Pred2Text]]&amp;"+"),FIND("-",Tasks[[#This Row],[_Pred2Text]]&amp;"-"))-1)),""))</f>
        <v/>
      </c>
      <c r="CD12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2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28" s="45" t="str">
        <f aca="false">IF(Tasks[[#This Row],[_Pred2Text]]="","",TRIM(MID(SUBSTITUTE(SUBSTITUTE(SUBSTITUTE(UPPER(Tasks[[#This Row],[Predecessors]]),";",",")," ",""),",",REPT(" ",99)),199,99)))</f>
        <v/>
      </c>
      <c r="CG128" s="45" t="str">
        <f aca="false">IF(Tasks[[#This Row],[_Pred3Text]]="","",IFERROR(VALUE(LEFT(Tasks[[#This Row],[_Pred3Text]],MIN(FIND("F",Tasks[[#This Row],[_Pred3Text]]&amp;"F"),FIND("S",Tasks[[#This Row],[_Pred3Text]]&amp;"S"),FIND("+",Tasks[[#This Row],[_Pred3Text]]&amp;"+"),FIND("-",Tasks[[#This Row],[_Pred3Text]]&amp;"-"))-1)),""))</f>
        <v/>
      </c>
      <c r="CH12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2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28" s="45" t="str">
        <f aca="false">IF(Tasks[[#This Row],[_Pred3Text]]="","",TRIM(MID(SUBSTITUTE(SUBSTITUTE(SUBSTITUTE(UPPER(Tasks[[#This Row],[Predecessors]]),";",",")," ",""),",",REPT(" ",99)),298,99)))</f>
        <v/>
      </c>
      <c r="CK128" s="45" t="str">
        <f aca="false">IF(Tasks[[#This Row],[_Pred4Text]]="","",IFERROR(VALUE(LEFT(Tasks[[#This Row],[_Pred4Text]],MIN(FIND("F",Tasks[[#This Row],[_Pred4Text]]&amp;"F"),FIND("S",Tasks[[#This Row],[_Pred4Text]]&amp;"S"),FIND("+",Tasks[[#This Row],[_Pred4Text]]&amp;"+"),FIND("-",Tasks[[#This Row],[_Pred4Text]]&amp;"-"))-1)),""))</f>
        <v/>
      </c>
      <c r="CL12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2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28" s="45" t="str">
        <f aca="false">IF(OR(Tasks[[#This Row],[Task Name]]="",Tasks[[#This Row],[Resources]]=""),"",TRIM(MID(SUBSTITUTE(Tasks[[#This Row],[Resources]],",",REPT(" ",99)),1,99)))</f>
        <v/>
      </c>
      <c r="CO128" s="45" t="str">
        <f aca="false">IF(Tasks[[#This Row],[_Res1Text]]="","",TRIM(MID(SUBSTITUTE(Tasks[[#This Row],[Resources]],",",REPT(" ",99)),100,99)))</f>
        <v/>
      </c>
      <c r="CP128" s="45" t="str">
        <f aca="false">IF(Tasks[[#This Row],[_Res2Text]]="","",TRIM(MID(SUBSTITUTE(Tasks[[#This Row],[Resources]],",",REPT(" ",99)),199,99)))</f>
        <v/>
      </c>
      <c r="CQ128" s="45" t="str">
        <f aca="false">IF(Tasks[[#This Row],[_Res3Text]]="","",TRIM(MID(SUBSTITUTE(Tasks[[#This Row],[Resources]],",",REPT(" ",99)),298,99)))</f>
        <v/>
      </c>
      <c r="CR12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2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8" s="45" t="n">
        <f aca="false">IF(NOT(Tasks[[#This Row],[_IsLeaf]]=1),0,(Tasks[[#This Row],[_Resource1]]&lt;&gt;"")+(Tasks[[#This Row],[_Res2]]&lt;&gt;"")+(Tasks[[#This Row],[_Res3]]&lt;&gt;"")+(Tasks[[#This Row],[_Res4]]&lt;&gt;""))</f>
        <v>0</v>
      </c>
      <c r="CU12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2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8" s="45" t="n">
        <f aca="false">IF(OR(NOT(Tasks[[#This Row],[_IsLeaf]]=1),Tasks[[#This Row],[_Res2]]=""),0,IF(ISNA(MATCH(Tasks[[#This Row],[_Res2]],res_Name,0)),0,N(Tasks[[#This Row],[Duration]])*HoursPerDay*IF(Tasks[[#This Row],[_Res2Units]]="",DefaultUnits,Tasks[[#This Row],[_Res2Units]])))</f>
        <v>0</v>
      </c>
      <c r="CX128" s="45" t="n">
        <f aca="false">IF(Tasks[[#This Row],[_Res2Work]]=0,0,Tasks[[#This Row],[_Res2Work]]*IFERROR(INDEX(res_Rate,MATCH(Tasks[[#This Row],[_Res2]],res_Name,0)),0))</f>
        <v>0</v>
      </c>
      <c r="CY128" s="45" t="n">
        <f aca="false">IF(AND(AND(Tasks[[#This Row],[_IsLeaf]]=1,Tasks[[#This Row],[_LeafTotalWork]]&gt;0),Tasks[[#This Row],[_Res2Work]]&gt;0),Tasks[[#This Row],[_Res2Work]]/(Tasks[[#This Row],[_FinishWorkday]]-Tasks[[#This Row],[_StartWorkday]]+1),0)</f>
        <v>0</v>
      </c>
      <c r="CZ128" s="45" t="n">
        <f aca="false">Tasks[[#This Row],[_Res2WorkPerWD]]*MAX(0,Tasks[[#This Row],[_StartWorkday]]-1)</f>
        <v>0</v>
      </c>
      <c r="DA128" s="45" t="n">
        <f aca="false">Tasks[[#This Row],[_Res2Work]]*Tasks[[#This Row],[_LeafProgress]]</f>
        <v>0</v>
      </c>
      <c r="DB128" s="45" t="n">
        <f aca="false">IF(Tasks[[#This Row],[_LeafTotalCost]]=0,0,Tasks[[#This Row],[_LeafAC]]*Tasks[[#This Row],[_Res2Cost]]/Tasks[[#This Row],[_LeafTotalCost]])</f>
        <v>0</v>
      </c>
      <c r="DC12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2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28" s="45" t="n">
        <f aca="false">IF(OR(NOT(Tasks[[#This Row],[_IsLeaf]]=1),Tasks[[#This Row],[_Res3]]=""),0,IF(ISNA(MATCH(Tasks[[#This Row],[_Res3]],res_Name,0)),0,N(Tasks[[#This Row],[Duration]])*HoursPerDay*IF(Tasks[[#This Row],[_Res3Units]]="",DefaultUnits,Tasks[[#This Row],[_Res3Units]])))</f>
        <v>0</v>
      </c>
      <c r="DF128" s="45" t="n">
        <f aca="false">IF(Tasks[[#This Row],[_Res3Work]]=0,0,Tasks[[#This Row],[_Res3Work]]*IFERROR(INDEX(res_Rate,MATCH(Tasks[[#This Row],[_Res3]],res_Name,0)),0))</f>
        <v>0</v>
      </c>
      <c r="DG128" s="45" t="n">
        <f aca="false">IF(AND(AND(Tasks[[#This Row],[_IsLeaf]]=1,Tasks[[#This Row],[_LeafTotalWork]]&gt;0),Tasks[[#This Row],[_Res3Work]]&gt;0),Tasks[[#This Row],[_Res3Work]]/(Tasks[[#This Row],[_FinishWorkday]]-Tasks[[#This Row],[_StartWorkday]]+1),0)</f>
        <v>0</v>
      </c>
      <c r="DH128" s="45" t="n">
        <f aca="false">Tasks[[#This Row],[_Res3WorkPerWD]]*MAX(0,Tasks[[#This Row],[_StartWorkday]]-1)</f>
        <v>0</v>
      </c>
      <c r="DI128" s="45" t="n">
        <f aca="false">Tasks[[#This Row],[_Res3Work]]*Tasks[[#This Row],[_LeafProgress]]</f>
        <v>0</v>
      </c>
      <c r="DJ128" s="45" t="n">
        <f aca="false">IF(Tasks[[#This Row],[_LeafTotalCost]]=0,0,Tasks[[#This Row],[_LeafAC]]*Tasks[[#This Row],[_Res3Cost]]/Tasks[[#This Row],[_LeafTotalCost]])</f>
        <v>0</v>
      </c>
      <c r="DK12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2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28" s="45" t="n">
        <f aca="false">IF(OR(NOT(Tasks[[#This Row],[_IsLeaf]]=1),Tasks[[#This Row],[_Res4]]=""),0,IF(ISNA(MATCH(Tasks[[#This Row],[_Res4]],res_Name,0)),0,N(Tasks[[#This Row],[Duration]])*HoursPerDay*IF(Tasks[[#This Row],[_Res4Units]]="",DefaultUnits,Tasks[[#This Row],[_Res4Units]])))</f>
        <v>0</v>
      </c>
      <c r="DN128" s="45" t="n">
        <f aca="false">IF(Tasks[[#This Row],[_Res4Work]]=0,0,Tasks[[#This Row],[_Res4Work]]*IFERROR(INDEX(res_Rate,MATCH(Tasks[[#This Row],[_Res4]],res_Name,0)),0))</f>
        <v>0</v>
      </c>
      <c r="DO128" s="45" t="n">
        <f aca="false">IF(AND(AND(Tasks[[#This Row],[_IsLeaf]]=1,Tasks[[#This Row],[_LeafTotalWork]]&gt;0),Tasks[[#This Row],[_Res4Work]]&gt;0),Tasks[[#This Row],[_Res4Work]]/(Tasks[[#This Row],[_FinishWorkday]]-Tasks[[#This Row],[_StartWorkday]]+1),0)</f>
        <v>0</v>
      </c>
      <c r="DP128" s="45" t="n">
        <f aca="false">Tasks[[#This Row],[_Res4WorkPerWD]]*MAX(0,Tasks[[#This Row],[_StartWorkday]]-1)</f>
        <v>0</v>
      </c>
      <c r="DQ128" s="45" t="n">
        <f aca="false">Tasks[[#This Row],[_Res4Work]]*Tasks[[#This Row],[_LeafProgress]]</f>
        <v>0</v>
      </c>
      <c r="DR128" s="45" t="n">
        <f aca="false">IF(Tasks[[#This Row],[_LeafTotalCost]]=0,0,Tasks[[#This Row],[_LeafAC]]*Tasks[[#This Row],[_Res4Cost]]/Tasks[[#This Row],[_LeafTotalCost]])</f>
        <v>0</v>
      </c>
      <c r="DS128" s="45" t="n">
        <f aca="false">IF(ISNUMBER(Tasks[[#This Row],[% Complete]]),Tasks[[#This Row],[% Complete]],IF(Tasks[[#This Row],[Stage]]="",0,IFERROR(INDEX(stg_Pct,MATCH(Tasks[[#This Row],[Stage]],stg_Name,0)),0)))</f>
        <v>0</v>
      </c>
      <c r="DT128" s="45" t="n">
        <f aca="false">IF(NOT(Tasks[[#This Row],[_IsLeaf]]=1),0,IF(N(Tasks[[#This Row],[Actual Finish]])&gt;0,1,MIN(1,Tasks[[#This Row],[_Pct]])))</f>
        <v>0</v>
      </c>
      <c r="DU128" s="45" t="n">
        <f aca="false">IF(OR(NOT(Tasks[[#This Row],[_IsLeaf]]=1),Tasks[[#This Row],[_Resource1]]=""),0,IF(ISNA(MATCH(Tasks[[#This Row],[_Resource1]],res_Name,0)),0,N(Tasks[[#This Row],[Duration]])*HoursPerDay*IF(Tasks[[#This Row],[_Units1]]="",DefaultUnits,Tasks[[#This Row],[_Units1]])))</f>
        <v>0</v>
      </c>
      <c r="DV128" s="45" t="n">
        <f aca="false">IF(Tasks[[#This Row],[_LeafWork]]=0,0,Tasks[[#This Row],[_LeafWork]]*IFERROR(INDEX(res_Rate,MATCH(Tasks[[#This Row],[_Resource1]],res_Name,0)),0))</f>
        <v>0</v>
      </c>
      <c r="DW128" s="45" t="n">
        <f aca="false">Tasks[[#This Row],[_LeafWork]]+Tasks[[#This Row],[_Res2Work]]+Tasks[[#This Row],[_Res3Work]]+Tasks[[#This Row],[_Res4Work]]</f>
        <v>0</v>
      </c>
      <c r="DX128" s="45" t="n">
        <f aca="false">Tasks[[#This Row],[_LeafCost]]+Tasks[[#This Row],[_Res2Cost]]+Tasks[[#This Row],[_Res3Cost]]+Tasks[[#This Row],[_Res4Cost]]</f>
        <v>0</v>
      </c>
      <c r="DY128" s="45" t="n">
        <f aca="false">IF(Tasks[[#This Row],[_LeafTotalCost]]=0,Tasks[[#This Row],[_LeafAC]],Tasks[[#This Row],[_LeafAC]]*Tasks[[#This Row],[_LeafCost]]/Tasks[[#This Row],[_LeafTotalCost]])</f>
        <v>0</v>
      </c>
      <c r="DZ12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2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2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2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2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2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2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2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28" s="45" t="n">
        <f aca="false">IF(NOT(Tasks[[#This Row],[_IsLeaf]]=1),0,MAX(_xlfn.MAXIFS(Tasks[_Row],Tasks[_Pred1UID],Tasks[[#This Row],[UID]]),_xlfn.MAXIFS(Tasks[_Row],Tasks[_Pred2UID],Tasks[[#This Row],[UID]]),_xlfn.MAXIFS(Tasks[_Row],Tasks[_Pred3UID],Tasks[[#This Row],[UID]]),_xlfn.MAXIFS(Tasks[_Row],Tasks[_Pred4UID],Tasks[[#This Row],[UID]])))</f>
        <v>0</v>
      </c>
      <c r="EI12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2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28" s="74" t="str">
        <f aca="false">IF(NOT(Tasks[[#This Row],[_IsLeaf]]=1),"",IF(N(Tasks[[#This Row],[Duration]])&lt;=0,Tasks[[#This Row],[_LeafLateFinish]],WORKDAY.INTL(Tasks[[#This Row],[_LeafLateFinish]],-(Tasks[[#This Row],[Duration]]-1),WorkWeek,Holidays)))</f>
        <v/>
      </c>
      <c r="EL12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28" s="73" t="b">
        <f aca="false">AND(Tasks[[#This Row],[_IsLeaf]]=1,Tasks[[#This Row],[_LeafProgress]]&lt;1,N(Tasks[[#This Row],[_LeafTotalSlack]])&lt;=CriticalSlackDays)</f>
        <v>0</v>
      </c>
      <c r="EN128" s="45" t="n">
        <f aca="false">IF(AND(Tasks[[#This Row],[_IsLeaf]]=1,Tasks[[#This Row],[_ConstraintCode]]=1,Tasks[[#This Row],[Mode]]&lt;&gt;"Manual",N(Tasks[[#This Row],[Actual Start]])=0),MAX(0,N(Tasks[[#This Row],[Free Slack]])),0)</f>
        <v>0</v>
      </c>
      <c r="EO128" s="74" t="str">
        <f aca="false">IF(NOT(Tasks[[#This Row],[_IsLeaf]]=1),"",IF(Tasks[[#This Row],[_AlapShift]]=0,Tasks[[#This Row],[_LeafCalcStart]],WORKDAY.INTL(Tasks[[#This Row],[_LeafCalcStart]],Tasks[[#This Row],[_AlapShift]],WorkWeek,Holidays)))</f>
        <v/>
      </c>
      <c r="EP128" s="74" t="str">
        <f aca="false">IF(NOT(Tasks[[#This Row],[_IsLeaf]]=1),"",IF(Tasks[[#This Row],[_AlapShift]]=0,Tasks[[#This Row],[_LeafCalcFinish]],WORKDAY.INTL(Tasks[[#This Row],[_LeafCalcFinish]],Tasks[[#This Row],[_AlapShift]],WorkWeek,Holidays)))</f>
        <v/>
      </c>
      <c r="EQ128" s="74" t="str">
        <f aca="false">IF(NOT(Tasks[[#This Row],[_IsLeaf]]=1),"",IF(Tasks[[#This Row],[_AlapShift]]=0,Tasks[[#This Row],[_LeafFcstStart]],WORKDAY.INTL(Tasks[[#This Row],[_LeafFcstStart]],Tasks[[#This Row],[_AlapShift]],WorkWeek,Holidays)))</f>
        <v/>
      </c>
      <c r="ER128" s="74" t="str">
        <f aca="false">IF(NOT(Tasks[[#This Row],[_IsLeaf]]=1),"",IF(Tasks[[#This Row],[_AlapShift]]=0,Tasks[[#This Row],[_LeafFcstFinish]],WORKDAY.INTL(Tasks[[#This Row],[_LeafFcstFinish]],Tasks[[#This Row],[_AlapShift]],WorkWeek,Holidays)))</f>
        <v/>
      </c>
      <c r="ES128" s="74" t="str">
        <f aca="false">IF(Tasks[[#This Row],[Task Name]]="","",IF(Tasks[[#This Row],[_IsSummary]],MIN(INDEX(Tasks[_ShownCalcStart],Tasks[[#This Row],[_Row]]+1):INDEX(Tasks[_ShownCalcStart],Tasks[[#This Row],[_Row]]+Tasks[[#This Row],[_Descendants]])),Tasks[[#This Row],[_ShownCalcStart]]))</f>
        <v/>
      </c>
      <c r="ET128" s="74" t="str">
        <f aca="false">IF(Tasks[[#This Row],[Task Name]]="","",IF(Tasks[[#This Row],[_IsSummary]],MAX(INDEX(Tasks[_ShownCalcFinish],Tasks[[#This Row],[_Row]]+1):INDEX(Tasks[_ShownCalcFinish],Tasks[[#This Row],[_Row]]+Tasks[[#This Row],[_Descendants]])),Tasks[[#This Row],[_ShownCalcFinish]]))</f>
        <v/>
      </c>
      <c r="EU12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2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2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2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2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2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2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2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2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2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2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2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28" s="45" t="n">
        <f aca="false">IF(AND(Tasks[[#This Row],[_IsLeaf]]=1,Tasks[[#This Row],[_LeafTotalWork]]&gt;0),NETWORKDAYS.INTL(ProjectStart,Tasks[[#This Row],[_ShownFcstStart]],WorkWeek,Holidays),0)</f>
        <v>0</v>
      </c>
      <c r="FH128" s="45" t="n">
        <f aca="false">IF(AND(Tasks[[#This Row],[_IsLeaf]]=1,Tasks[[#This Row],[_LeafTotalWork]]&gt;0),MAX(Tasks[[#This Row],[_StartWorkday]],NETWORKDAYS.INTL(ProjectStart,Tasks[[#This Row],[_ShownFcstFinish]],WorkWeek,Holidays)),0)</f>
        <v>0</v>
      </c>
      <c r="FI128" s="45" t="n">
        <f aca="false">IF(AND(Tasks[[#This Row],[_IsLeaf]]=1,Tasks[[#This Row],[_LeafTotalWork]]&gt;0),Tasks[[#This Row],[_LeafWork]]/(Tasks[[#This Row],[_FinishWorkday]]-Tasks[[#This Row],[_StartWorkday]]+1),0)</f>
        <v>0</v>
      </c>
      <c r="FJ128" s="45" t="n">
        <f aca="false">Tasks[[#This Row],[_WorkPerWorkday]]*(Tasks[[#This Row],[_StartWorkday]]-1)</f>
        <v>-0</v>
      </c>
      <c r="FK128" s="45" t="n">
        <f aca="false">IF(Tasks[[#This Row],[_IsLeaf]]=1,MAX(N(Tasks[[#This Row],[Duration]]),0.1),0)</f>
        <v>0</v>
      </c>
      <c r="FL128" s="45" t="n">
        <f aca="false">Tasks[[#This Row],[_WeightDur]]*Tasks[[#This Row],[_LeafProgress]]</f>
        <v>0</v>
      </c>
      <c r="FM12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28" s="45" t="str">
        <f aca="false">IF(AND(Tasks[[#This Row],[_IsLeaf]]=1,N(Tasks[[#This Row],[Duration]])=0,Tasks[[#This Row],[_LeafProgress]]&lt;1),Tasks[[#This Row],[_ShownFcstFinish]]+Tasks[[#This Row],[_Row]]/100000,"")</f>
        <v/>
      </c>
      <c r="FO12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28" s="45" t="n">
        <f aca="false">IF(NOT(Tasks[[#This Row],[_IsLeaf]]=1),0,IF(Tasks[[#This Row],[Baseline Cost]]="",Tasks[[#This Row],[_LeafTotalCost]],N(Tasks[[#This Row],[Baseline Cost]])))</f>
        <v>0</v>
      </c>
      <c r="FQ128" s="45" t="n">
        <f aca="false">Tasks[[#This Row],[_LeafBudget]]*Tasks[[#This Row],[_PlannedPct]]</f>
        <v>0</v>
      </c>
      <c r="FR128" s="45" t="n">
        <f aca="false">Tasks[[#This Row],[_LeafBudget]]*Tasks[[#This Row],[_LeafProgress]]</f>
        <v>0</v>
      </c>
      <c r="FS128" s="45" t="n">
        <f aca="false">IF(NOT(Tasks[[#This Row],[_IsLeaf]]=1),0,IF(Tasks[[#This Row],[Actual Cost]]="",Tasks[[#This Row],[_LeafTotalCost]]*Tasks[[#This Row],[_LeafProgress]],N(Tasks[[#This Row],[Actual Cost]])))</f>
        <v>0</v>
      </c>
      <c r="FT128" s="45" t="str">
        <f aca="false">IF(Tasks[[#This Row],[Task Name]]="","",LEFT(Tasks[[#This Row],[WBS]],FIND(".",Tasks[[#This Row],[WBS]]&amp;".")-1))</f>
        <v/>
      </c>
      <c r="FU128" s="45" t="str">
        <f aca="false">IF(AND(Tasks[[#This Row],[Task Name]]&lt;&gt;"",Tasks[[#This Row],[_Level]]=1),Tasks[[#This Row],[_Row]],"")</f>
        <v/>
      </c>
      <c r="FV128" s="45" t="str">
        <f aca="false">IF(AND(Tasks[[#This Row],[_IsLeaf]]=1,N(Tasks[[#This Row],[Duration]])=0),Tasks[[#This Row],[Planned Finish]]+Tasks[[#This Row],[_Row]]/100000,"")</f>
        <v/>
      </c>
      <c r="FW128" s="45" t="str">
        <f aca="false">IF(AND(Tasks[[#This Row],[_IsLeaf]]=1,Tasks[[#This Row],[_LeafProgress]]&lt;1,OR(N(Tasks[[#This Row],[Finish Var]])&gt;0,Tasks[[#This Row],[Status]]="Late Start")),MAX(0,Tasks[[#This Row],[Finish Var]])+1-Tasks[[#This Row],[_Row]]/1000000,"")</f>
        <v/>
      </c>
      <c r="FX128" s="45" t="str">
        <f aca="false">IF(AND(Tasks[[#This Row],[_IsLeaf]]=1,N(Tasks[[#This Row],[Actual Start]])=0,Tasks[[#This Row],[_ShownFcstStart]]&gt;=StatusDate,Tasks[[#This Row],[_ShownFcstStart]]&lt;=LookaheadEnd),Tasks[[#This Row],[_ShownFcstStart]]+Tasks[[#This Row],[_Row]]/100000,"")</f>
        <v/>
      </c>
      <c r="FY128" s="45" t="str">
        <f aca="false">IF(AND(Tasks[[#This Row],[_IsLeaf]]=1,Tasks[[#This Row],[_LeafProgress]]&lt;1,Tasks[[#This Row],[_ShownFcstFinish]]&gt;=StatusDate,Tasks[[#This Row],[_ShownFcstFinish]]&lt;=LookaheadEnd),Tasks[[#This Row],[_ShownFcstFinish]]+Tasks[[#This Row],[_Row]]/100000,"")</f>
        <v/>
      </c>
      <c r="FZ128" s="45" t="str">
        <f aca="false">IF(Tasks[[#This Row],[_LeafCritical]],Tasks[[#This Row],[_ShownFcstStart]]+Tasks[[#This Row],[_Row]]/100000,"")</f>
        <v/>
      </c>
      <c r="GA128" s="45" t="n">
        <f aca="false">Tasks[[#This Row],[_LeafWork]]*Tasks[[#This Row],[_LeafProgress]]</f>
        <v>0</v>
      </c>
      <c r="GB128" s="74" t="str">
        <f aca="false">IF(AND(Tasks[[#This Row],[_IsLeaf]]=1,Tasks[[#This Row],[_LeafProgress]]&gt;=1),IF(N(Tasks[[#This Row],[Actual Finish]])&gt;0,Tasks[[#This Row],[Actual Finish]],Tasks[[#This Row],[_ShownFcstFinish]]),"")</f>
        <v/>
      </c>
    </row>
    <row r="129" customFormat="false" ht="15" hidden="false" customHeight="false" outlineLevel="0" collapsed="false">
      <c r="A129" s="67" t="str">
        <f aca="false">IF(Tasks[[#This Row],[Task Name]]="","",COUNTA(Tasks[[#Headers],[Task Name]]:Tasks[[#This Row],[Task Name]])-1)</f>
        <v/>
      </c>
      <c r="B129" s="21" t="n">
        <v>124</v>
      </c>
      <c r="C12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21"/>
      <c r="E129" s="22"/>
      <c r="F129" s="21"/>
      <c r="G129" s="22"/>
      <c r="H129" s="22"/>
      <c r="I129" s="22"/>
      <c r="J129" s="7"/>
      <c r="K129" s="7"/>
      <c r="L129" s="22"/>
      <c r="M129" s="58" t="str">
        <f aca="false">IF(Tasks[[#This Row],[Task Name]]="","",IF(Tasks[[#This Row],[_IsSummary]],MIN(INDEX(Tasks[_ShownFcstStart],Tasks[[#This Row],[_Row]]+1):INDEX(Tasks[_ShownFcstStart],Tasks[[#This Row],[_Row]]+Tasks[[#This Row],[_Descendants]])),Tasks[[#This Row],[_ShownFcstStart]]))</f>
        <v/>
      </c>
      <c r="N129" s="58" t="str">
        <f aca="false">IF(Tasks[[#This Row],[Task Name]]="","",IF(Tasks[[#This Row],[_IsSummary]],MAX(INDEX(Tasks[_ShownFcstFinish],Tasks[[#This Row],[_Row]]+1):INDEX(Tasks[_ShownFcstFinish],Tasks[[#This Row],[_Row]]+Tasks[[#This Row],[_Descendants]])),Tasks[[#This Row],[_ShownFcstFinish]]))</f>
        <v/>
      </c>
      <c r="O129" s="20" t="str">
        <f aca="false">IF(Tasks[[#This Row],[Task Name]]="","",IF(Tasks[[#This Row],[Progress]]&gt;=1,"Complete",IF(OR(N(Tasks[[#This Row],[Actual Start]])&gt;0,Tasks[[#This Row],[Progress]]&gt;0),IF(Tasks[[#This Row],[Finish Var]]&gt;0,"Behind","In Progress"),IF(Tasks[[#This Row],[Planned Start]]&lt;StatusDate,"Late Start","Not Started"))))</f>
        <v/>
      </c>
      <c r="P129" s="20" t="str">
        <f aca="false">IF(Tasks[[#This Row],[Task Name]]="","",IF(IF(Tasks[[#This Row],[_IsSummary]],COUNTIF(INDEX(Tasks[_LeafCritical],Tasks[[#This Row],[_Row]]+1):INDEX(Tasks[_LeafCritical],Tasks[[#This Row],[_Row]]+Tasks[[#This Row],[_Descendants]]),TRUE())&gt;0,Tasks[[#This Row],[_LeafCritical]]),"Yes",""))</f>
        <v/>
      </c>
      <c r="Q12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29" s="67" t="str">
        <f aca="false">IF(Tasks[[#This Row],[Task Name]]="","",IF(Tasks[[#This Row],[_Level]]&lt;=OutlineShowLevel,"Yes","No"))</f>
        <v/>
      </c>
      <c r="S129" s="7"/>
      <c r="T129" s="21"/>
      <c r="U129" s="22"/>
      <c r="V129" s="7"/>
      <c r="W129" s="67" t="str">
        <f aca="false">IF(Tasks[[#This Row],[Task Name]]="","",IF(Tasks[[#This Row],[Finish]]&gt;=Tasks[[#This Row],[Planned Finish]],NETWORKDAYS.INTL(Tasks[[#This Row],[Planned Finish]],Tasks[[#This Row],[Finish]],WorkWeek,Holidays)-1,1-NETWORKDAYS.INTL(Tasks[[#This Row],[Finish]],Tasks[[#This Row],[Planned Finish]],WorkWeek,Holidays)))</f>
        <v/>
      </c>
      <c r="X129" s="58" t="str">
        <f aca="false">IF(Tasks[[#This Row],[Task Name]]="","",IF(N(Tasks[[#This Row],[Baseline Start]])&gt;0,Tasks[[#This Row],[Baseline Start]],Tasks[[#This Row],[_CalcStart]]))</f>
        <v/>
      </c>
      <c r="Y129" s="58" t="str">
        <f aca="false">IF(Tasks[[#This Row],[Task Name]]="","",IF(N(Tasks[[#This Row],[Baseline Finish]])&gt;0,Tasks[[#This Row],[Baseline Finish]],Tasks[[#This Row],[_CalcFinish]]))</f>
        <v/>
      </c>
      <c r="Z129" s="67" t="str">
        <f aca="false">IF(Tasks[[#This Row],[Task Name]]="","",IF(Tasks[[#This Row],[Start]]&gt;=Tasks[[#This Row],[Planned Start]],NETWORKDAYS.INTL(Tasks[[#This Row],[Planned Start]],Tasks[[#This Row],[Start]],WorkWeek,Holidays)-1,1-NETWORKDAYS.INTL(Tasks[[#This Row],[Start]],Tasks[[#This Row],[Planned Start]],WorkWeek,Holidays)))</f>
        <v/>
      </c>
      <c r="AA129" s="58" t="str">
        <f aca="false">IF(Tasks[[#This Row],[Task Name]]="","",IF(Tasks[[#This Row],[_IsSummary]],MIN(INDEX(Tasks[_LeafLateStart],Tasks[[#This Row],[_Row]]+1):INDEX(Tasks[_LeafLateStart],Tasks[[#This Row],[_Row]]+Tasks[[#This Row],[_Descendants]])),Tasks[[#This Row],[_LeafLateStart]]))</f>
        <v/>
      </c>
      <c r="AB129" s="58" t="str">
        <f aca="false">IF(Tasks[[#This Row],[Task Name]]="","",IF(Tasks[[#This Row],[_IsSummary]],MAX(INDEX(Tasks[_LeafLateFinish],Tasks[[#This Row],[_Row]]+1):INDEX(Tasks[_LeafLateFinish],Tasks[[#This Row],[_Row]]+Tasks[[#This Row],[_Descendants]])),Tasks[[#This Row],[_LeafLateFinish]]))</f>
        <v/>
      </c>
      <c r="AC129" s="67" t="str">
        <f aca="false">IF(Tasks[[#This Row],[Task Name]]="","",IF(Tasks[[#This Row],[_IsSummary]],MIN(INDEX(Tasks[_LeafTotalSlack],Tasks[[#This Row],[_Row]]+1):INDEX(Tasks[_LeafTotalSlack],Tasks[[#This Row],[_Row]]+Tasks[[#This Row],[_Descendants]])),Tasks[[#This Row],[_LeafTotalSlack]]))</f>
        <v/>
      </c>
      <c r="AD12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2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2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29" s="60"/>
      <c r="AH12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2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29" s="69" t="str">
        <f aca="false">IF(Tasks[[#This Row],[Task Name]]="","",IF(Tasks[[#This Row],[_IsSummary]],SUM(INDEX(Tasks[_LeafTotalWork],Tasks[[#This Row],[_Row]]+1):INDEX(Tasks[_LeafTotalWork],Tasks[[#This Row],[_Row]]+Tasks[[#This Row],[_Descendants]])),Tasks[[#This Row],[_LeafTotalWork]]))</f>
        <v/>
      </c>
      <c r="AK12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29" s="70" t="str">
        <f aca="false">IF(Tasks[[#This Row],[Task Name]]="","",IF(Tasks[[#This Row],[_IsSummary]],SUM(INDEX(Tasks[_LeafTotalCost],Tasks[[#This Row],[_Row]]+1):INDEX(Tasks[_LeafTotalCost],Tasks[[#This Row],[_Row]]+Tasks[[#This Row],[_Descendants]])),Tasks[[#This Row],[_LeafTotalCost]]))</f>
        <v/>
      </c>
      <c r="AM129" s="71"/>
      <c r="AN129" s="20" t="str">
        <f aca="false">IF(OR(Tasks[[#This Row],[Task Name]]="",Tasks[[#This Row],[Baseline Duration]]=""),"",Tasks[[#This Row],[BL Source Duration]]-N(Tasks[[#This Row],[Baseline Duration]]))</f>
        <v/>
      </c>
      <c r="AO129" s="69" t="str">
        <f aca="false">IF(OR(Tasks[[#This Row],[Task Name]]="",Tasks[[#This Row],[Baseline Work]]=""),"",Tasks[[#This Row],[Work]]-N(Tasks[[#This Row],[Baseline Work]]))</f>
        <v/>
      </c>
      <c r="AP129" s="70" t="str">
        <f aca="false">IF(OR(Tasks[[#This Row],[Task Name]]="",Tasks[[#This Row],[Baseline Cost]]=""),"",Tasks[[#This Row],[Cost]]-N(Tasks[[#This Row],[Baseline Cost]]))</f>
        <v/>
      </c>
      <c r="AQ129" s="58" t="str">
        <f aca="false">IF(Tasks[[#This Row],[Task Name]]="","",Tasks[[#This Row],[Start]])</f>
        <v/>
      </c>
      <c r="AR129" s="58" t="str">
        <f aca="false">IF(Tasks[[#This Row],[Task Name]]="","",Tasks[[#This Row],[Finish]])</f>
        <v/>
      </c>
      <c r="AS129" s="67" t="str">
        <f aca="false">IF(Tasks[[#This Row],[Task Name]]="","",IF(Tasks[[#This Row],[_IsSummary]],NETWORKDAYS.INTL(Tasks[[#This Row],[Start]],Tasks[[#This Row],[Finish]],WorkWeek,Holidays),N(Tasks[[#This Row],[Duration]])))</f>
        <v/>
      </c>
      <c r="AT129" s="69" t="str">
        <f aca="false">IF(Tasks[[#This Row],[Task Name]]="","",Tasks[[#This Row],[Work]])</f>
        <v/>
      </c>
      <c r="AU129" s="70" t="str">
        <f aca="false">IF(Tasks[[#This Row],[Task Name]]="","",Tasks[[#This Row],[Cost]])</f>
        <v/>
      </c>
      <c r="AV129" s="7"/>
      <c r="AW129" s="7"/>
      <c r="AX129" s="21"/>
      <c r="AY129" s="72"/>
      <c r="AZ129" s="71"/>
      <c r="BA129" s="70" t="str">
        <f aca="false">IF(Tasks[[#This Row],[Task Name]]="","",IF(Tasks[[#This Row],[_IsSummary]],SUM(INDEX(Tasks[_LeafEV],Tasks[[#This Row],[_Row]]+1):INDEX(Tasks[_LeafEV],Tasks[[#This Row],[_Row]]+Tasks[[#This Row],[_Descendants]])),Tasks[[#This Row],[_LeafEV]]))</f>
        <v/>
      </c>
      <c r="BB129" s="70" t="str">
        <f aca="false">IF(Tasks[[#This Row],[Task Name]]="","",IF(Tasks[[#This Row],[_IsSummary]],SUM(INDEX(Tasks[_LeafBudget],Tasks[[#This Row],[_Row]]+1):INDEX(Tasks[_LeafBudget],Tasks[[#This Row],[_Row]]+Tasks[[#This Row],[_Descendants]])),Tasks[[#This Row],[_LeafBudget]]))</f>
        <v/>
      </c>
      <c r="BC129" s="70" t="str">
        <f aca="false">IF(Tasks[[#This Row],[Task Name]]="","",IF(Tasks[[#This Row],[_IsSummary]],SUM(INDEX(Tasks[_LeafPV],Tasks[[#This Row],[_Row]]+1):INDEX(Tasks[_LeafPV],Tasks[[#This Row],[_Row]]+Tasks[[#This Row],[_Descendants]])),Tasks[[#This Row],[_LeafPV]]))</f>
        <v/>
      </c>
      <c r="BD129" s="70" t="str">
        <f aca="false">IF(Tasks[[#This Row],[Task Name]]="","",IF(Tasks[[#This Row],[_IsSummary]],SUM(INDEX(Tasks[_LeafAC],Tasks[[#This Row],[_Row]]+1):INDEX(Tasks[_LeafAC],Tasks[[#This Row],[_Row]]+Tasks[[#This Row],[_Descendants]])),Tasks[[#This Row],[_LeafAC]]))</f>
        <v/>
      </c>
      <c r="BE129" s="45" t="str">
        <f aca="false">IF(Tasks[[#This Row],[Task Name]]="","",MAX(1,N(Tasks[[#This Row],[Level]])))</f>
        <v/>
      </c>
      <c r="BF129" s="45" t="n">
        <f aca="false">ROW()-ROW(Tasks[[#Headers],[ID]])</f>
        <v>124</v>
      </c>
      <c r="BG129" s="45" t="n">
        <f aca="false">IF(OR(Tasks[[#This Row],[Task Name]]="",Tasks[[#This Row],[_Level]]&lt;=1),0,IFERROR(LOOKUP(2,1/(Tasks[[#Headers],[_Level]]:Tasks[[#This Row],[_Level]]=Tasks[[#This Row],[_Level]]-1),ROW(Tasks[[#Headers],[_Level]]:Tasks[[#This Row],[_Level]])),0))</f>
        <v>0</v>
      </c>
      <c r="BH129" s="45" t="n">
        <f aca="false">IFERROR(N(INDEX(Tasks[_Level],Tasks[[#This Row],[_Row]]+1)),0)</f>
        <v>0</v>
      </c>
      <c r="BI129" s="73" t="b">
        <f aca="false">AND(Tasks[[#This Row],[Task Name]]&lt;&gt;"",Tasks[[#This Row],[_NextLevel]]&gt;Tasks[[#This Row],[_Level]])</f>
        <v>0</v>
      </c>
      <c r="BJ129" s="45" t="n">
        <f aca="false">IF(Tasks[[#This Row],[_IsSummary]],COUNTIF(Tasks[WBS],Tasks[[#This Row],[WBS]]&amp;".*"),0)</f>
        <v>0</v>
      </c>
      <c r="BK129" s="45" t="n">
        <f aca="false">IF(AND(Tasks[[#This Row],[Task Name]]&lt;&gt;"",NOT(Tasks[[#This Row],[_IsSummary]])),1,0)</f>
        <v>0</v>
      </c>
      <c r="BL129" s="45" t="n">
        <f aca="false">IF(N(Tasks[[#This Row],[_Pred1UID]])=0,0,IFERROR(MATCH(Tasks[[#This Row],[_Pred1UID]],Tasks[UID],0),-1))</f>
        <v>0</v>
      </c>
      <c r="BM129" s="45" t="n">
        <f aca="false">IF(N(Tasks[[#This Row],[_Pred2UID]])=0,0,IFERROR(MATCH(Tasks[[#This Row],[_Pred2UID]],Tasks[UID],0),-1))</f>
        <v>0</v>
      </c>
      <c r="BN129" s="45" t="n">
        <f aca="false">IF(N(Tasks[[#This Row],[_Pred3UID]])=0,0,IFERROR(MATCH(Tasks[[#This Row],[_Pred3UID]],Tasks[UID],0),-1))</f>
        <v>0</v>
      </c>
      <c r="BO129" s="45" t="n">
        <f aca="false">IF(N(Tasks[[#This Row],[_Pred4UID]])=0,0,IFERROR(MATCH(Tasks[[#This Row],[_Pred4UID]],Tasks[UID],0),-1))</f>
        <v>0</v>
      </c>
      <c r="BP12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2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29" s="74" t="n">
        <f aca="false">IF(OR(Tasks[[#This Row],[_ConstraintCode]]=2,Tasks[[#This Row],[_ConstraintCode]]=3,Tasks[[#This Row],[_ConstraintCode]]=4,Tasks[[#This Row],[_ConstraintCode]]=6),Tasks[[#This Row],[_ConstraintStart]],0)</f>
        <v>0</v>
      </c>
      <c r="BS129" s="74" t="n">
        <f aca="false">IF(OR(Tasks[[#This Row],[_ConstraintCode]]=2,Tasks[[#This Row],[_ConstraintCode]]=3,Tasks[[#This Row],[_ConstraintCode]]=5,Tasks[[#This Row],[_ConstraintCode]]=7),Tasks[[#This Row],[_ConstraintStart]],2958465)</f>
        <v>2958465</v>
      </c>
      <c r="BT12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29" s="74" t="str">
        <f aca="false">IF(NOT(Tasks[[#This Row],[_IsLeaf]]=1),"",IF(N(Tasks[[#This Row],[Duration]])&lt;=0,Tasks[[#This Row],[_LeafCalcStart]],WORKDAY.INTL(Tasks[[#This Row],[_LeafCalcStart]],Tasks[[#This Row],[Duration]]-1,WorkWeek,Holidays)))</f>
        <v/>
      </c>
      <c r="BV12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2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29" s="45" t="str">
        <f aca="false">IF(Tasks[[#This Row],[Predecessors]]="","",TRIM(MID(SUBSTITUTE(SUBSTITUTE(SUBSTITUTE(UPPER(Tasks[[#This Row],[Predecessors]]),";",",")," ",""),",",REPT(" ",99)),1,99)))</f>
        <v/>
      </c>
      <c r="BY129" s="45" t="str">
        <f aca="false">IF(Tasks[[#This Row],[_Pred1Text]]="","",IFERROR(VALUE(LEFT(Tasks[[#This Row],[_Pred1Text]],MIN(FIND("F",Tasks[[#This Row],[_Pred1Text]]&amp;"F"),FIND("S",Tasks[[#This Row],[_Pred1Text]]&amp;"S"),FIND("+",Tasks[[#This Row],[_Pred1Text]]&amp;"+"),FIND("-",Tasks[[#This Row],[_Pred1Text]]&amp;"-"))-1)),""))</f>
        <v/>
      </c>
      <c r="BZ12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2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29" s="45" t="str">
        <f aca="false">IF(Tasks[[#This Row],[_Pred1Text]]="","",TRIM(MID(SUBSTITUTE(SUBSTITUTE(SUBSTITUTE(UPPER(Tasks[[#This Row],[Predecessors]]),";",",")," ",""),",",REPT(" ",99)),100,99)))</f>
        <v/>
      </c>
      <c r="CC129" s="45" t="str">
        <f aca="false">IF(Tasks[[#This Row],[_Pred2Text]]="","",IFERROR(VALUE(LEFT(Tasks[[#This Row],[_Pred2Text]],MIN(FIND("F",Tasks[[#This Row],[_Pred2Text]]&amp;"F"),FIND("S",Tasks[[#This Row],[_Pred2Text]]&amp;"S"),FIND("+",Tasks[[#This Row],[_Pred2Text]]&amp;"+"),FIND("-",Tasks[[#This Row],[_Pred2Text]]&amp;"-"))-1)),""))</f>
        <v/>
      </c>
      <c r="CD12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2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29" s="45" t="str">
        <f aca="false">IF(Tasks[[#This Row],[_Pred2Text]]="","",TRIM(MID(SUBSTITUTE(SUBSTITUTE(SUBSTITUTE(UPPER(Tasks[[#This Row],[Predecessors]]),";",",")," ",""),",",REPT(" ",99)),199,99)))</f>
        <v/>
      </c>
      <c r="CG129" s="45" t="str">
        <f aca="false">IF(Tasks[[#This Row],[_Pred3Text]]="","",IFERROR(VALUE(LEFT(Tasks[[#This Row],[_Pred3Text]],MIN(FIND("F",Tasks[[#This Row],[_Pred3Text]]&amp;"F"),FIND("S",Tasks[[#This Row],[_Pred3Text]]&amp;"S"),FIND("+",Tasks[[#This Row],[_Pred3Text]]&amp;"+"),FIND("-",Tasks[[#This Row],[_Pred3Text]]&amp;"-"))-1)),""))</f>
        <v/>
      </c>
      <c r="CH12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2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29" s="45" t="str">
        <f aca="false">IF(Tasks[[#This Row],[_Pred3Text]]="","",TRIM(MID(SUBSTITUTE(SUBSTITUTE(SUBSTITUTE(UPPER(Tasks[[#This Row],[Predecessors]]),";",",")," ",""),",",REPT(" ",99)),298,99)))</f>
        <v/>
      </c>
      <c r="CK129" s="45" t="str">
        <f aca="false">IF(Tasks[[#This Row],[_Pred4Text]]="","",IFERROR(VALUE(LEFT(Tasks[[#This Row],[_Pred4Text]],MIN(FIND("F",Tasks[[#This Row],[_Pred4Text]]&amp;"F"),FIND("S",Tasks[[#This Row],[_Pred4Text]]&amp;"S"),FIND("+",Tasks[[#This Row],[_Pred4Text]]&amp;"+"),FIND("-",Tasks[[#This Row],[_Pred4Text]]&amp;"-"))-1)),""))</f>
        <v/>
      </c>
      <c r="CL12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2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29" s="45" t="str">
        <f aca="false">IF(OR(Tasks[[#This Row],[Task Name]]="",Tasks[[#This Row],[Resources]]=""),"",TRIM(MID(SUBSTITUTE(Tasks[[#This Row],[Resources]],",",REPT(" ",99)),1,99)))</f>
        <v/>
      </c>
      <c r="CO129" s="45" t="str">
        <f aca="false">IF(Tasks[[#This Row],[_Res1Text]]="","",TRIM(MID(SUBSTITUTE(Tasks[[#This Row],[Resources]],",",REPT(" ",99)),100,99)))</f>
        <v/>
      </c>
      <c r="CP129" s="45" t="str">
        <f aca="false">IF(Tasks[[#This Row],[_Res2Text]]="","",TRIM(MID(SUBSTITUTE(Tasks[[#This Row],[Resources]],",",REPT(" ",99)),199,99)))</f>
        <v/>
      </c>
      <c r="CQ129" s="45" t="str">
        <f aca="false">IF(Tasks[[#This Row],[_Res3Text]]="","",TRIM(MID(SUBSTITUTE(Tasks[[#This Row],[Resources]],",",REPT(" ",99)),298,99)))</f>
        <v/>
      </c>
      <c r="CR12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2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9" s="45" t="n">
        <f aca="false">IF(NOT(Tasks[[#This Row],[_IsLeaf]]=1),0,(Tasks[[#This Row],[_Resource1]]&lt;&gt;"")+(Tasks[[#This Row],[_Res2]]&lt;&gt;"")+(Tasks[[#This Row],[_Res3]]&lt;&gt;"")+(Tasks[[#This Row],[_Res4]]&lt;&gt;""))</f>
        <v>0</v>
      </c>
      <c r="CU12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2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9" s="45" t="n">
        <f aca="false">IF(OR(NOT(Tasks[[#This Row],[_IsLeaf]]=1),Tasks[[#This Row],[_Res2]]=""),0,IF(ISNA(MATCH(Tasks[[#This Row],[_Res2]],res_Name,0)),0,N(Tasks[[#This Row],[Duration]])*HoursPerDay*IF(Tasks[[#This Row],[_Res2Units]]="",DefaultUnits,Tasks[[#This Row],[_Res2Units]])))</f>
        <v>0</v>
      </c>
      <c r="CX129" s="45" t="n">
        <f aca="false">IF(Tasks[[#This Row],[_Res2Work]]=0,0,Tasks[[#This Row],[_Res2Work]]*IFERROR(INDEX(res_Rate,MATCH(Tasks[[#This Row],[_Res2]],res_Name,0)),0))</f>
        <v>0</v>
      </c>
      <c r="CY129" s="45" t="n">
        <f aca="false">IF(AND(AND(Tasks[[#This Row],[_IsLeaf]]=1,Tasks[[#This Row],[_LeafTotalWork]]&gt;0),Tasks[[#This Row],[_Res2Work]]&gt;0),Tasks[[#This Row],[_Res2Work]]/(Tasks[[#This Row],[_FinishWorkday]]-Tasks[[#This Row],[_StartWorkday]]+1),0)</f>
        <v>0</v>
      </c>
      <c r="CZ129" s="45" t="n">
        <f aca="false">Tasks[[#This Row],[_Res2WorkPerWD]]*MAX(0,Tasks[[#This Row],[_StartWorkday]]-1)</f>
        <v>0</v>
      </c>
      <c r="DA129" s="45" t="n">
        <f aca="false">Tasks[[#This Row],[_Res2Work]]*Tasks[[#This Row],[_LeafProgress]]</f>
        <v>0</v>
      </c>
      <c r="DB129" s="45" t="n">
        <f aca="false">IF(Tasks[[#This Row],[_LeafTotalCost]]=0,0,Tasks[[#This Row],[_LeafAC]]*Tasks[[#This Row],[_Res2Cost]]/Tasks[[#This Row],[_LeafTotalCost]])</f>
        <v>0</v>
      </c>
      <c r="DC12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2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29" s="45" t="n">
        <f aca="false">IF(OR(NOT(Tasks[[#This Row],[_IsLeaf]]=1),Tasks[[#This Row],[_Res3]]=""),0,IF(ISNA(MATCH(Tasks[[#This Row],[_Res3]],res_Name,0)),0,N(Tasks[[#This Row],[Duration]])*HoursPerDay*IF(Tasks[[#This Row],[_Res3Units]]="",DefaultUnits,Tasks[[#This Row],[_Res3Units]])))</f>
        <v>0</v>
      </c>
      <c r="DF129" s="45" t="n">
        <f aca="false">IF(Tasks[[#This Row],[_Res3Work]]=0,0,Tasks[[#This Row],[_Res3Work]]*IFERROR(INDEX(res_Rate,MATCH(Tasks[[#This Row],[_Res3]],res_Name,0)),0))</f>
        <v>0</v>
      </c>
      <c r="DG129" s="45" t="n">
        <f aca="false">IF(AND(AND(Tasks[[#This Row],[_IsLeaf]]=1,Tasks[[#This Row],[_LeafTotalWork]]&gt;0),Tasks[[#This Row],[_Res3Work]]&gt;0),Tasks[[#This Row],[_Res3Work]]/(Tasks[[#This Row],[_FinishWorkday]]-Tasks[[#This Row],[_StartWorkday]]+1),0)</f>
        <v>0</v>
      </c>
      <c r="DH129" s="45" t="n">
        <f aca="false">Tasks[[#This Row],[_Res3WorkPerWD]]*MAX(0,Tasks[[#This Row],[_StartWorkday]]-1)</f>
        <v>0</v>
      </c>
      <c r="DI129" s="45" t="n">
        <f aca="false">Tasks[[#This Row],[_Res3Work]]*Tasks[[#This Row],[_LeafProgress]]</f>
        <v>0</v>
      </c>
      <c r="DJ129" s="45" t="n">
        <f aca="false">IF(Tasks[[#This Row],[_LeafTotalCost]]=0,0,Tasks[[#This Row],[_LeafAC]]*Tasks[[#This Row],[_Res3Cost]]/Tasks[[#This Row],[_LeafTotalCost]])</f>
        <v>0</v>
      </c>
      <c r="DK12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2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29" s="45" t="n">
        <f aca="false">IF(OR(NOT(Tasks[[#This Row],[_IsLeaf]]=1),Tasks[[#This Row],[_Res4]]=""),0,IF(ISNA(MATCH(Tasks[[#This Row],[_Res4]],res_Name,0)),0,N(Tasks[[#This Row],[Duration]])*HoursPerDay*IF(Tasks[[#This Row],[_Res4Units]]="",DefaultUnits,Tasks[[#This Row],[_Res4Units]])))</f>
        <v>0</v>
      </c>
      <c r="DN129" s="45" t="n">
        <f aca="false">IF(Tasks[[#This Row],[_Res4Work]]=0,0,Tasks[[#This Row],[_Res4Work]]*IFERROR(INDEX(res_Rate,MATCH(Tasks[[#This Row],[_Res4]],res_Name,0)),0))</f>
        <v>0</v>
      </c>
      <c r="DO129" s="45" t="n">
        <f aca="false">IF(AND(AND(Tasks[[#This Row],[_IsLeaf]]=1,Tasks[[#This Row],[_LeafTotalWork]]&gt;0),Tasks[[#This Row],[_Res4Work]]&gt;0),Tasks[[#This Row],[_Res4Work]]/(Tasks[[#This Row],[_FinishWorkday]]-Tasks[[#This Row],[_StartWorkday]]+1),0)</f>
        <v>0</v>
      </c>
      <c r="DP129" s="45" t="n">
        <f aca="false">Tasks[[#This Row],[_Res4WorkPerWD]]*MAX(0,Tasks[[#This Row],[_StartWorkday]]-1)</f>
        <v>0</v>
      </c>
      <c r="DQ129" s="45" t="n">
        <f aca="false">Tasks[[#This Row],[_Res4Work]]*Tasks[[#This Row],[_LeafProgress]]</f>
        <v>0</v>
      </c>
      <c r="DR129" s="45" t="n">
        <f aca="false">IF(Tasks[[#This Row],[_LeafTotalCost]]=0,0,Tasks[[#This Row],[_LeafAC]]*Tasks[[#This Row],[_Res4Cost]]/Tasks[[#This Row],[_LeafTotalCost]])</f>
        <v>0</v>
      </c>
      <c r="DS129" s="45" t="n">
        <f aca="false">IF(ISNUMBER(Tasks[[#This Row],[% Complete]]),Tasks[[#This Row],[% Complete]],IF(Tasks[[#This Row],[Stage]]="",0,IFERROR(INDEX(stg_Pct,MATCH(Tasks[[#This Row],[Stage]],stg_Name,0)),0)))</f>
        <v>0</v>
      </c>
      <c r="DT129" s="45" t="n">
        <f aca="false">IF(NOT(Tasks[[#This Row],[_IsLeaf]]=1),0,IF(N(Tasks[[#This Row],[Actual Finish]])&gt;0,1,MIN(1,Tasks[[#This Row],[_Pct]])))</f>
        <v>0</v>
      </c>
      <c r="DU129" s="45" t="n">
        <f aca="false">IF(OR(NOT(Tasks[[#This Row],[_IsLeaf]]=1),Tasks[[#This Row],[_Resource1]]=""),0,IF(ISNA(MATCH(Tasks[[#This Row],[_Resource1]],res_Name,0)),0,N(Tasks[[#This Row],[Duration]])*HoursPerDay*IF(Tasks[[#This Row],[_Units1]]="",DefaultUnits,Tasks[[#This Row],[_Units1]])))</f>
        <v>0</v>
      </c>
      <c r="DV129" s="45" t="n">
        <f aca="false">IF(Tasks[[#This Row],[_LeafWork]]=0,0,Tasks[[#This Row],[_LeafWork]]*IFERROR(INDEX(res_Rate,MATCH(Tasks[[#This Row],[_Resource1]],res_Name,0)),0))</f>
        <v>0</v>
      </c>
      <c r="DW129" s="45" t="n">
        <f aca="false">Tasks[[#This Row],[_LeafWork]]+Tasks[[#This Row],[_Res2Work]]+Tasks[[#This Row],[_Res3Work]]+Tasks[[#This Row],[_Res4Work]]</f>
        <v>0</v>
      </c>
      <c r="DX129" s="45" t="n">
        <f aca="false">Tasks[[#This Row],[_LeafCost]]+Tasks[[#This Row],[_Res2Cost]]+Tasks[[#This Row],[_Res3Cost]]+Tasks[[#This Row],[_Res4Cost]]</f>
        <v>0</v>
      </c>
      <c r="DY129" s="45" t="n">
        <f aca="false">IF(Tasks[[#This Row],[_LeafTotalCost]]=0,Tasks[[#This Row],[_LeafAC]],Tasks[[#This Row],[_LeafAC]]*Tasks[[#This Row],[_LeafCost]]/Tasks[[#This Row],[_LeafTotalCost]])</f>
        <v>0</v>
      </c>
      <c r="DZ12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2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2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2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2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2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2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2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29" s="45" t="n">
        <f aca="false">IF(NOT(Tasks[[#This Row],[_IsLeaf]]=1),0,MAX(_xlfn.MAXIFS(Tasks[_Row],Tasks[_Pred1UID],Tasks[[#This Row],[UID]]),_xlfn.MAXIFS(Tasks[_Row],Tasks[_Pred2UID],Tasks[[#This Row],[UID]]),_xlfn.MAXIFS(Tasks[_Row],Tasks[_Pred3UID],Tasks[[#This Row],[UID]]),_xlfn.MAXIFS(Tasks[_Row],Tasks[_Pred4UID],Tasks[[#This Row],[UID]])))</f>
        <v>0</v>
      </c>
      <c r="EI12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2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29" s="74" t="str">
        <f aca="false">IF(NOT(Tasks[[#This Row],[_IsLeaf]]=1),"",IF(N(Tasks[[#This Row],[Duration]])&lt;=0,Tasks[[#This Row],[_LeafLateFinish]],WORKDAY.INTL(Tasks[[#This Row],[_LeafLateFinish]],-(Tasks[[#This Row],[Duration]]-1),WorkWeek,Holidays)))</f>
        <v/>
      </c>
      <c r="EL12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29" s="73" t="b">
        <f aca="false">AND(Tasks[[#This Row],[_IsLeaf]]=1,Tasks[[#This Row],[_LeafProgress]]&lt;1,N(Tasks[[#This Row],[_LeafTotalSlack]])&lt;=CriticalSlackDays)</f>
        <v>0</v>
      </c>
      <c r="EN129" s="45" t="n">
        <f aca="false">IF(AND(Tasks[[#This Row],[_IsLeaf]]=1,Tasks[[#This Row],[_ConstraintCode]]=1,Tasks[[#This Row],[Mode]]&lt;&gt;"Manual",N(Tasks[[#This Row],[Actual Start]])=0),MAX(0,N(Tasks[[#This Row],[Free Slack]])),0)</f>
        <v>0</v>
      </c>
      <c r="EO129" s="74" t="str">
        <f aca="false">IF(NOT(Tasks[[#This Row],[_IsLeaf]]=1),"",IF(Tasks[[#This Row],[_AlapShift]]=0,Tasks[[#This Row],[_LeafCalcStart]],WORKDAY.INTL(Tasks[[#This Row],[_LeafCalcStart]],Tasks[[#This Row],[_AlapShift]],WorkWeek,Holidays)))</f>
        <v/>
      </c>
      <c r="EP129" s="74" t="str">
        <f aca="false">IF(NOT(Tasks[[#This Row],[_IsLeaf]]=1),"",IF(Tasks[[#This Row],[_AlapShift]]=0,Tasks[[#This Row],[_LeafCalcFinish]],WORKDAY.INTL(Tasks[[#This Row],[_LeafCalcFinish]],Tasks[[#This Row],[_AlapShift]],WorkWeek,Holidays)))</f>
        <v/>
      </c>
      <c r="EQ129" s="74" t="str">
        <f aca="false">IF(NOT(Tasks[[#This Row],[_IsLeaf]]=1),"",IF(Tasks[[#This Row],[_AlapShift]]=0,Tasks[[#This Row],[_LeafFcstStart]],WORKDAY.INTL(Tasks[[#This Row],[_LeafFcstStart]],Tasks[[#This Row],[_AlapShift]],WorkWeek,Holidays)))</f>
        <v/>
      </c>
      <c r="ER129" s="74" t="str">
        <f aca="false">IF(NOT(Tasks[[#This Row],[_IsLeaf]]=1),"",IF(Tasks[[#This Row],[_AlapShift]]=0,Tasks[[#This Row],[_LeafFcstFinish]],WORKDAY.INTL(Tasks[[#This Row],[_LeafFcstFinish]],Tasks[[#This Row],[_AlapShift]],WorkWeek,Holidays)))</f>
        <v/>
      </c>
      <c r="ES129" s="74" t="str">
        <f aca="false">IF(Tasks[[#This Row],[Task Name]]="","",IF(Tasks[[#This Row],[_IsSummary]],MIN(INDEX(Tasks[_ShownCalcStart],Tasks[[#This Row],[_Row]]+1):INDEX(Tasks[_ShownCalcStart],Tasks[[#This Row],[_Row]]+Tasks[[#This Row],[_Descendants]])),Tasks[[#This Row],[_ShownCalcStart]]))</f>
        <v/>
      </c>
      <c r="ET129" s="74" t="str">
        <f aca="false">IF(Tasks[[#This Row],[Task Name]]="","",IF(Tasks[[#This Row],[_IsSummary]],MAX(INDEX(Tasks[_ShownCalcFinish],Tasks[[#This Row],[_Row]]+1):INDEX(Tasks[_ShownCalcFinish],Tasks[[#This Row],[_Row]]+Tasks[[#This Row],[_Descendants]])),Tasks[[#This Row],[_ShownCalcFinish]]))</f>
        <v/>
      </c>
      <c r="EU12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2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2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2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2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2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2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2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2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2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2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2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29" s="45" t="n">
        <f aca="false">IF(AND(Tasks[[#This Row],[_IsLeaf]]=1,Tasks[[#This Row],[_LeafTotalWork]]&gt;0),NETWORKDAYS.INTL(ProjectStart,Tasks[[#This Row],[_ShownFcstStart]],WorkWeek,Holidays),0)</f>
        <v>0</v>
      </c>
      <c r="FH129" s="45" t="n">
        <f aca="false">IF(AND(Tasks[[#This Row],[_IsLeaf]]=1,Tasks[[#This Row],[_LeafTotalWork]]&gt;0),MAX(Tasks[[#This Row],[_StartWorkday]],NETWORKDAYS.INTL(ProjectStart,Tasks[[#This Row],[_ShownFcstFinish]],WorkWeek,Holidays)),0)</f>
        <v>0</v>
      </c>
      <c r="FI129" s="45" t="n">
        <f aca="false">IF(AND(Tasks[[#This Row],[_IsLeaf]]=1,Tasks[[#This Row],[_LeafTotalWork]]&gt;0),Tasks[[#This Row],[_LeafWork]]/(Tasks[[#This Row],[_FinishWorkday]]-Tasks[[#This Row],[_StartWorkday]]+1),0)</f>
        <v>0</v>
      </c>
      <c r="FJ129" s="45" t="n">
        <f aca="false">Tasks[[#This Row],[_WorkPerWorkday]]*(Tasks[[#This Row],[_StartWorkday]]-1)</f>
        <v>-0</v>
      </c>
      <c r="FK129" s="45" t="n">
        <f aca="false">IF(Tasks[[#This Row],[_IsLeaf]]=1,MAX(N(Tasks[[#This Row],[Duration]]),0.1),0)</f>
        <v>0</v>
      </c>
      <c r="FL129" s="45" t="n">
        <f aca="false">Tasks[[#This Row],[_WeightDur]]*Tasks[[#This Row],[_LeafProgress]]</f>
        <v>0</v>
      </c>
      <c r="FM12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29" s="45" t="str">
        <f aca="false">IF(AND(Tasks[[#This Row],[_IsLeaf]]=1,N(Tasks[[#This Row],[Duration]])=0,Tasks[[#This Row],[_LeafProgress]]&lt;1),Tasks[[#This Row],[_ShownFcstFinish]]+Tasks[[#This Row],[_Row]]/100000,"")</f>
        <v/>
      </c>
      <c r="FO12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29" s="45" t="n">
        <f aca="false">IF(NOT(Tasks[[#This Row],[_IsLeaf]]=1),0,IF(Tasks[[#This Row],[Baseline Cost]]="",Tasks[[#This Row],[_LeafTotalCost]],N(Tasks[[#This Row],[Baseline Cost]])))</f>
        <v>0</v>
      </c>
      <c r="FQ129" s="45" t="n">
        <f aca="false">Tasks[[#This Row],[_LeafBudget]]*Tasks[[#This Row],[_PlannedPct]]</f>
        <v>0</v>
      </c>
      <c r="FR129" s="45" t="n">
        <f aca="false">Tasks[[#This Row],[_LeafBudget]]*Tasks[[#This Row],[_LeafProgress]]</f>
        <v>0</v>
      </c>
      <c r="FS129" s="45" t="n">
        <f aca="false">IF(NOT(Tasks[[#This Row],[_IsLeaf]]=1),0,IF(Tasks[[#This Row],[Actual Cost]]="",Tasks[[#This Row],[_LeafTotalCost]]*Tasks[[#This Row],[_LeafProgress]],N(Tasks[[#This Row],[Actual Cost]])))</f>
        <v>0</v>
      </c>
      <c r="FT129" s="45" t="str">
        <f aca="false">IF(Tasks[[#This Row],[Task Name]]="","",LEFT(Tasks[[#This Row],[WBS]],FIND(".",Tasks[[#This Row],[WBS]]&amp;".")-1))</f>
        <v/>
      </c>
      <c r="FU129" s="45" t="str">
        <f aca="false">IF(AND(Tasks[[#This Row],[Task Name]]&lt;&gt;"",Tasks[[#This Row],[_Level]]=1),Tasks[[#This Row],[_Row]],"")</f>
        <v/>
      </c>
      <c r="FV129" s="45" t="str">
        <f aca="false">IF(AND(Tasks[[#This Row],[_IsLeaf]]=1,N(Tasks[[#This Row],[Duration]])=0),Tasks[[#This Row],[Planned Finish]]+Tasks[[#This Row],[_Row]]/100000,"")</f>
        <v/>
      </c>
      <c r="FW129" s="45" t="str">
        <f aca="false">IF(AND(Tasks[[#This Row],[_IsLeaf]]=1,Tasks[[#This Row],[_LeafProgress]]&lt;1,OR(N(Tasks[[#This Row],[Finish Var]])&gt;0,Tasks[[#This Row],[Status]]="Late Start")),MAX(0,Tasks[[#This Row],[Finish Var]])+1-Tasks[[#This Row],[_Row]]/1000000,"")</f>
        <v/>
      </c>
      <c r="FX129" s="45" t="str">
        <f aca="false">IF(AND(Tasks[[#This Row],[_IsLeaf]]=1,N(Tasks[[#This Row],[Actual Start]])=0,Tasks[[#This Row],[_ShownFcstStart]]&gt;=StatusDate,Tasks[[#This Row],[_ShownFcstStart]]&lt;=LookaheadEnd),Tasks[[#This Row],[_ShownFcstStart]]+Tasks[[#This Row],[_Row]]/100000,"")</f>
        <v/>
      </c>
      <c r="FY129" s="45" t="str">
        <f aca="false">IF(AND(Tasks[[#This Row],[_IsLeaf]]=1,Tasks[[#This Row],[_LeafProgress]]&lt;1,Tasks[[#This Row],[_ShownFcstFinish]]&gt;=StatusDate,Tasks[[#This Row],[_ShownFcstFinish]]&lt;=LookaheadEnd),Tasks[[#This Row],[_ShownFcstFinish]]+Tasks[[#This Row],[_Row]]/100000,"")</f>
        <v/>
      </c>
      <c r="FZ129" s="45" t="str">
        <f aca="false">IF(Tasks[[#This Row],[_LeafCritical]],Tasks[[#This Row],[_ShownFcstStart]]+Tasks[[#This Row],[_Row]]/100000,"")</f>
        <v/>
      </c>
      <c r="GA129" s="45" t="n">
        <f aca="false">Tasks[[#This Row],[_LeafWork]]*Tasks[[#This Row],[_LeafProgress]]</f>
        <v>0</v>
      </c>
      <c r="GB129" s="74" t="str">
        <f aca="false">IF(AND(Tasks[[#This Row],[_IsLeaf]]=1,Tasks[[#This Row],[_LeafProgress]]&gt;=1),IF(N(Tasks[[#This Row],[Actual Finish]])&gt;0,Tasks[[#This Row],[Actual Finish]],Tasks[[#This Row],[_ShownFcstFinish]]),"")</f>
        <v/>
      </c>
    </row>
    <row r="130" customFormat="false" ht="15" hidden="false" customHeight="false" outlineLevel="0" collapsed="false">
      <c r="A130" s="67" t="str">
        <f aca="false">IF(Tasks[[#This Row],[Task Name]]="","",COUNTA(Tasks[[#Headers],[Task Name]]:Tasks[[#This Row],[Task Name]])-1)</f>
        <v/>
      </c>
      <c r="B130" s="21" t="n">
        <v>125</v>
      </c>
      <c r="C13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21"/>
      <c r="E130" s="22"/>
      <c r="F130" s="21"/>
      <c r="G130" s="22"/>
      <c r="H130" s="22"/>
      <c r="I130" s="22"/>
      <c r="J130" s="7"/>
      <c r="K130" s="7"/>
      <c r="L130" s="22"/>
      <c r="M130" s="58" t="str">
        <f aca="false">IF(Tasks[[#This Row],[Task Name]]="","",IF(Tasks[[#This Row],[_IsSummary]],MIN(INDEX(Tasks[_ShownFcstStart],Tasks[[#This Row],[_Row]]+1):INDEX(Tasks[_ShownFcstStart],Tasks[[#This Row],[_Row]]+Tasks[[#This Row],[_Descendants]])),Tasks[[#This Row],[_ShownFcstStart]]))</f>
        <v/>
      </c>
      <c r="N130" s="58" t="str">
        <f aca="false">IF(Tasks[[#This Row],[Task Name]]="","",IF(Tasks[[#This Row],[_IsSummary]],MAX(INDEX(Tasks[_ShownFcstFinish],Tasks[[#This Row],[_Row]]+1):INDEX(Tasks[_ShownFcstFinish],Tasks[[#This Row],[_Row]]+Tasks[[#This Row],[_Descendants]])),Tasks[[#This Row],[_ShownFcstFinish]]))</f>
        <v/>
      </c>
      <c r="O130" s="20" t="str">
        <f aca="false">IF(Tasks[[#This Row],[Task Name]]="","",IF(Tasks[[#This Row],[Progress]]&gt;=1,"Complete",IF(OR(N(Tasks[[#This Row],[Actual Start]])&gt;0,Tasks[[#This Row],[Progress]]&gt;0),IF(Tasks[[#This Row],[Finish Var]]&gt;0,"Behind","In Progress"),IF(Tasks[[#This Row],[Planned Start]]&lt;StatusDate,"Late Start","Not Started"))))</f>
        <v/>
      </c>
      <c r="P130" s="20" t="str">
        <f aca="false">IF(Tasks[[#This Row],[Task Name]]="","",IF(IF(Tasks[[#This Row],[_IsSummary]],COUNTIF(INDEX(Tasks[_LeafCritical],Tasks[[#This Row],[_Row]]+1):INDEX(Tasks[_LeafCritical],Tasks[[#This Row],[_Row]]+Tasks[[#This Row],[_Descendants]]),TRUE())&gt;0,Tasks[[#This Row],[_LeafCritical]]),"Yes",""))</f>
        <v/>
      </c>
      <c r="Q13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30" s="67" t="str">
        <f aca="false">IF(Tasks[[#This Row],[Task Name]]="","",IF(Tasks[[#This Row],[_Level]]&lt;=OutlineShowLevel,"Yes","No"))</f>
        <v/>
      </c>
      <c r="S130" s="7"/>
      <c r="T130" s="21"/>
      <c r="U130" s="22"/>
      <c r="V130" s="7"/>
      <c r="W130" s="67" t="str">
        <f aca="false">IF(Tasks[[#This Row],[Task Name]]="","",IF(Tasks[[#This Row],[Finish]]&gt;=Tasks[[#This Row],[Planned Finish]],NETWORKDAYS.INTL(Tasks[[#This Row],[Planned Finish]],Tasks[[#This Row],[Finish]],WorkWeek,Holidays)-1,1-NETWORKDAYS.INTL(Tasks[[#This Row],[Finish]],Tasks[[#This Row],[Planned Finish]],WorkWeek,Holidays)))</f>
        <v/>
      </c>
      <c r="X130" s="58" t="str">
        <f aca="false">IF(Tasks[[#This Row],[Task Name]]="","",IF(N(Tasks[[#This Row],[Baseline Start]])&gt;0,Tasks[[#This Row],[Baseline Start]],Tasks[[#This Row],[_CalcStart]]))</f>
        <v/>
      </c>
      <c r="Y130" s="58" t="str">
        <f aca="false">IF(Tasks[[#This Row],[Task Name]]="","",IF(N(Tasks[[#This Row],[Baseline Finish]])&gt;0,Tasks[[#This Row],[Baseline Finish]],Tasks[[#This Row],[_CalcFinish]]))</f>
        <v/>
      </c>
      <c r="Z130" s="67" t="str">
        <f aca="false">IF(Tasks[[#This Row],[Task Name]]="","",IF(Tasks[[#This Row],[Start]]&gt;=Tasks[[#This Row],[Planned Start]],NETWORKDAYS.INTL(Tasks[[#This Row],[Planned Start]],Tasks[[#This Row],[Start]],WorkWeek,Holidays)-1,1-NETWORKDAYS.INTL(Tasks[[#This Row],[Start]],Tasks[[#This Row],[Planned Start]],WorkWeek,Holidays)))</f>
        <v/>
      </c>
      <c r="AA130" s="58" t="str">
        <f aca="false">IF(Tasks[[#This Row],[Task Name]]="","",IF(Tasks[[#This Row],[_IsSummary]],MIN(INDEX(Tasks[_LeafLateStart],Tasks[[#This Row],[_Row]]+1):INDEX(Tasks[_LeafLateStart],Tasks[[#This Row],[_Row]]+Tasks[[#This Row],[_Descendants]])),Tasks[[#This Row],[_LeafLateStart]]))</f>
        <v/>
      </c>
      <c r="AB130" s="58" t="str">
        <f aca="false">IF(Tasks[[#This Row],[Task Name]]="","",IF(Tasks[[#This Row],[_IsSummary]],MAX(INDEX(Tasks[_LeafLateFinish],Tasks[[#This Row],[_Row]]+1):INDEX(Tasks[_LeafLateFinish],Tasks[[#This Row],[_Row]]+Tasks[[#This Row],[_Descendants]])),Tasks[[#This Row],[_LeafLateFinish]]))</f>
        <v/>
      </c>
      <c r="AC130" s="67" t="str">
        <f aca="false">IF(Tasks[[#This Row],[Task Name]]="","",IF(Tasks[[#This Row],[_IsSummary]],MIN(INDEX(Tasks[_LeafTotalSlack],Tasks[[#This Row],[_Row]]+1):INDEX(Tasks[_LeafTotalSlack],Tasks[[#This Row],[_Row]]+Tasks[[#This Row],[_Descendants]])),Tasks[[#This Row],[_LeafTotalSlack]]))</f>
        <v/>
      </c>
      <c r="AD13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3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3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30" s="60"/>
      <c r="AH13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3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30" s="69" t="str">
        <f aca="false">IF(Tasks[[#This Row],[Task Name]]="","",IF(Tasks[[#This Row],[_IsSummary]],SUM(INDEX(Tasks[_LeafTotalWork],Tasks[[#This Row],[_Row]]+1):INDEX(Tasks[_LeafTotalWork],Tasks[[#This Row],[_Row]]+Tasks[[#This Row],[_Descendants]])),Tasks[[#This Row],[_LeafTotalWork]]))</f>
        <v/>
      </c>
      <c r="AK13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30" s="70" t="str">
        <f aca="false">IF(Tasks[[#This Row],[Task Name]]="","",IF(Tasks[[#This Row],[_IsSummary]],SUM(INDEX(Tasks[_LeafTotalCost],Tasks[[#This Row],[_Row]]+1):INDEX(Tasks[_LeafTotalCost],Tasks[[#This Row],[_Row]]+Tasks[[#This Row],[_Descendants]])),Tasks[[#This Row],[_LeafTotalCost]]))</f>
        <v/>
      </c>
      <c r="AM130" s="71"/>
      <c r="AN130" s="20" t="str">
        <f aca="false">IF(OR(Tasks[[#This Row],[Task Name]]="",Tasks[[#This Row],[Baseline Duration]]=""),"",Tasks[[#This Row],[BL Source Duration]]-N(Tasks[[#This Row],[Baseline Duration]]))</f>
        <v/>
      </c>
      <c r="AO130" s="69" t="str">
        <f aca="false">IF(OR(Tasks[[#This Row],[Task Name]]="",Tasks[[#This Row],[Baseline Work]]=""),"",Tasks[[#This Row],[Work]]-N(Tasks[[#This Row],[Baseline Work]]))</f>
        <v/>
      </c>
      <c r="AP130" s="70" t="str">
        <f aca="false">IF(OR(Tasks[[#This Row],[Task Name]]="",Tasks[[#This Row],[Baseline Cost]]=""),"",Tasks[[#This Row],[Cost]]-N(Tasks[[#This Row],[Baseline Cost]]))</f>
        <v/>
      </c>
      <c r="AQ130" s="58" t="str">
        <f aca="false">IF(Tasks[[#This Row],[Task Name]]="","",Tasks[[#This Row],[Start]])</f>
        <v/>
      </c>
      <c r="AR130" s="58" t="str">
        <f aca="false">IF(Tasks[[#This Row],[Task Name]]="","",Tasks[[#This Row],[Finish]])</f>
        <v/>
      </c>
      <c r="AS130" s="67" t="str">
        <f aca="false">IF(Tasks[[#This Row],[Task Name]]="","",IF(Tasks[[#This Row],[_IsSummary]],NETWORKDAYS.INTL(Tasks[[#This Row],[Start]],Tasks[[#This Row],[Finish]],WorkWeek,Holidays),N(Tasks[[#This Row],[Duration]])))</f>
        <v/>
      </c>
      <c r="AT130" s="69" t="str">
        <f aca="false">IF(Tasks[[#This Row],[Task Name]]="","",Tasks[[#This Row],[Work]])</f>
        <v/>
      </c>
      <c r="AU130" s="70" t="str">
        <f aca="false">IF(Tasks[[#This Row],[Task Name]]="","",Tasks[[#This Row],[Cost]])</f>
        <v/>
      </c>
      <c r="AV130" s="7"/>
      <c r="AW130" s="7"/>
      <c r="AX130" s="21"/>
      <c r="AY130" s="72"/>
      <c r="AZ130" s="71"/>
      <c r="BA130" s="70" t="str">
        <f aca="false">IF(Tasks[[#This Row],[Task Name]]="","",IF(Tasks[[#This Row],[_IsSummary]],SUM(INDEX(Tasks[_LeafEV],Tasks[[#This Row],[_Row]]+1):INDEX(Tasks[_LeafEV],Tasks[[#This Row],[_Row]]+Tasks[[#This Row],[_Descendants]])),Tasks[[#This Row],[_LeafEV]]))</f>
        <v/>
      </c>
      <c r="BB130" s="70" t="str">
        <f aca="false">IF(Tasks[[#This Row],[Task Name]]="","",IF(Tasks[[#This Row],[_IsSummary]],SUM(INDEX(Tasks[_LeafBudget],Tasks[[#This Row],[_Row]]+1):INDEX(Tasks[_LeafBudget],Tasks[[#This Row],[_Row]]+Tasks[[#This Row],[_Descendants]])),Tasks[[#This Row],[_LeafBudget]]))</f>
        <v/>
      </c>
      <c r="BC130" s="70" t="str">
        <f aca="false">IF(Tasks[[#This Row],[Task Name]]="","",IF(Tasks[[#This Row],[_IsSummary]],SUM(INDEX(Tasks[_LeafPV],Tasks[[#This Row],[_Row]]+1):INDEX(Tasks[_LeafPV],Tasks[[#This Row],[_Row]]+Tasks[[#This Row],[_Descendants]])),Tasks[[#This Row],[_LeafPV]]))</f>
        <v/>
      </c>
      <c r="BD130" s="70" t="str">
        <f aca="false">IF(Tasks[[#This Row],[Task Name]]="","",IF(Tasks[[#This Row],[_IsSummary]],SUM(INDEX(Tasks[_LeafAC],Tasks[[#This Row],[_Row]]+1):INDEX(Tasks[_LeafAC],Tasks[[#This Row],[_Row]]+Tasks[[#This Row],[_Descendants]])),Tasks[[#This Row],[_LeafAC]]))</f>
        <v/>
      </c>
      <c r="BE130" s="45" t="str">
        <f aca="false">IF(Tasks[[#This Row],[Task Name]]="","",MAX(1,N(Tasks[[#This Row],[Level]])))</f>
        <v/>
      </c>
      <c r="BF130" s="45" t="n">
        <f aca="false">ROW()-ROW(Tasks[[#Headers],[ID]])</f>
        <v>125</v>
      </c>
      <c r="BG130" s="45" t="n">
        <f aca="false">IF(OR(Tasks[[#This Row],[Task Name]]="",Tasks[[#This Row],[_Level]]&lt;=1),0,IFERROR(LOOKUP(2,1/(Tasks[[#Headers],[_Level]]:Tasks[[#This Row],[_Level]]=Tasks[[#This Row],[_Level]]-1),ROW(Tasks[[#Headers],[_Level]]:Tasks[[#This Row],[_Level]])),0))</f>
        <v>0</v>
      </c>
      <c r="BH130" s="45" t="n">
        <f aca="false">IFERROR(N(INDEX(Tasks[_Level],Tasks[[#This Row],[_Row]]+1)),0)</f>
        <v>0</v>
      </c>
      <c r="BI130" s="73" t="b">
        <f aca="false">AND(Tasks[[#This Row],[Task Name]]&lt;&gt;"",Tasks[[#This Row],[_NextLevel]]&gt;Tasks[[#This Row],[_Level]])</f>
        <v>0</v>
      </c>
      <c r="BJ130" s="45" t="n">
        <f aca="false">IF(Tasks[[#This Row],[_IsSummary]],COUNTIF(Tasks[WBS],Tasks[[#This Row],[WBS]]&amp;".*"),0)</f>
        <v>0</v>
      </c>
      <c r="BK130" s="45" t="n">
        <f aca="false">IF(AND(Tasks[[#This Row],[Task Name]]&lt;&gt;"",NOT(Tasks[[#This Row],[_IsSummary]])),1,0)</f>
        <v>0</v>
      </c>
      <c r="BL130" s="45" t="n">
        <f aca="false">IF(N(Tasks[[#This Row],[_Pred1UID]])=0,0,IFERROR(MATCH(Tasks[[#This Row],[_Pred1UID]],Tasks[UID],0),-1))</f>
        <v>0</v>
      </c>
      <c r="BM130" s="45" t="n">
        <f aca="false">IF(N(Tasks[[#This Row],[_Pred2UID]])=0,0,IFERROR(MATCH(Tasks[[#This Row],[_Pred2UID]],Tasks[UID],0),-1))</f>
        <v>0</v>
      </c>
      <c r="BN130" s="45" t="n">
        <f aca="false">IF(N(Tasks[[#This Row],[_Pred3UID]])=0,0,IFERROR(MATCH(Tasks[[#This Row],[_Pred3UID]],Tasks[UID],0),-1))</f>
        <v>0</v>
      </c>
      <c r="BO130" s="45" t="n">
        <f aca="false">IF(N(Tasks[[#This Row],[_Pred4UID]])=0,0,IFERROR(MATCH(Tasks[[#This Row],[_Pred4UID]],Tasks[UID],0),-1))</f>
        <v>0</v>
      </c>
      <c r="BP13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3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30" s="74" t="n">
        <f aca="false">IF(OR(Tasks[[#This Row],[_ConstraintCode]]=2,Tasks[[#This Row],[_ConstraintCode]]=3,Tasks[[#This Row],[_ConstraintCode]]=4,Tasks[[#This Row],[_ConstraintCode]]=6),Tasks[[#This Row],[_ConstraintStart]],0)</f>
        <v>0</v>
      </c>
      <c r="BS130" s="74" t="n">
        <f aca="false">IF(OR(Tasks[[#This Row],[_ConstraintCode]]=2,Tasks[[#This Row],[_ConstraintCode]]=3,Tasks[[#This Row],[_ConstraintCode]]=5,Tasks[[#This Row],[_ConstraintCode]]=7),Tasks[[#This Row],[_ConstraintStart]],2958465)</f>
        <v>2958465</v>
      </c>
      <c r="BT13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30" s="74" t="str">
        <f aca="false">IF(NOT(Tasks[[#This Row],[_IsLeaf]]=1),"",IF(N(Tasks[[#This Row],[Duration]])&lt;=0,Tasks[[#This Row],[_LeafCalcStart]],WORKDAY.INTL(Tasks[[#This Row],[_LeafCalcStart]],Tasks[[#This Row],[Duration]]-1,WorkWeek,Holidays)))</f>
        <v/>
      </c>
      <c r="BV13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3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30" s="45" t="str">
        <f aca="false">IF(Tasks[[#This Row],[Predecessors]]="","",TRIM(MID(SUBSTITUTE(SUBSTITUTE(SUBSTITUTE(UPPER(Tasks[[#This Row],[Predecessors]]),";",",")," ",""),",",REPT(" ",99)),1,99)))</f>
        <v/>
      </c>
      <c r="BY130" s="45" t="str">
        <f aca="false">IF(Tasks[[#This Row],[_Pred1Text]]="","",IFERROR(VALUE(LEFT(Tasks[[#This Row],[_Pred1Text]],MIN(FIND("F",Tasks[[#This Row],[_Pred1Text]]&amp;"F"),FIND("S",Tasks[[#This Row],[_Pred1Text]]&amp;"S"),FIND("+",Tasks[[#This Row],[_Pred1Text]]&amp;"+"),FIND("-",Tasks[[#This Row],[_Pred1Text]]&amp;"-"))-1)),""))</f>
        <v/>
      </c>
      <c r="BZ13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3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30" s="45" t="str">
        <f aca="false">IF(Tasks[[#This Row],[_Pred1Text]]="","",TRIM(MID(SUBSTITUTE(SUBSTITUTE(SUBSTITUTE(UPPER(Tasks[[#This Row],[Predecessors]]),";",",")," ",""),",",REPT(" ",99)),100,99)))</f>
        <v/>
      </c>
      <c r="CC130" s="45" t="str">
        <f aca="false">IF(Tasks[[#This Row],[_Pred2Text]]="","",IFERROR(VALUE(LEFT(Tasks[[#This Row],[_Pred2Text]],MIN(FIND("F",Tasks[[#This Row],[_Pred2Text]]&amp;"F"),FIND("S",Tasks[[#This Row],[_Pred2Text]]&amp;"S"),FIND("+",Tasks[[#This Row],[_Pred2Text]]&amp;"+"),FIND("-",Tasks[[#This Row],[_Pred2Text]]&amp;"-"))-1)),""))</f>
        <v/>
      </c>
      <c r="CD13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3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30" s="45" t="str">
        <f aca="false">IF(Tasks[[#This Row],[_Pred2Text]]="","",TRIM(MID(SUBSTITUTE(SUBSTITUTE(SUBSTITUTE(UPPER(Tasks[[#This Row],[Predecessors]]),";",",")," ",""),",",REPT(" ",99)),199,99)))</f>
        <v/>
      </c>
      <c r="CG130" s="45" t="str">
        <f aca="false">IF(Tasks[[#This Row],[_Pred3Text]]="","",IFERROR(VALUE(LEFT(Tasks[[#This Row],[_Pred3Text]],MIN(FIND("F",Tasks[[#This Row],[_Pred3Text]]&amp;"F"),FIND("S",Tasks[[#This Row],[_Pred3Text]]&amp;"S"),FIND("+",Tasks[[#This Row],[_Pred3Text]]&amp;"+"),FIND("-",Tasks[[#This Row],[_Pred3Text]]&amp;"-"))-1)),""))</f>
        <v/>
      </c>
      <c r="CH13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3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30" s="45" t="str">
        <f aca="false">IF(Tasks[[#This Row],[_Pred3Text]]="","",TRIM(MID(SUBSTITUTE(SUBSTITUTE(SUBSTITUTE(UPPER(Tasks[[#This Row],[Predecessors]]),";",",")," ",""),",",REPT(" ",99)),298,99)))</f>
        <v/>
      </c>
      <c r="CK130" s="45" t="str">
        <f aca="false">IF(Tasks[[#This Row],[_Pred4Text]]="","",IFERROR(VALUE(LEFT(Tasks[[#This Row],[_Pred4Text]],MIN(FIND("F",Tasks[[#This Row],[_Pred4Text]]&amp;"F"),FIND("S",Tasks[[#This Row],[_Pred4Text]]&amp;"S"),FIND("+",Tasks[[#This Row],[_Pred4Text]]&amp;"+"),FIND("-",Tasks[[#This Row],[_Pred4Text]]&amp;"-"))-1)),""))</f>
        <v/>
      </c>
      <c r="CL13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3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30" s="45" t="str">
        <f aca="false">IF(OR(Tasks[[#This Row],[Task Name]]="",Tasks[[#This Row],[Resources]]=""),"",TRIM(MID(SUBSTITUTE(Tasks[[#This Row],[Resources]],",",REPT(" ",99)),1,99)))</f>
        <v/>
      </c>
      <c r="CO130" s="45" t="str">
        <f aca="false">IF(Tasks[[#This Row],[_Res1Text]]="","",TRIM(MID(SUBSTITUTE(Tasks[[#This Row],[Resources]],",",REPT(" ",99)),100,99)))</f>
        <v/>
      </c>
      <c r="CP130" s="45" t="str">
        <f aca="false">IF(Tasks[[#This Row],[_Res2Text]]="","",TRIM(MID(SUBSTITUTE(Tasks[[#This Row],[Resources]],",",REPT(" ",99)),199,99)))</f>
        <v/>
      </c>
      <c r="CQ130" s="45" t="str">
        <f aca="false">IF(Tasks[[#This Row],[_Res3Text]]="","",TRIM(MID(SUBSTITUTE(Tasks[[#This Row],[Resources]],",",REPT(" ",99)),298,99)))</f>
        <v/>
      </c>
      <c r="CR13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3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0" s="45" t="n">
        <f aca="false">IF(NOT(Tasks[[#This Row],[_IsLeaf]]=1),0,(Tasks[[#This Row],[_Resource1]]&lt;&gt;"")+(Tasks[[#This Row],[_Res2]]&lt;&gt;"")+(Tasks[[#This Row],[_Res3]]&lt;&gt;"")+(Tasks[[#This Row],[_Res4]]&lt;&gt;""))</f>
        <v>0</v>
      </c>
      <c r="CU13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3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0" s="45" t="n">
        <f aca="false">IF(OR(NOT(Tasks[[#This Row],[_IsLeaf]]=1),Tasks[[#This Row],[_Res2]]=""),0,IF(ISNA(MATCH(Tasks[[#This Row],[_Res2]],res_Name,0)),0,N(Tasks[[#This Row],[Duration]])*HoursPerDay*IF(Tasks[[#This Row],[_Res2Units]]="",DefaultUnits,Tasks[[#This Row],[_Res2Units]])))</f>
        <v>0</v>
      </c>
      <c r="CX130" s="45" t="n">
        <f aca="false">IF(Tasks[[#This Row],[_Res2Work]]=0,0,Tasks[[#This Row],[_Res2Work]]*IFERROR(INDEX(res_Rate,MATCH(Tasks[[#This Row],[_Res2]],res_Name,0)),0))</f>
        <v>0</v>
      </c>
      <c r="CY130" s="45" t="n">
        <f aca="false">IF(AND(AND(Tasks[[#This Row],[_IsLeaf]]=1,Tasks[[#This Row],[_LeafTotalWork]]&gt;0),Tasks[[#This Row],[_Res2Work]]&gt;0),Tasks[[#This Row],[_Res2Work]]/(Tasks[[#This Row],[_FinishWorkday]]-Tasks[[#This Row],[_StartWorkday]]+1),0)</f>
        <v>0</v>
      </c>
      <c r="CZ130" s="45" t="n">
        <f aca="false">Tasks[[#This Row],[_Res2WorkPerWD]]*MAX(0,Tasks[[#This Row],[_StartWorkday]]-1)</f>
        <v>0</v>
      </c>
      <c r="DA130" s="45" t="n">
        <f aca="false">Tasks[[#This Row],[_Res2Work]]*Tasks[[#This Row],[_LeafProgress]]</f>
        <v>0</v>
      </c>
      <c r="DB130" s="45" t="n">
        <f aca="false">IF(Tasks[[#This Row],[_LeafTotalCost]]=0,0,Tasks[[#This Row],[_LeafAC]]*Tasks[[#This Row],[_Res2Cost]]/Tasks[[#This Row],[_LeafTotalCost]])</f>
        <v>0</v>
      </c>
      <c r="DC13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3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30" s="45" t="n">
        <f aca="false">IF(OR(NOT(Tasks[[#This Row],[_IsLeaf]]=1),Tasks[[#This Row],[_Res3]]=""),0,IF(ISNA(MATCH(Tasks[[#This Row],[_Res3]],res_Name,0)),0,N(Tasks[[#This Row],[Duration]])*HoursPerDay*IF(Tasks[[#This Row],[_Res3Units]]="",DefaultUnits,Tasks[[#This Row],[_Res3Units]])))</f>
        <v>0</v>
      </c>
      <c r="DF130" s="45" t="n">
        <f aca="false">IF(Tasks[[#This Row],[_Res3Work]]=0,0,Tasks[[#This Row],[_Res3Work]]*IFERROR(INDEX(res_Rate,MATCH(Tasks[[#This Row],[_Res3]],res_Name,0)),0))</f>
        <v>0</v>
      </c>
      <c r="DG130" s="45" t="n">
        <f aca="false">IF(AND(AND(Tasks[[#This Row],[_IsLeaf]]=1,Tasks[[#This Row],[_LeafTotalWork]]&gt;0),Tasks[[#This Row],[_Res3Work]]&gt;0),Tasks[[#This Row],[_Res3Work]]/(Tasks[[#This Row],[_FinishWorkday]]-Tasks[[#This Row],[_StartWorkday]]+1),0)</f>
        <v>0</v>
      </c>
      <c r="DH130" s="45" t="n">
        <f aca="false">Tasks[[#This Row],[_Res3WorkPerWD]]*MAX(0,Tasks[[#This Row],[_StartWorkday]]-1)</f>
        <v>0</v>
      </c>
      <c r="DI130" s="45" t="n">
        <f aca="false">Tasks[[#This Row],[_Res3Work]]*Tasks[[#This Row],[_LeafProgress]]</f>
        <v>0</v>
      </c>
      <c r="DJ130" s="45" t="n">
        <f aca="false">IF(Tasks[[#This Row],[_LeafTotalCost]]=0,0,Tasks[[#This Row],[_LeafAC]]*Tasks[[#This Row],[_Res3Cost]]/Tasks[[#This Row],[_LeafTotalCost]])</f>
        <v>0</v>
      </c>
      <c r="DK13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3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30" s="45" t="n">
        <f aca="false">IF(OR(NOT(Tasks[[#This Row],[_IsLeaf]]=1),Tasks[[#This Row],[_Res4]]=""),0,IF(ISNA(MATCH(Tasks[[#This Row],[_Res4]],res_Name,0)),0,N(Tasks[[#This Row],[Duration]])*HoursPerDay*IF(Tasks[[#This Row],[_Res4Units]]="",DefaultUnits,Tasks[[#This Row],[_Res4Units]])))</f>
        <v>0</v>
      </c>
      <c r="DN130" s="45" t="n">
        <f aca="false">IF(Tasks[[#This Row],[_Res4Work]]=0,0,Tasks[[#This Row],[_Res4Work]]*IFERROR(INDEX(res_Rate,MATCH(Tasks[[#This Row],[_Res4]],res_Name,0)),0))</f>
        <v>0</v>
      </c>
      <c r="DO130" s="45" t="n">
        <f aca="false">IF(AND(AND(Tasks[[#This Row],[_IsLeaf]]=1,Tasks[[#This Row],[_LeafTotalWork]]&gt;0),Tasks[[#This Row],[_Res4Work]]&gt;0),Tasks[[#This Row],[_Res4Work]]/(Tasks[[#This Row],[_FinishWorkday]]-Tasks[[#This Row],[_StartWorkday]]+1),0)</f>
        <v>0</v>
      </c>
      <c r="DP130" s="45" t="n">
        <f aca="false">Tasks[[#This Row],[_Res4WorkPerWD]]*MAX(0,Tasks[[#This Row],[_StartWorkday]]-1)</f>
        <v>0</v>
      </c>
      <c r="DQ130" s="45" t="n">
        <f aca="false">Tasks[[#This Row],[_Res4Work]]*Tasks[[#This Row],[_LeafProgress]]</f>
        <v>0</v>
      </c>
      <c r="DR130" s="45" t="n">
        <f aca="false">IF(Tasks[[#This Row],[_LeafTotalCost]]=0,0,Tasks[[#This Row],[_LeafAC]]*Tasks[[#This Row],[_Res4Cost]]/Tasks[[#This Row],[_LeafTotalCost]])</f>
        <v>0</v>
      </c>
      <c r="DS130" s="45" t="n">
        <f aca="false">IF(ISNUMBER(Tasks[[#This Row],[% Complete]]),Tasks[[#This Row],[% Complete]],IF(Tasks[[#This Row],[Stage]]="",0,IFERROR(INDEX(stg_Pct,MATCH(Tasks[[#This Row],[Stage]],stg_Name,0)),0)))</f>
        <v>0</v>
      </c>
      <c r="DT130" s="45" t="n">
        <f aca="false">IF(NOT(Tasks[[#This Row],[_IsLeaf]]=1),0,IF(N(Tasks[[#This Row],[Actual Finish]])&gt;0,1,MIN(1,Tasks[[#This Row],[_Pct]])))</f>
        <v>0</v>
      </c>
      <c r="DU130" s="45" t="n">
        <f aca="false">IF(OR(NOT(Tasks[[#This Row],[_IsLeaf]]=1),Tasks[[#This Row],[_Resource1]]=""),0,IF(ISNA(MATCH(Tasks[[#This Row],[_Resource1]],res_Name,0)),0,N(Tasks[[#This Row],[Duration]])*HoursPerDay*IF(Tasks[[#This Row],[_Units1]]="",DefaultUnits,Tasks[[#This Row],[_Units1]])))</f>
        <v>0</v>
      </c>
      <c r="DV130" s="45" t="n">
        <f aca="false">IF(Tasks[[#This Row],[_LeafWork]]=0,0,Tasks[[#This Row],[_LeafWork]]*IFERROR(INDEX(res_Rate,MATCH(Tasks[[#This Row],[_Resource1]],res_Name,0)),0))</f>
        <v>0</v>
      </c>
      <c r="DW130" s="45" t="n">
        <f aca="false">Tasks[[#This Row],[_LeafWork]]+Tasks[[#This Row],[_Res2Work]]+Tasks[[#This Row],[_Res3Work]]+Tasks[[#This Row],[_Res4Work]]</f>
        <v>0</v>
      </c>
      <c r="DX130" s="45" t="n">
        <f aca="false">Tasks[[#This Row],[_LeafCost]]+Tasks[[#This Row],[_Res2Cost]]+Tasks[[#This Row],[_Res3Cost]]+Tasks[[#This Row],[_Res4Cost]]</f>
        <v>0</v>
      </c>
      <c r="DY130" s="45" t="n">
        <f aca="false">IF(Tasks[[#This Row],[_LeafTotalCost]]=0,Tasks[[#This Row],[_LeafAC]],Tasks[[#This Row],[_LeafAC]]*Tasks[[#This Row],[_LeafCost]]/Tasks[[#This Row],[_LeafTotalCost]])</f>
        <v>0</v>
      </c>
      <c r="DZ13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3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3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3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3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3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3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3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30" s="45" t="n">
        <f aca="false">IF(NOT(Tasks[[#This Row],[_IsLeaf]]=1),0,MAX(_xlfn.MAXIFS(Tasks[_Row],Tasks[_Pred1UID],Tasks[[#This Row],[UID]]),_xlfn.MAXIFS(Tasks[_Row],Tasks[_Pred2UID],Tasks[[#This Row],[UID]]),_xlfn.MAXIFS(Tasks[_Row],Tasks[_Pred3UID],Tasks[[#This Row],[UID]]),_xlfn.MAXIFS(Tasks[_Row],Tasks[_Pred4UID],Tasks[[#This Row],[UID]])))</f>
        <v>0</v>
      </c>
      <c r="EI13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3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30" s="74" t="str">
        <f aca="false">IF(NOT(Tasks[[#This Row],[_IsLeaf]]=1),"",IF(N(Tasks[[#This Row],[Duration]])&lt;=0,Tasks[[#This Row],[_LeafLateFinish]],WORKDAY.INTL(Tasks[[#This Row],[_LeafLateFinish]],-(Tasks[[#This Row],[Duration]]-1),WorkWeek,Holidays)))</f>
        <v/>
      </c>
      <c r="EL13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30" s="73" t="b">
        <f aca="false">AND(Tasks[[#This Row],[_IsLeaf]]=1,Tasks[[#This Row],[_LeafProgress]]&lt;1,N(Tasks[[#This Row],[_LeafTotalSlack]])&lt;=CriticalSlackDays)</f>
        <v>0</v>
      </c>
      <c r="EN130" s="45" t="n">
        <f aca="false">IF(AND(Tasks[[#This Row],[_IsLeaf]]=1,Tasks[[#This Row],[_ConstraintCode]]=1,Tasks[[#This Row],[Mode]]&lt;&gt;"Manual",N(Tasks[[#This Row],[Actual Start]])=0),MAX(0,N(Tasks[[#This Row],[Free Slack]])),0)</f>
        <v>0</v>
      </c>
      <c r="EO130" s="74" t="str">
        <f aca="false">IF(NOT(Tasks[[#This Row],[_IsLeaf]]=1),"",IF(Tasks[[#This Row],[_AlapShift]]=0,Tasks[[#This Row],[_LeafCalcStart]],WORKDAY.INTL(Tasks[[#This Row],[_LeafCalcStart]],Tasks[[#This Row],[_AlapShift]],WorkWeek,Holidays)))</f>
        <v/>
      </c>
      <c r="EP130" s="74" t="str">
        <f aca="false">IF(NOT(Tasks[[#This Row],[_IsLeaf]]=1),"",IF(Tasks[[#This Row],[_AlapShift]]=0,Tasks[[#This Row],[_LeafCalcFinish]],WORKDAY.INTL(Tasks[[#This Row],[_LeafCalcFinish]],Tasks[[#This Row],[_AlapShift]],WorkWeek,Holidays)))</f>
        <v/>
      </c>
      <c r="EQ130" s="74" t="str">
        <f aca="false">IF(NOT(Tasks[[#This Row],[_IsLeaf]]=1),"",IF(Tasks[[#This Row],[_AlapShift]]=0,Tasks[[#This Row],[_LeafFcstStart]],WORKDAY.INTL(Tasks[[#This Row],[_LeafFcstStart]],Tasks[[#This Row],[_AlapShift]],WorkWeek,Holidays)))</f>
        <v/>
      </c>
      <c r="ER130" s="74" t="str">
        <f aca="false">IF(NOT(Tasks[[#This Row],[_IsLeaf]]=1),"",IF(Tasks[[#This Row],[_AlapShift]]=0,Tasks[[#This Row],[_LeafFcstFinish]],WORKDAY.INTL(Tasks[[#This Row],[_LeafFcstFinish]],Tasks[[#This Row],[_AlapShift]],WorkWeek,Holidays)))</f>
        <v/>
      </c>
      <c r="ES130" s="74" t="str">
        <f aca="false">IF(Tasks[[#This Row],[Task Name]]="","",IF(Tasks[[#This Row],[_IsSummary]],MIN(INDEX(Tasks[_ShownCalcStart],Tasks[[#This Row],[_Row]]+1):INDEX(Tasks[_ShownCalcStart],Tasks[[#This Row],[_Row]]+Tasks[[#This Row],[_Descendants]])),Tasks[[#This Row],[_ShownCalcStart]]))</f>
        <v/>
      </c>
      <c r="ET130" s="74" t="str">
        <f aca="false">IF(Tasks[[#This Row],[Task Name]]="","",IF(Tasks[[#This Row],[_IsSummary]],MAX(INDEX(Tasks[_ShownCalcFinish],Tasks[[#This Row],[_Row]]+1):INDEX(Tasks[_ShownCalcFinish],Tasks[[#This Row],[_Row]]+Tasks[[#This Row],[_Descendants]])),Tasks[[#This Row],[_ShownCalcFinish]]))</f>
        <v/>
      </c>
      <c r="EU13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3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3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3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3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3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3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3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3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3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3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3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30" s="45" t="n">
        <f aca="false">IF(AND(Tasks[[#This Row],[_IsLeaf]]=1,Tasks[[#This Row],[_LeafTotalWork]]&gt;0),NETWORKDAYS.INTL(ProjectStart,Tasks[[#This Row],[_ShownFcstStart]],WorkWeek,Holidays),0)</f>
        <v>0</v>
      </c>
      <c r="FH130" s="45" t="n">
        <f aca="false">IF(AND(Tasks[[#This Row],[_IsLeaf]]=1,Tasks[[#This Row],[_LeafTotalWork]]&gt;0),MAX(Tasks[[#This Row],[_StartWorkday]],NETWORKDAYS.INTL(ProjectStart,Tasks[[#This Row],[_ShownFcstFinish]],WorkWeek,Holidays)),0)</f>
        <v>0</v>
      </c>
      <c r="FI130" s="45" t="n">
        <f aca="false">IF(AND(Tasks[[#This Row],[_IsLeaf]]=1,Tasks[[#This Row],[_LeafTotalWork]]&gt;0),Tasks[[#This Row],[_LeafWork]]/(Tasks[[#This Row],[_FinishWorkday]]-Tasks[[#This Row],[_StartWorkday]]+1),0)</f>
        <v>0</v>
      </c>
      <c r="FJ130" s="45" t="n">
        <f aca="false">Tasks[[#This Row],[_WorkPerWorkday]]*(Tasks[[#This Row],[_StartWorkday]]-1)</f>
        <v>-0</v>
      </c>
      <c r="FK130" s="45" t="n">
        <f aca="false">IF(Tasks[[#This Row],[_IsLeaf]]=1,MAX(N(Tasks[[#This Row],[Duration]]),0.1),0)</f>
        <v>0</v>
      </c>
      <c r="FL130" s="45" t="n">
        <f aca="false">Tasks[[#This Row],[_WeightDur]]*Tasks[[#This Row],[_LeafProgress]]</f>
        <v>0</v>
      </c>
      <c r="FM13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30" s="45" t="str">
        <f aca="false">IF(AND(Tasks[[#This Row],[_IsLeaf]]=1,N(Tasks[[#This Row],[Duration]])=0,Tasks[[#This Row],[_LeafProgress]]&lt;1),Tasks[[#This Row],[_ShownFcstFinish]]+Tasks[[#This Row],[_Row]]/100000,"")</f>
        <v/>
      </c>
      <c r="FO13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30" s="45" t="n">
        <f aca="false">IF(NOT(Tasks[[#This Row],[_IsLeaf]]=1),0,IF(Tasks[[#This Row],[Baseline Cost]]="",Tasks[[#This Row],[_LeafTotalCost]],N(Tasks[[#This Row],[Baseline Cost]])))</f>
        <v>0</v>
      </c>
      <c r="FQ130" s="45" t="n">
        <f aca="false">Tasks[[#This Row],[_LeafBudget]]*Tasks[[#This Row],[_PlannedPct]]</f>
        <v>0</v>
      </c>
      <c r="FR130" s="45" t="n">
        <f aca="false">Tasks[[#This Row],[_LeafBudget]]*Tasks[[#This Row],[_LeafProgress]]</f>
        <v>0</v>
      </c>
      <c r="FS130" s="45" t="n">
        <f aca="false">IF(NOT(Tasks[[#This Row],[_IsLeaf]]=1),0,IF(Tasks[[#This Row],[Actual Cost]]="",Tasks[[#This Row],[_LeafTotalCost]]*Tasks[[#This Row],[_LeafProgress]],N(Tasks[[#This Row],[Actual Cost]])))</f>
        <v>0</v>
      </c>
      <c r="FT130" s="45" t="str">
        <f aca="false">IF(Tasks[[#This Row],[Task Name]]="","",LEFT(Tasks[[#This Row],[WBS]],FIND(".",Tasks[[#This Row],[WBS]]&amp;".")-1))</f>
        <v/>
      </c>
      <c r="FU130" s="45" t="str">
        <f aca="false">IF(AND(Tasks[[#This Row],[Task Name]]&lt;&gt;"",Tasks[[#This Row],[_Level]]=1),Tasks[[#This Row],[_Row]],"")</f>
        <v/>
      </c>
      <c r="FV130" s="45" t="str">
        <f aca="false">IF(AND(Tasks[[#This Row],[_IsLeaf]]=1,N(Tasks[[#This Row],[Duration]])=0),Tasks[[#This Row],[Planned Finish]]+Tasks[[#This Row],[_Row]]/100000,"")</f>
        <v/>
      </c>
      <c r="FW130" s="45" t="str">
        <f aca="false">IF(AND(Tasks[[#This Row],[_IsLeaf]]=1,Tasks[[#This Row],[_LeafProgress]]&lt;1,OR(N(Tasks[[#This Row],[Finish Var]])&gt;0,Tasks[[#This Row],[Status]]="Late Start")),MAX(0,Tasks[[#This Row],[Finish Var]])+1-Tasks[[#This Row],[_Row]]/1000000,"")</f>
        <v/>
      </c>
      <c r="FX130" s="45" t="str">
        <f aca="false">IF(AND(Tasks[[#This Row],[_IsLeaf]]=1,N(Tasks[[#This Row],[Actual Start]])=0,Tasks[[#This Row],[_ShownFcstStart]]&gt;=StatusDate,Tasks[[#This Row],[_ShownFcstStart]]&lt;=LookaheadEnd),Tasks[[#This Row],[_ShownFcstStart]]+Tasks[[#This Row],[_Row]]/100000,"")</f>
        <v/>
      </c>
      <c r="FY130" s="45" t="str">
        <f aca="false">IF(AND(Tasks[[#This Row],[_IsLeaf]]=1,Tasks[[#This Row],[_LeafProgress]]&lt;1,Tasks[[#This Row],[_ShownFcstFinish]]&gt;=StatusDate,Tasks[[#This Row],[_ShownFcstFinish]]&lt;=LookaheadEnd),Tasks[[#This Row],[_ShownFcstFinish]]+Tasks[[#This Row],[_Row]]/100000,"")</f>
        <v/>
      </c>
      <c r="FZ130" s="45" t="str">
        <f aca="false">IF(Tasks[[#This Row],[_LeafCritical]],Tasks[[#This Row],[_ShownFcstStart]]+Tasks[[#This Row],[_Row]]/100000,"")</f>
        <v/>
      </c>
      <c r="GA130" s="45" t="n">
        <f aca="false">Tasks[[#This Row],[_LeafWork]]*Tasks[[#This Row],[_LeafProgress]]</f>
        <v>0</v>
      </c>
      <c r="GB130" s="74" t="str">
        <f aca="false">IF(AND(Tasks[[#This Row],[_IsLeaf]]=1,Tasks[[#This Row],[_LeafProgress]]&gt;=1),IF(N(Tasks[[#This Row],[Actual Finish]])&gt;0,Tasks[[#This Row],[Actual Finish]],Tasks[[#This Row],[_ShownFcstFinish]]),"")</f>
        <v/>
      </c>
    </row>
    <row r="131" customFormat="false" ht="15" hidden="false" customHeight="false" outlineLevel="0" collapsed="false">
      <c r="A131" s="67" t="str">
        <f aca="false">IF(Tasks[[#This Row],[Task Name]]="","",COUNTA(Tasks[[#Headers],[Task Name]]:Tasks[[#This Row],[Task Name]])-1)</f>
        <v/>
      </c>
      <c r="B131" s="21" t="n">
        <v>126</v>
      </c>
      <c r="C13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21"/>
      <c r="E131" s="22"/>
      <c r="F131" s="21"/>
      <c r="G131" s="22"/>
      <c r="H131" s="22"/>
      <c r="I131" s="22"/>
      <c r="J131" s="7"/>
      <c r="K131" s="7"/>
      <c r="L131" s="22"/>
      <c r="M131" s="58" t="str">
        <f aca="false">IF(Tasks[[#This Row],[Task Name]]="","",IF(Tasks[[#This Row],[_IsSummary]],MIN(INDEX(Tasks[_ShownFcstStart],Tasks[[#This Row],[_Row]]+1):INDEX(Tasks[_ShownFcstStart],Tasks[[#This Row],[_Row]]+Tasks[[#This Row],[_Descendants]])),Tasks[[#This Row],[_ShownFcstStart]]))</f>
        <v/>
      </c>
      <c r="N131" s="58" t="str">
        <f aca="false">IF(Tasks[[#This Row],[Task Name]]="","",IF(Tasks[[#This Row],[_IsSummary]],MAX(INDEX(Tasks[_ShownFcstFinish],Tasks[[#This Row],[_Row]]+1):INDEX(Tasks[_ShownFcstFinish],Tasks[[#This Row],[_Row]]+Tasks[[#This Row],[_Descendants]])),Tasks[[#This Row],[_ShownFcstFinish]]))</f>
        <v/>
      </c>
      <c r="O131" s="20" t="str">
        <f aca="false">IF(Tasks[[#This Row],[Task Name]]="","",IF(Tasks[[#This Row],[Progress]]&gt;=1,"Complete",IF(OR(N(Tasks[[#This Row],[Actual Start]])&gt;0,Tasks[[#This Row],[Progress]]&gt;0),IF(Tasks[[#This Row],[Finish Var]]&gt;0,"Behind","In Progress"),IF(Tasks[[#This Row],[Planned Start]]&lt;StatusDate,"Late Start","Not Started"))))</f>
        <v/>
      </c>
      <c r="P131" s="20" t="str">
        <f aca="false">IF(Tasks[[#This Row],[Task Name]]="","",IF(IF(Tasks[[#This Row],[_IsSummary]],COUNTIF(INDEX(Tasks[_LeafCritical],Tasks[[#This Row],[_Row]]+1):INDEX(Tasks[_LeafCritical],Tasks[[#This Row],[_Row]]+Tasks[[#This Row],[_Descendants]]),TRUE())&gt;0,Tasks[[#This Row],[_LeafCritical]]),"Yes",""))</f>
        <v/>
      </c>
      <c r="Q13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31" s="67" t="str">
        <f aca="false">IF(Tasks[[#This Row],[Task Name]]="","",IF(Tasks[[#This Row],[_Level]]&lt;=OutlineShowLevel,"Yes","No"))</f>
        <v/>
      </c>
      <c r="S131" s="7"/>
      <c r="T131" s="21"/>
      <c r="U131" s="22"/>
      <c r="V131" s="7"/>
      <c r="W131" s="67" t="str">
        <f aca="false">IF(Tasks[[#This Row],[Task Name]]="","",IF(Tasks[[#This Row],[Finish]]&gt;=Tasks[[#This Row],[Planned Finish]],NETWORKDAYS.INTL(Tasks[[#This Row],[Planned Finish]],Tasks[[#This Row],[Finish]],WorkWeek,Holidays)-1,1-NETWORKDAYS.INTL(Tasks[[#This Row],[Finish]],Tasks[[#This Row],[Planned Finish]],WorkWeek,Holidays)))</f>
        <v/>
      </c>
      <c r="X131" s="58" t="str">
        <f aca="false">IF(Tasks[[#This Row],[Task Name]]="","",IF(N(Tasks[[#This Row],[Baseline Start]])&gt;0,Tasks[[#This Row],[Baseline Start]],Tasks[[#This Row],[_CalcStart]]))</f>
        <v/>
      </c>
      <c r="Y131" s="58" t="str">
        <f aca="false">IF(Tasks[[#This Row],[Task Name]]="","",IF(N(Tasks[[#This Row],[Baseline Finish]])&gt;0,Tasks[[#This Row],[Baseline Finish]],Tasks[[#This Row],[_CalcFinish]]))</f>
        <v/>
      </c>
      <c r="Z131" s="67" t="str">
        <f aca="false">IF(Tasks[[#This Row],[Task Name]]="","",IF(Tasks[[#This Row],[Start]]&gt;=Tasks[[#This Row],[Planned Start]],NETWORKDAYS.INTL(Tasks[[#This Row],[Planned Start]],Tasks[[#This Row],[Start]],WorkWeek,Holidays)-1,1-NETWORKDAYS.INTL(Tasks[[#This Row],[Start]],Tasks[[#This Row],[Planned Start]],WorkWeek,Holidays)))</f>
        <v/>
      </c>
      <c r="AA131" s="58" t="str">
        <f aca="false">IF(Tasks[[#This Row],[Task Name]]="","",IF(Tasks[[#This Row],[_IsSummary]],MIN(INDEX(Tasks[_LeafLateStart],Tasks[[#This Row],[_Row]]+1):INDEX(Tasks[_LeafLateStart],Tasks[[#This Row],[_Row]]+Tasks[[#This Row],[_Descendants]])),Tasks[[#This Row],[_LeafLateStart]]))</f>
        <v/>
      </c>
      <c r="AB131" s="58" t="str">
        <f aca="false">IF(Tasks[[#This Row],[Task Name]]="","",IF(Tasks[[#This Row],[_IsSummary]],MAX(INDEX(Tasks[_LeafLateFinish],Tasks[[#This Row],[_Row]]+1):INDEX(Tasks[_LeafLateFinish],Tasks[[#This Row],[_Row]]+Tasks[[#This Row],[_Descendants]])),Tasks[[#This Row],[_LeafLateFinish]]))</f>
        <v/>
      </c>
      <c r="AC131" s="67" t="str">
        <f aca="false">IF(Tasks[[#This Row],[Task Name]]="","",IF(Tasks[[#This Row],[_IsSummary]],MIN(INDEX(Tasks[_LeafTotalSlack],Tasks[[#This Row],[_Row]]+1):INDEX(Tasks[_LeafTotalSlack],Tasks[[#This Row],[_Row]]+Tasks[[#This Row],[_Descendants]])),Tasks[[#This Row],[_LeafTotalSlack]]))</f>
        <v/>
      </c>
      <c r="AD13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3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3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31" s="60"/>
      <c r="AH13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3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31" s="69" t="str">
        <f aca="false">IF(Tasks[[#This Row],[Task Name]]="","",IF(Tasks[[#This Row],[_IsSummary]],SUM(INDEX(Tasks[_LeafTotalWork],Tasks[[#This Row],[_Row]]+1):INDEX(Tasks[_LeafTotalWork],Tasks[[#This Row],[_Row]]+Tasks[[#This Row],[_Descendants]])),Tasks[[#This Row],[_LeafTotalWork]]))</f>
        <v/>
      </c>
      <c r="AK13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31" s="70" t="str">
        <f aca="false">IF(Tasks[[#This Row],[Task Name]]="","",IF(Tasks[[#This Row],[_IsSummary]],SUM(INDEX(Tasks[_LeafTotalCost],Tasks[[#This Row],[_Row]]+1):INDEX(Tasks[_LeafTotalCost],Tasks[[#This Row],[_Row]]+Tasks[[#This Row],[_Descendants]])),Tasks[[#This Row],[_LeafTotalCost]]))</f>
        <v/>
      </c>
      <c r="AM131" s="71"/>
      <c r="AN131" s="20" t="str">
        <f aca="false">IF(OR(Tasks[[#This Row],[Task Name]]="",Tasks[[#This Row],[Baseline Duration]]=""),"",Tasks[[#This Row],[BL Source Duration]]-N(Tasks[[#This Row],[Baseline Duration]]))</f>
        <v/>
      </c>
      <c r="AO131" s="69" t="str">
        <f aca="false">IF(OR(Tasks[[#This Row],[Task Name]]="",Tasks[[#This Row],[Baseline Work]]=""),"",Tasks[[#This Row],[Work]]-N(Tasks[[#This Row],[Baseline Work]]))</f>
        <v/>
      </c>
      <c r="AP131" s="70" t="str">
        <f aca="false">IF(OR(Tasks[[#This Row],[Task Name]]="",Tasks[[#This Row],[Baseline Cost]]=""),"",Tasks[[#This Row],[Cost]]-N(Tasks[[#This Row],[Baseline Cost]]))</f>
        <v/>
      </c>
      <c r="AQ131" s="58" t="str">
        <f aca="false">IF(Tasks[[#This Row],[Task Name]]="","",Tasks[[#This Row],[Start]])</f>
        <v/>
      </c>
      <c r="AR131" s="58" t="str">
        <f aca="false">IF(Tasks[[#This Row],[Task Name]]="","",Tasks[[#This Row],[Finish]])</f>
        <v/>
      </c>
      <c r="AS131" s="67" t="str">
        <f aca="false">IF(Tasks[[#This Row],[Task Name]]="","",IF(Tasks[[#This Row],[_IsSummary]],NETWORKDAYS.INTL(Tasks[[#This Row],[Start]],Tasks[[#This Row],[Finish]],WorkWeek,Holidays),N(Tasks[[#This Row],[Duration]])))</f>
        <v/>
      </c>
      <c r="AT131" s="69" t="str">
        <f aca="false">IF(Tasks[[#This Row],[Task Name]]="","",Tasks[[#This Row],[Work]])</f>
        <v/>
      </c>
      <c r="AU131" s="70" t="str">
        <f aca="false">IF(Tasks[[#This Row],[Task Name]]="","",Tasks[[#This Row],[Cost]])</f>
        <v/>
      </c>
      <c r="AV131" s="7"/>
      <c r="AW131" s="7"/>
      <c r="AX131" s="21"/>
      <c r="AY131" s="72"/>
      <c r="AZ131" s="71"/>
      <c r="BA131" s="70" t="str">
        <f aca="false">IF(Tasks[[#This Row],[Task Name]]="","",IF(Tasks[[#This Row],[_IsSummary]],SUM(INDEX(Tasks[_LeafEV],Tasks[[#This Row],[_Row]]+1):INDEX(Tasks[_LeafEV],Tasks[[#This Row],[_Row]]+Tasks[[#This Row],[_Descendants]])),Tasks[[#This Row],[_LeafEV]]))</f>
        <v/>
      </c>
      <c r="BB131" s="70" t="str">
        <f aca="false">IF(Tasks[[#This Row],[Task Name]]="","",IF(Tasks[[#This Row],[_IsSummary]],SUM(INDEX(Tasks[_LeafBudget],Tasks[[#This Row],[_Row]]+1):INDEX(Tasks[_LeafBudget],Tasks[[#This Row],[_Row]]+Tasks[[#This Row],[_Descendants]])),Tasks[[#This Row],[_LeafBudget]]))</f>
        <v/>
      </c>
      <c r="BC131" s="70" t="str">
        <f aca="false">IF(Tasks[[#This Row],[Task Name]]="","",IF(Tasks[[#This Row],[_IsSummary]],SUM(INDEX(Tasks[_LeafPV],Tasks[[#This Row],[_Row]]+1):INDEX(Tasks[_LeafPV],Tasks[[#This Row],[_Row]]+Tasks[[#This Row],[_Descendants]])),Tasks[[#This Row],[_LeafPV]]))</f>
        <v/>
      </c>
      <c r="BD131" s="70" t="str">
        <f aca="false">IF(Tasks[[#This Row],[Task Name]]="","",IF(Tasks[[#This Row],[_IsSummary]],SUM(INDEX(Tasks[_LeafAC],Tasks[[#This Row],[_Row]]+1):INDEX(Tasks[_LeafAC],Tasks[[#This Row],[_Row]]+Tasks[[#This Row],[_Descendants]])),Tasks[[#This Row],[_LeafAC]]))</f>
        <v/>
      </c>
      <c r="BE131" s="45" t="str">
        <f aca="false">IF(Tasks[[#This Row],[Task Name]]="","",MAX(1,N(Tasks[[#This Row],[Level]])))</f>
        <v/>
      </c>
      <c r="BF131" s="45" t="n">
        <f aca="false">ROW()-ROW(Tasks[[#Headers],[ID]])</f>
        <v>126</v>
      </c>
      <c r="BG131" s="45" t="n">
        <f aca="false">IF(OR(Tasks[[#This Row],[Task Name]]="",Tasks[[#This Row],[_Level]]&lt;=1),0,IFERROR(LOOKUP(2,1/(Tasks[[#Headers],[_Level]]:Tasks[[#This Row],[_Level]]=Tasks[[#This Row],[_Level]]-1),ROW(Tasks[[#Headers],[_Level]]:Tasks[[#This Row],[_Level]])),0))</f>
        <v>0</v>
      </c>
      <c r="BH131" s="45" t="n">
        <f aca="false">IFERROR(N(INDEX(Tasks[_Level],Tasks[[#This Row],[_Row]]+1)),0)</f>
        <v>0</v>
      </c>
      <c r="BI131" s="73" t="b">
        <f aca="false">AND(Tasks[[#This Row],[Task Name]]&lt;&gt;"",Tasks[[#This Row],[_NextLevel]]&gt;Tasks[[#This Row],[_Level]])</f>
        <v>0</v>
      </c>
      <c r="BJ131" s="45" t="n">
        <f aca="false">IF(Tasks[[#This Row],[_IsSummary]],COUNTIF(Tasks[WBS],Tasks[[#This Row],[WBS]]&amp;".*"),0)</f>
        <v>0</v>
      </c>
      <c r="BK131" s="45" t="n">
        <f aca="false">IF(AND(Tasks[[#This Row],[Task Name]]&lt;&gt;"",NOT(Tasks[[#This Row],[_IsSummary]])),1,0)</f>
        <v>0</v>
      </c>
      <c r="BL131" s="45" t="n">
        <f aca="false">IF(N(Tasks[[#This Row],[_Pred1UID]])=0,0,IFERROR(MATCH(Tasks[[#This Row],[_Pred1UID]],Tasks[UID],0),-1))</f>
        <v>0</v>
      </c>
      <c r="BM131" s="45" t="n">
        <f aca="false">IF(N(Tasks[[#This Row],[_Pred2UID]])=0,0,IFERROR(MATCH(Tasks[[#This Row],[_Pred2UID]],Tasks[UID],0),-1))</f>
        <v>0</v>
      </c>
      <c r="BN131" s="45" t="n">
        <f aca="false">IF(N(Tasks[[#This Row],[_Pred3UID]])=0,0,IFERROR(MATCH(Tasks[[#This Row],[_Pred3UID]],Tasks[UID],0),-1))</f>
        <v>0</v>
      </c>
      <c r="BO131" s="45" t="n">
        <f aca="false">IF(N(Tasks[[#This Row],[_Pred4UID]])=0,0,IFERROR(MATCH(Tasks[[#This Row],[_Pred4UID]],Tasks[UID],0),-1))</f>
        <v>0</v>
      </c>
      <c r="BP13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3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31" s="74" t="n">
        <f aca="false">IF(OR(Tasks[[#This Row],[_ConstraintCode]]=2,Tasks[[#This Row],[_ConstraintCode]]=3,Tasks[[#This Row],[_ConstraintCode]]=4,Tasks[[#This Row],[_ConstraintCode]]=6),Tasks[[#This Row],[_ConstraintStart]],0)</f>
        <v>0</v>
      </c>
      <c r="BS131" s="74" t="n">
        <f aca="false">IF(OR(Tasks[[#This Row],[_ConstraintCode]]=2,Tasks[[#This Row],[_ConstraintCode]]=3,Tasks[[#This Row],[_ConstraintCode]]=5,Tasks[[#This Row],[_ConstraintCode]]=7),Tasks[[#This Row],[_ConstraintStart]],2958465)</f>
        <v>2958465</v>
      </c>
      <c r="BT13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31" s="74" t="str">
        <f aca="false">IF(NOT(Tasks[[#This Row],[_IsLeaf]]=1),"",IF(N(Tasks[[#This Row],[Duration]])&lt;=0,Tasks[[#This Row],[_LeafCalcStart]],WORKDAY.INTL(Tasks[[#This Row],[_LeafCalcStart]],Tasks[[#This Row],[Duration]]-1,WorkWeek,Holidays)))</f>
        <v/>
      </c>
      <c r="BV13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3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31" s="45" t="str">
        <f aca="false">IF(Tasks[[#This Row],[Predecessors]]="","",TRIM(MID(SUBSTITUTE(SUBSTITUTE(SUBSTITUTE(UPPER(Tasks[[#This Row],[Predecessors]]),";",",")," ",""),",",REPT(" ",99)),1,99)))</f>
        <v/>
      </c>
      <c r="BY131" s="45" t="str">
        <f aca="false">IF(Tasks[[#This Row],[_Pred1Text]]="","",IFERROR(VALUE(LEFT(Tasks[[#This Row],[_Pred1Text]],MIN(FIND("F",Tasks[[#This Row],[_Pred1Text]]&amp;"F"),FIND("S",Tasks[[#This Row],[_Pred1Text]]&amp;"S"),FIND("+",Tasks[[#This Row],[_Pred1Text]]&amp;"+"),FIND("-",Tasks[[#This Row],[_Pred1Text]]&amp;"-"))-1)),""))</f>
        <v/>
      </c>
      <c r="BZ13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3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31" s="45" t="str">
        <f aca="false">IF(Tasks[[#This Row],[_Pred1Text]]="","",TRIM(MID(SUBSTITUTE(SUBSTITUTE(SUBSTITUTE(UPPER(Tasks[[#This Row],[Predecessors]]),";",",")," ",""),",",REPT(" ",99)),100,99)))</f>
        <v/>
      </c>
      <c r="CC131" s="45" t="str">
        <f aca="false">IF(Tasks[[#This Row],[_Pred2Text]]="","",IFERROR(VALUE(LEFT(Tasks[[#This Row],[_Pred2Text]],MIN(FIND("F",Tasks[[#This Row],[_Pred2Text]]&amp;"F"),FIND("S",Tasks[[#This Row],[_Pred2Text]]&amp;"S"),FIND("+",Tasks[[#This Row],[_Pred2Text]]&amp;"+"),FIND("-",Tasks[[#This Row],[_Pred2Text]]&amp;"-"))-1)),""))</f>
        <v/>
      </c>
      <c r="CD13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3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31" s="45" t="str">
        <f aca="false">IF(Tasks[[#This Row],[_Pred2Text]]="","",TRIM(MID(SUBSTITUTE(SUBSTITUTE(SUBSTITUTE(UPPER(Tasks[[#This Row],[Predecessors]]),";",",")," ",""),",",REPT(" ",99)),199,99)))</f>
        <v/>
      </c>
      <c r="CG131" s="45" t="str">
        <f aca="false">IF(Tasks[[#This Row],[_Pred3Text]]="","",IFERROR(VALUE(LEFT(Tasks[[#This Row],[_Pred3Text]],MIN(FIND("F",Tasks[[#This Row],[_Pred3Text]]&amp;"F"),FIND("S",Tasks[[#This Row],[_Pred3Text]]&amp;"S"),FIND("+",Tasks[[#This Row],[_Pred3Text]]&amp;"+"),FIND("-",Tasks[[#This Row],[_Pred3Text]]&amp;"-"))-1)),""))</f>
        <v/>
      </c>
      <c r="CH13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3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31" s="45" t="str">
        <f aca="false">IF(Tasks[[#This Row],[_Pred3Text]]="","",TRIM(MID(SUBSTITUTE(SUBSTITUTE(SUBSTITUTE(UPPER(Tasks[[#This Row],[Predecessors]]),";",",")," ",""),",",REPT(" ",99)),298,99)))</f>
        <v/>
      </c>
      <c r="CK131" s="45" t="str">
        <f aca="false">IF(Tasks[[#This Row],[_Pred4Text]]="","",IFERROR(VALUE(LEFT(Tasks[[#This Row],[_Pred4Text]],MIN(FIND("F",Tasks[[#This Row],[_Pred4Text]]&amp;"F"),FIND("S",Tasks[[#This Row],[_Pred4Text]]&amp;"S"),FIND("+",Tasks[[#This Row],[_Pred4Text]]&amp;"+"),FIND("-",Tasks[[#This Row],[_Pred4Text]]&amp;"-"))-1)),""))</f>
        <v/>
      </c>
      <c r="CL13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3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31" s="45" t="str">
        <f aca="false">IF(OR(Tasks[[#This Row],[Task Name]]="",Tasks[[#This Row],[Resources]]=""),"",TRIM(MID(SUBSTITUTE(Tasks[[#This Row],[Resources]],",",REPT(" ",99)),1,99)))</f>
        <v/>
      </c>
      <c r="CO131" s="45" t="str">
        <f aca="false">IF(Tasks[[#This Row],[_Res1Text]]="","",TRIM(MID(SUBSTITUTE(Tasks[[#This Row],[Resources]],",",REPT(" ",99)),100,99)))</f>
        <v/>
      </c>
      <c r="CP131" s="45" t="str">
        <f aca="false">IF(Tasks[[#This Row],[_Res2Text]]="","",TRIM(MID(SUBSTITUTE(Tasks[[#This Row],[Resources]],",",REPT(" ",99)),199,99)))</f>
        <v/>
      </c>
      <c r="CQ131" s="45" t="str">
        <f aca="false">IF(Tasks[[#This Row],[_Res3Text]]="","",TRIM(MID(SUBSTITUTE(Tasks[[#This Row],[Resources]],",",REPT(" ",99)),298,99)))</f>
        <v/>
      </c>
      <c r="CR13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3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1" s="45" t="n">
        <f aca="false">IF(NOT(Tasks[[#This Row],[_IsLeaf]]=1),0,(Tasks[[#This Row],[_Resource1]]&lt;&gt;"")+(Tasks[[#This Row],[_Res2]]&lt;&gt;"")+(Tasks[[#This Row],[_Res3]]&lt;&gt;"")+(Tasks[[#This Row],[_Res4]]&lt;&gt;""))</f>
        <v>0</v>
      </c>
      <c r="CU13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3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1" s="45" t="n">
        <f aca="false">IF(OR(NOT(Tasks[[#This Row],[_IsLeaf]]=1),Tasks[[#This Row],[_Res2]]=""),0,IF(ISNA(MATCH(Tasks[[#This Row],[_Res2]],res_Name,0)),0,N(Tasks[[#This Row],[Duration]])*HoursPerDay*IF(Tasks[[#This Row],[_Res2Units]]="",DefaultUnits,Tasks[[#This Row],[_Res2Units]])))</f>
        <v>0</v>
      </c>
      <c r="CX131" s="45" t="n">
        <f aca="false">IF(Tasks[[#This Row],[_Res2Work]]=0,0,Tasks[[#This Row],[_Res2Work]]*IFERROR(INDEX(res_Rate,MATCH(Tasks[[#This Row],[_Res2]],res_Name,0)),0))</f>
        <v>0</v>
      </c>
      <c r="CY131" s="45" t="n">
        <f aca="false">IF(AND(AND(Tasks[[#This Row],[_IsLeaf]]=1,Tasks[[#This Row],[_LeafTotalWork]]&gt;0),Tasks[[#This Row],[_Res2Work]]&gt;0),Tasks[[#This Row],[_Res2Work]]/(Tasks[[#This Row],[_FinishWorkday]]-Tasks[[#This Row],[_StartWorkday]]+1),0)</f>
        <v>0</v>
      </c>
      <c r="CZ131" s="45" t="n">
        <f aca="false">Tasks[[#This Row],[_Res2WorkPerWD]]*MAX(0,Tasks[[#This Row],[_StartWorkday]]-1)</f>
        <v>0</v>
      </c>
      <c r="DA131" s="45" t="n">
        <f aca="false">Tasks[[#This Row],[_Res2Work]]*Tasks[[#This Row],[_LeafProgress]]</f>
        <v>0</v>
      </c>
      <c r="DB131" s="45" t="n">
        <f aca="false">IF(Tasks[[#This Row],[_LeafTotalCost]]=0,0,Tasks[[#This Row],[_LeafAC]]*Tasks[[#This Row],[_Res2Cost]]/Tasks[[#This Row],[_LeafTotalCost]])</f>
        <v>0</v>
      </c>
      <c r="DC13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3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31" s="45" t="n">
        <f aca="false">IF(OR(NOT(Tasks[[#This Row],[_IsLeaf]]=1),Tasks[[#This Row],[_Res3]]=""),0,IF(ISNA(MATCH(Tasks[[#This Row],[_Res3]],res_Name,0)),0,N(Tasks[[#This Row],[Duration]])*HoursPerDay*IF(Tasks[[#This Row],[_Res3Units]]="",DefaultUnits,Tasks[[#This Row],[_Res3Units]])))</f>
        <v>0</v>
      </c>
      <c r="DF131" s="45" t="n">
        <f aca="false">IF(Tasks[[#This Row],[_Res3Work]]=0,0,Tasks[[#This Row],[_Res3Work]]*IFERROR(INDEX(res_Rate,MATCH(Tasks[[#This Row],[_Res3]],res_Name,0)),0))</f>
        <v>0</v>
      </c>
      <c r="DG131" s="45" t="n">
        <f aca="false">IF(AND(AND(Tasks[[#This Row],[_IsLeaf]]=1,Tasks[[#This Row],[_LeafTotalWork]]&gt;0),Tasks[[#This Row],[_Res3Work]]&gt;0),Tasks[[#This Row],[_Res3Work]]/(Tasks[[#This Row],[_FinishWorkday]]-Tasks[[#This Row],[_StartWorkday]]+1),0)</f>
        <v>0</v>
      </c>
      <c r="DH131" s="45" t="n">
        <f aca="false">Tasks[[#This Row],[_Res3WorkPerWD]]*MAX(0,Tasks[[#This Row],[_StartWorkday]]-1)</f>
        <v>0</v>
      </c>
      <c r="DI131" s="45" t="n">
        <f aca="false">Tasks[[#This Row],[_Res3Work]]*Tasks[[#This Row],[_LeafProgress]]</f>
        <v>0</v>
      </c>
      <c r="DJ131" s="45" t="n">
        <f aca="false">IF(Tasks[[#This Row],[_LeafTotalCost]]=0,0,Tasks[[#This Row],[_LeafAC]]*Tasks[[#This Row],[_Res3Cost]]/Tasks[[#This Row],[_LeafTotalCost]])</f>
        <v>0</v>
      </c>
      <c r="DK13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3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31" s="45" t="n">
        <f aca="false">IF(OR(NOT(Tasks[[#This Row],[_IsLeaf]]=1),Tasks[[#This Row],[_Res4]]=""),0,IF(ISNA(MATCH(Tasks[[#This Row],[_Res4]],res_Name,0)),0,N(Tasks[[#This Row],[Duration]])*HoursPerDay*IF(Tasks[[#This Row],[_Res4Units]]="",DefaultUnits,Tasks[[#This Row],[_Res4Units]])))</f>
        <v>0</v>
      </c>
      <c r="DN131" s="45" t="n">
        <f aca="false">IF(Tasks[[#This Row],[_Res4Work]]=0,0,Tasks[[#This Row],[_Res4Work]]*IFERROR(INDEX(res_Rate,MATCH(Tasks[[#This Row],[_Res4]],res_Name,0)),0))</f>
        <v>0</v>
      </c>
      <c r="DO131" s="45" t="n">
        <f aca="false">IF(AND(AND(Tasks[[#This Row],[_IsLeaf]]=1,Tasks[[#This Row],[_LeafTotalWork]]&gt;0),Tasks[[#This Row],[_Res4Work]]&gt;0),Tasks[[#This Row],[_Res4Work]]/(Tasks[[#This Row],[_FinishWorkday]]-Tasks[[#This Row],[_StartWorkday]]+1),0)</f>
        <v>0</v>
      </c>
      <c r="DP131" s="45" t="n">
        <f aca="false">Tasks[[#This Row],[_Res4WorkPerWD]]*MAX(0,Tasks[[#This Row],[_StartWorkday]]-1)</f>
        <v>0</v>
      </c>
      <c r="DQ131" s="45" t="n">
        <f aca="false">Tasks[[#This Row],[_Res4Work]]*Tasks[[#This Row],[_LeafProgress]]</f>
        <v>0</v>
      </c>
      <c r="DR131" s="45" t="n">
        <f aca="false">IF(Tasks[[#This Row],[_LeafTotalCost]]=0,0,Tasks[[#This Row],[_LeafAC]]*Tasks[[#This Row],[_Res4Cost]]/Tasks[[#This Row],[_LeafTotalCost]])</f>
        <v>0</v>
      </c>
      <c r="DS131" s="45" t="n">
        <f aca="false">IF(ISNUMBER(Tasks[[#This Row],[% Complete]]),Tasks[[#This Row],[% Complete]],IF(Tasks[[#This Row],[Stage]]="",0,IFERROR(INDEX(stg_Pct,MATCH(Tasks[[#This Row],[Stage]],stg_Name,0)),0)))</f>
        <v>0</v>
      </c>
      <c r="DT131" s="45" t="n">
        <f aca="false">IF(NOT(Tasks[[#This Row],[_IsLeaf]]=1),0,IF(N(Tasks[[#This Row],[Actual Finish]])&gt;0,1,MIN(1,Tasks[[#This Row],[_Pct]])))</f>
        <v>0</v>
      </c>
      <c r="DU131" s="45" t="n">
        <f aca="false">IF(OR(NOT(Tasks[[#This Row],[_IsLeaf]]=1),Tasks[[#This Row],[_Resource1]]=""),0,IF(ISNA(MATCH(Tasks[[#This Row],[_Resource1]],res_Name,0)),0,N(Tasks[[#This Row],[Duration]])*HoursPerDay*IF(Tasks[[#This Row],[_Units1]]="",DefaultUnits,Tasks[[#This Row],[_Units1]])))</f>
        <v>0</v>
      </c>
      <c r="DV131" s="45" t="n">
        <f aca="false">IF(Tasks[[#This Row],[_LeafWork]]=0,0,Tasks[[#This Row],[_LeafWork]]*IFERROR(INDEX(res_Rate,MATCH(Tasks[[#This Row],[_Resource1]],res_Name,0)),0))</f>
        <v>0</v>
      </c>
      <c r="DW131" s="45" t="n">
        <f aca="false">Tasks[[#This Row],[_LeafWork]]+Tasks[[#This Row],[_Res2Work]]+Tasks[[#This Row],[_Res3Work]]+Tasks[[#This Row],[_Res4Work]]</f>
        <v>0</v>
      </c>
      <c r="DX131" s="45" t="n">
        <f aca="false">Tasks[[#This Row],[_LeafCost]]+Tasks[[#This Row],[_Res2Cost]]+Tasks[[#This Row],[_Res3Cost]]+Tasks[[#This Row],[_Res4Cost]]</f>
        <v>0</v>
      </c>
      <c r="DY131" s="45" t="n">
        <f aca="false">IF(Tasks[[#This Row],[_LeafTotalCost]]=0,Tasks[[#This Row],[_LeafAC]],Tasks[[#This Row],[_LeafAC]]*Tasks[[#This Row],[_LeafCost]]/Tasks[[#This Row],[_LeafTotalCost]])</f>
        <v>0</v>
      </c>
      <c r="DZ13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3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3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3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3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3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3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3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31" s="45" t="n">
        <f aca="false">IF(NOT(Tasks[[#This Row],[_IsLeaf]]=1),0,MAX(_xlfn.MAXIFS(Tasks[_Row],Tasks[_Pred1UID],Tasks[[#This Row],[UID]]),_xlfn.MAXIFS(Tasks[_Row],Tasks[_Pred2UID],Tasks[[#This Row],[UID]]),_xlfn.MAXIFS(Tasks[_Row],Tasks[_Pred3UID],Tasks[[#This Row],[UID]]),_xlfn.MAXIFS(Tasks[_Row],Tasks[_Pred4UID],Tasks[[#This Row],[UID]])))</f>
        <v>0</v>
      </c>
      <c r="EI13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3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31" s="74" t="str">
        <f aca="false">IF(NOT(Tasks[[#This Row],[_IsLeaf]]=1),"",IF(N(Tasks[[#This Row],[Duration]])&lt;=0,Tasks[[#This Row],[_LeafLateFinish]],WORKDAY.INTL(Tasks[[#This Row],[_LeafLateFinish]],-(Tasks[[#This Row],[Duration]]-1),WorkWeek,Holidays)))</f>
        <v/>
      </c>
      <c r="EL13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31" s="73" t="b">
        <f aca="false">AND(Tasks[[#This Row],[_IsLeaf]]=1,Tasks[[#This Row],[_LeafProgress]]&lt;1,N(Tasks[[#This Row],[_LeafTotalSlack]])&lt;=CriticalSlackDays)</f>
        <v>0</v>
      </c>
      <c r="EN131" s="45" t="n">
        <f aca="false">IF(AND(Tasks[[#This Row],[_IsLeaf]]=1,Tasks[[#This Row],[_ConstraintCode]]=1,Tasks[[#This Row],[Mode]]&lt;&gt;"Manual",N(Tasks[[#This Row],[Actual Start]])=0),MAX(0,N(Tasks[[#This Row],[Free Slack]])),0)</f>
        <v>0</v>
      </c>
      <c r="EO131" s="74" t="str">
        <f aca="false">IF(NOT(Tasks[[#This Row],[_IsLeaf]]=1),"",IF(Tasks[[#This Row],[_AlapShift]]=0,Tasks[[#This Row],[_LeafCalcStart]],WORKDAY.INTL(Tasks[[#This Row],[_LeafCalcStart]],Tasks[[#This Row],[_AlapShift]],WorkWeek,Holidays)))</f>
        <v/>
      </c>
      <c r="EP131" s="74" t="str">
        <f aca="false">IF(NOT(Tasks[[#This Row],[_IsLeaf]]=1),"",IF(Tasks[[#This Row],[_AlapShift]]=0,Tasks[[#This Row],[_LeafCalcFinish]],WORKDAY.INTL(Tasks[[#This Row],[_LeafCalcFinish]],Tasks[[#This Row],[_AlapShift]],WorkWeek,Holidays)))</f>
        <v/>
      </c>
      <c r="EQ131" s="74" t="str">
        <f aca="false">IF(NOT(Tasks[[#This Row],[_IsLeaf]]=1),"",IF(Tasks[[#This Row],[_AlapShift]]=0,Tasks[[#This Row],[_LeafFcstStart]],WORKDAY.INTL(Tasks[[#This Row],[_LeafFcstStart]],Tasks[[#This Row],[_AlapShift]],WorkWeek,Holidays)))</f>
        <v/>
      </c>
      <c r="ER131" s="74" t="str">
        <f aca="false">IF(NOT(Tasks[[#This Row],[_IsLeaf]]=1),"",IF(Tasks[[#This Row],[_AlapShift]]=0,Tasks[[#This Row],[_LeafFcstFinish]],WORKDAY.INTL(Tasks[[#This Row],[_LeafFcstFinish]],Tasks[[#This Row],[_AlapShift]],WorkWeek,Holidays)))</f>
        <v/>
      </c>
      <c r="ES131" s="74" t="str">
        <f aca="false">IF(Tasks[[#This Row],[Task Name]]="","",IF(Tasks[[#This Row],[_IsSummary]],MIN(INDEX(Tasks[_ShownCalcStart],Tasks[[#This Row],[_Row]]+1):INDEX(Tasks[_ShownCalcStart],Tasks[[#This Row],[_Row]]+Tasks[[#This Row],[_Descendants]])),Tasks[[#This Row],[_ShownCalcStart]]))</f>
        <v/>
      </c>
      <c r="ET131" s="74" t="str">
        <f aca="false">IF(Tasks[[#This Row],[Task Name]]="","",IF(Tasks[[#This Row],[_IsSummary]],MAX(INDEX(Tasks[_ShownCalcFinish],Tasks[[#This Row],[_Row]]+1):INDEX(Tasks[_ShownCalcFinish],Tasks[[#This Row],[_Row]]+Tasks[[#This Row],[_Descendants]])),Tasks[[#This Row],[_ShownCalcFinish]]))</f>
        <v/>
      </c>
      <c r="EU13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3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3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3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3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3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3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3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3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3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3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3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31" s="45" t="n">
        <f aca="false">IF(AND(Tasks[[#This Row],[_IsLeaf]]=1,Tasks[[#This Row],[_LeafTotalWork]]&gt;0),NETWORKDAYS.INTL(ProjectStart,Tasks[[#This Row],[_ShownFcstStart]],WorkWeek,Holidays),0)</f>
        <v>0</v>
      </c>
      <c r="FH131" s="45" t="n">
        <f aca="false">IF(AND(Tasks[[#This Row],[_IsLeaf]]=1,Tasks[[#This Row],[_LeafTotalWork]]&gt;0),MAX(Tasks[[#This Row],[_StartWorkday]],NETWORKDAYS.INTL(ProjectStart,Tasks[[#This Row],[_ShownFcstFinish]],WorkWeek,Holidays)),0)</f>
        <v>0</v>
      </c>
      <c r="FI131" s="45" t="n">
        <f aca="false">IF(AND(Tasks[[#This Row],[_IsLeaf]]=1,Tasks[[#This Row],[_LeafTotalWork]]&gt;0),Tasks[[#This Row],[_LeafWork]]/(Tasks[[#This Row],[_FinishWorkday]]-Tasks[[#This Row],[_StartWorkday]]+1),0)</f>
        <v>0</v>
      </c>
      <c r="FJ131" s="45" t="n">
        <f aca="false">Tasks[[#This Row],[_WorkPerWorkday]]*(Tasks[[#This Row],[_StartWorkday]]-1)</f>
        <v>-0</v>
      </c>
      <c r="FK131" s="45" t="n">
        <f aca="false">IF(Tasks[[#This Row],[_IsLeaf]]=1,MAX(N(Tasks[[#This Row],[Duration]]),0.1),0)</f>
        <v>0</v>
      </c>
      <c r="FL131" s="45" t="n">
        <f aca="false">Tasks[[#This Row],[_WeightDur]]*Tasks[[#This Row],[_LeafProgress]]</f>
        <v>0</v>
      </c>
      <c r="FM13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31" s="45" t="str">
        <f aca="false">IF(AND(Tasks[[#This Row],[_IsLeaf]]=1,N(Tasks[[#This Row],[Duration]])=0,Tasks[[#This Row],[_LeafProgress]]&lt;1),Tasks[[#This Row],[_ShownFcstFinish]]+Tasks[[#This Row],[_Row]]/100000,"")</f>
        <v/>
      </c>
      <c r="FO13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31" s="45" t="n">
        <f aca="false">IF(NOT(Tasks[[#This Row],[_IsLeaf]]=1),0,IF(Tasks[[#This Row],[Baseline Cost]]="",Tasks[[#This Row],[_LeafTotalCost]],N(Tasks[[#This Row],[Baseline Cost]])))</f>
        <v>0</v>
      </c>
      <c r="FQ131" s="45" t="n">
        <f aca="false">Tasks[[#This Row],[_LeafBudget]]*Tasks[[#This Row],[_PlannedPct]]</f>
        <v>0</v>
      </c>
      <c r="FR131" s="45" t="n">
        <f aca="false">Tasks[[#This Row],[_LeafBudget]]*Tasks[[#This Row],[_LeafProgress]]</f>
        <v>0</v>
      </c>
      <c r="FS131" s="45" t="n">
        <f aca="false">IF(NOT(Tasks[[#This Row],[_IsLeaf]]=1),0,IF(Tasks[[#This Row],[Actual Cost]]="",Tasks[[#This Row],[_LeafTotalCost]]*Tasks[[#This Row],[_LeafProgress]],N(Tasks[[#This Row],[Actual Cost]])))</f>
        <v>0</v>
      </c>
      <c r="FT131" s="45" t="str">
        <f aca="false">IF(Tasks[[#This Row],[Task Name]]="","",LEFT(Tasks[[#This Row],[WBS]],FIND(".",Tasks[[#This Row],[WBS]]&amp;".")-1))</f>
        <v/>
      </c>
      <c r="FU131" s="45" t="str">
        <f aca="false">IF(AND(Tasks[[#This Row],[Task Name]]&lt;&gt;"",Tasks[[#This Row],[_Level]]=1),Tasks[[#This Row],[_Row]],"")</f>
        <v/>
      </c>
      <c r="FV131" s="45" t="str">
        <f aca="false">IF(AND(Tasks[[#This Row],[_IsLeaf]]=1,N(Tasks[[#This Row],[Duration]])=0),Tasks[[#This Row],[Planned Finish]]+Tasks[[#This Row],[_Row]]/100000,"")</f>
        <v/>
      </c>
      <c r="FW131" s="45" t="str">
        <f aca="false">IF(AND(Tasks[[#This Row],[_IsLeaf]]=1,Tasks[[#This Row],[_LeafProgress]]&lt;1,OR(N(Tasks[[#This Row],[Finish Var]])&gt;0,Tasks[[#This Row],[Status]]="Late Start")),MAX(0,Tasks[[#This Row],[Finish Var]])+1-Tasks[[#This Row],[_Row]]/1000000,"")</f>
        <v/>
      </c>
      <c r="FX131" s="45" t="str">
        <f aca="false">IF(AND(Tasks[[#This Row],[_IsLeaf]]=1,N(Tasks[[#This Row],[Actual Start]])=0,Tasks[[#This Row],[_ShownFcstStart]]&gt;=StatusDate,Tasks[[#This Row],[_ShownFcstStart]]&lt;=LookaheadEnd),Tasks[[#This Row],[_ShownFcstStart]]+Tasks[[#This Row],[_Row]]/100000,"")</f>
        <v/>
      </c>
      <c r="FY131" s="45" t="str">
        <f aca="false">IF(AND(Tasks[[#This Row],[_IsLeaf]]=1,Tasks[[#This Row],[_LeafProgress]]&lt;1,Tasks[[#This Row],[_ShownFcstFinish]]&gt;=StatusDate,Tasks[[#This Row],[_ShownFcstFinish]]&lt;=LookaheadEnd),Tasks[[#This Row],[_ShownFcstFinish]]+Tasks[[#This Row],[_Row]]/100000,"")</f>
        <v/>
      </c>
      <c r="FZ131" s="45" t="str">
        <f aca="false">IF(Tasks[[#This Row],[_LeafCritical]],Tasks[[#This Row],[_ShownFcstStart]]+Tasks[[#This Row],[_Row]]/100000,"")</f>
        <v/>
      </c>
      <c r="GA131" s="45" t="n">
        <f aca="false">Tasks[[#This Row],[_LeafWork]]*Tasks[[#This Row],[_LeafProgress]]</f>
        <v>0</v>
      </c>
      <c r="GB131" s="74" t="str">
        <f aca="false">IF(AND(Tasks[[#This Row],[_IsLeaf]]=1,Tasks[[#This Row],[_LeafProgress]]&gt;=1),IF(N(Tasks[[#This Row],[Actual Finish]])&gt;0,Tasks[[#This Row],[Actual Finish]],Tasks[[#This Row],[_ShownFcstFinish]]),"")</f>
        <v/>
      </c>
    </row>
    <row r="132" customFormat="false" ht="15" hidden="false" customHeight="false" outlineLevel="0" collapsed="false">
      <c r="A132" s="67" t="str">
        <f aca="false">IF(Tasks[[#This Row],[Task Name]]="","",COUNTA(Tasks[[#Headers],[Task Name]]:Tasks[[#This Row],[Task Name]])-1)</f>
        <v/>
      </c>
      <c r="B132" s="21" t="n">
        <v>127</v>
      </c>
      <c r="C13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21"/>
      <c r="E132" s="22"/>
      <c r="F132" s="21"/>
      <c r="G132" s="22"/>
      <c r="H132" s="22"/>
      <c r="I132" s="22"/>
      <c r="J132" s="7"/>
      <c r="K132" s="7"/>
      <c r="L132" s="22"/>
      <c r="M132" s="58" t="str">
        <f aca="false">IF(Tasks[[#This Row],[Task Name]]="","",IF(Tasks[[#This Row],[_IsSummary]],MIN(INDEX(Tasks[_ShownFcstStart],Tasks[[#This Row],[_Row]]+1):INDEX(Tasks[_ShownFcstStart],Tasks[[#This Row],[_Row]]+Tasks[[#This Row],[_Descendants]])),Tasks[[#This Row],[_ShownFcstStart]]))</f>
        <v/>
      </c>
      <c r="N132" s="58" t="str">
        <f aca="false">IF(Tasks[[#This Row],[Task Name]]="","",IF(Tasks[[#This Row],[_IsSummary]],MAX(INDEX(Tasks[_ShownFcstFinish],Tasks[[#This Row],[_Row]]+1):INDEX(Tasks[_ShownFcstFinish],Tasks[[#This Row],[_Row]]+Tasks[[#This Row],[_Descendants]])),Tasks[[#This Row],[_ShownFcstFinish]]))</f>
        <v/>
      </c>
      <c r="O132" s="20" t="str">
        <f aca="false">IF(Tasks[[#This Row],[Task Name]]="","",IF(Tasks[[#This Row],[Progress]]&gt;=1,"Complete",IF(OR(N(Tasks[[#This Row],[Actual Start]])&gt;0,Tasks[[#This Row],[Progress]]&gt;0),IF(Tasks[[#This Row],[Finish Var]]&gt;0,"Behind","In Progress"),IF(Tasks[[#This Row],[Planned Start]]&lt;StatusDate,"Late Start","Not Started"))))</f>
        <v/>
      </c>
      <c r="P132" s="20" t="str">
        <f aca="false">IF(Tasks[[#This Row],[Task Name]]="","",IF(IF(Tasks[[#This Row],[_IsSummary]],COUNTIF(INDEX(Tasks[_LeafCritical],Tasks[[#This Row],[_Row]]+1):INDEX(Tasks[_LeafCritical],Tasks[[#This Row],[_Row]]+Tasks[[#This Row],[_Descendants]]),TRUE())&gt;0,Tasks[[#This Row],[_LeafCritical]]),"Yes",""))</f>
        <v/>
      </c>
      <c r="Q13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32" s="67" t="str">
        <f aca="false">IF(Tasks[[#This Row],[Task Name]]="","",IF(Tasks[[#This Row],[_Level]]&lt;=OutlineShowLevel,"Yes","No"))</f>
        <v/>
      </c>
      <c r="S132" s="7"/>
      <c r="T132" s="21"/>
      <c r="U132" s="22"/>
      <c r="V132" s="7"/>
      <c r="W132" s="67" t="str">
        <f aca="false">IF(Tasks[[#This Row],[Task Name]]="","",IF(Tasks[[#This Row],[Finish]]&gt;=Tasks[[#This Row],[Planned Finish]],NETWORKDAYS.INTL(Tasks[[#This Row],[Planned Finish]],Tasks[[#This Row],[Finish]],WorkWeek,Holidays)-1,1-NETWORKDAYS.INTL(Tasks[[#This Row],[Finish]],Tasks[[#This Row],[Planned Finish]],WorkWeek,Holidays)))</f>
        <v/>
      </c>
      <c r="X132" s="58" t="str">
        <f aca="false">IF(Tasks[[#This Row],[Task Name]]="","",IF(N(Tasks[[#This Row],[Baseline Start]])&gt;0,Tasks[[#This Row],[Baseline Start]],Tasks[[#This Row],[_CalcStart]]))</f>
        <v/>
      </c>
      <c r="Y132" s="58" t="str">
        <f aca="false">IF(Tasks[[#This Row],[Task Name]]="","",IF(N(Tasks[[#This Row],[Baseline Finish]])&gt;0,Tasks[[#This Row],[Baseline Finish]],Tasks[[#This Row],[_CalcFinish]]))</f>
        <v/>
      </c>
      <c r="Z132" s="67" t="str">
        <f aca="false">IF(Tasks[[#This Row],[Task Name]]="","",IF(Tasks[[#This Row],[Start]]&gt;=Tasks[[#This Row],[Planned Start]],NETWORKDAYS.INTL(Tasks[[#This Row],[Planned Start]],Tasks[[#This Row],[Start]],WorkWeek,Holidays)-1,1-NETWORKDAYS.INTL(Tasks[[#This Row],[Start]],Tasks[[#This Row],[Planned Start]],WorkWeek,Holidays)))</f>
        <v/>
      </c>
      <c r="AA132" s="58" t="str">
        <f aca="false">IF(Tasks[[#This Row],[Task Name]]="","",IF(Tasks[[#This Row],[_IsSummary]],MIN(INDEX(Tasks[_LeafLateStart],Tasks[[#This Row],[_Row]]+1):INDEX(Tasks[_LeafLateStart],Tasks[[#This Row],[_Row]]+Tasks[[#This Row],[_Descendants]])),Tasks[[#This Row],[_LeafLateStart]]))</f>
        <v/>
      </c>
      <c r="AB132" s="58" t="str">
        <f aca="false">IF(Tasks[[#This Row],[Task Name]]="","",IF(Tasks[[#This Row],[_IsSummary]],MAX(INDEX(Tasks[_LeafLateFinish],Tasks[[#This Row],[_Row]]+1):INDEX(Tasks[_LeafLateFinish],Tasks[[#This Row],[_Row]]+Tasks[[#This Row],[_Descendants]])),Tasks[[#This Row],[_LeafLateFinish]]))</f>
        <v/>
      </c>
      <c r="AC132" s="67" t="str">
        <f aca="false">IF(Tasks[[#This Row],[Task Name]]="","",IF(Tasks[[#This Row],[_IsSummary]],MIN(INDEX(Tasks[_LeafTotalSlack],Tasks[[#This Row],[_Row]]+1):INDEX(Tasks[_LeafTotalSlack],Tasks[[#This Row],[_Row]]+Tasks[[#This Row],[_Descendants]])),Tasks[[#This Row],[_LeafTotalSlack]]))</f>
        <v/>
      </c>
      <c r="AD13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3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3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32" s="60"/>
      <c r="AH13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3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32" s="69" t="str">
        <f aca="false">IF(Tasks[[#This Row],[Task Name]]="","",IF(Tasks[[#This Row],[_IsSummary]],SUM(INDEX(Tasks[_LeafTotalWork],Tasks[[#This Row],[_Row]]+1):INDEX(Tasks[_LeafTotalWork],Tasks[[#This Row],[_Row]]+Tasks[[#This Row],[_Descendants]])),Tasks[[#This Row],[_LeafTotalWork]]))</f>
        <v/>
      </c>
      <c r="AK13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32" s="70" t="str">
        <f aca="false">IF(Tasks[[#This Row],[Task Name]]="","",IF(Tasks[[#This Row],[_IsSummary]],SUM(INDEX(Tasks[_LeafTotalCost],Tasks[[#This Row],[_Row]]+1):INDEX(Tasks[_LeafTotalCost],Tasks[[#This Row],[_Row]]+Tasks[[#This Row],[_Descendants]])),Tasks[[#This Row],[_LeafTotalCost]]))</f>
        <v/>
      </c>
      <c r="AM132" s="71"/>
      <c r="AN132" s="20" t="str">
        <f aca="false">IF(OR(Tasks[[#This Row],[Task Name]]="",Tasks[[#This Row],[Baseline Duration]]=""),"",Tasks[[#This Row],[BL Source Duration]]-N(Tasks[[#This Row],[Baseline Duration]]))</f>
        <v/>
      </c>
      <c r="AO132" s="69" t="str">
        <f aca="false">IF(OR(Tasks[[#This Row],[Task Name]]="",Tasks[[#This Row],[Baseline Work]]=""),"",Tasks[[#This Row],[Work]]-N(Tasks[[#This Row],[Baseline Work]]))</f>
        <v/>
      </c>
      <c r="AP132" s="70" t="str">
        <f aca="false">IF(OR(Tasks[[#This Row],[Task Name]]="",Tasks[[#This Row],[Baseline Cost]]=""),"",Tasks[[#This Row],[Cost]]-N(Tasks[[#This Row],[Baseline Cost]]))</f>
        <v/>
      </c>
      <c r="AQ132" s="58" t="str">
        <f aca="false">IF(Tasks[[#This Row],[Task Name]]="","",Tasks[[#This Row],[Start]])</f>
        <v/>
      </c>
      <c r="AR132" s="58" t="str">
        <f aca="false">IF(Tasks[[#This Row],[Task Name]]="","",Tasks[[#This Row],[Finish]])</f>
        <v/>
      </c>
      <c r="AS132" s="67" t="str">
        <f aca="false">IF(Tasks[[#This Row],[Task Name]]="","",IF(Tasks[[#This Row],[_IsSummary]],NETWORKDAYS.INTL(Tasks[[#This Row],[Start]],Tasks[[#This Row],[Finish]],WorkWeek,Holidays),N(Tasks[[#This Row],[Duration]])))</f>
        <v/>
      </c>
      <c r="AT132" s="69" t="str">
        <f aca="false">IF(Tasks[[#This Row],[Task Name]]="","",Tasks[[#This Row],[Work]])</f>
        <v/>
      </c>
      <c r="AU132" s="70" t="str">
        <f aca="false">IF(Tasks[[#This Row],[Task Name]]="","",Tasks[[#This Row],[Cost]])</f>
        <v/>
      </c>
      <c r="AV132" s="7"/>
      <c r="AW132" s="7"/>
      <c r="AX132" s="21"/>
      <c r="AY132" s="72"/>
      <c r="AZ132" s="71"/>
      <c r="BA132" s="70" t="str">
        <f aca="false">IF(Tasks[[#This Row],[Task Name]]="","",IF(Tasks[[#This Row],[_IsSummary]],SUM(INDEX(Tasks[_LeafEV],Tasks[[#This Row],[_Row]]+1):INDEX(Tasks[_LeafEV],Tasks[[#This Row],[_Row]]+Tasks[[#This Row],[_Descendants]])),Tasks[[#This Row],[_LeafEV]]))</f>
        <v/>
      </c>
      <c r="BB132" s="70" t="str">
        <f aca="false">IF(Tasks[[#This Row],[Task Name]]="","",IF(Tasks[[#This Row],[_IsSummary]],SUM(INDEX(Tasks[_LeafBudget],Tasks[[#This Row],[_Row]]+1):INDEX(Tasks[_LeafBudget],Tasks[[#This Row],[_Row]]+Tasks[[#This Row],[_Descendants]])),Tasks[[#This Row],[_LeafBudget]]))</f>
        <v/>
      </c>
      <c r="BC132" s="70" t="str">
        <f aca="false">IF(Tasks[[#This Row],[Task Name]]="","",IF(Tasks[[#This Row],[_IsSummary]],SUM(INDEX(Tasks[_LeafPV],Tasks[[#This Row],[_Row]]+1):INDEX(Tasks[_LeafPV],Tasks[[#This Row],[_Row]]+Tasks[[#This Row],[_Descendants]])),Tasks[[#This Row],[_LeafPV]]))</f>
        <v/>
      </c>
      <c r="BD132" s="70" t="str">
        <f aca="false">IF(Tasks[[#This Row],[Task Name]]="","",IF(Tasks[[#This Row],[_IsSummary]],SUM(INDEX(Tasks[_LeafAC],Tasks[[#This Row],[_Row]]+1):INDEX(Tasks[_LeafAC],Tasks[[#This Row],[_Row]]+Tasks[[#This Row],[_Descendants]])),Tasks[[#This Row],[_LeafAC]]))</f>
        <v/>
      </c>
      <c r="BE132" s="45" t="str">
        <f aca="false">IF(Tasks[[#This Row],[Task Name]]="","",MAX(1,N(Tasks[[#This Row],[Level]])))</f>
        <v/>
      </c>
      <c r="BF132" s="45" t="n">
        <f aca="false">ROW()-ROW(Tasks[[#Headers],[ID]])</f>
        <v>127</v>
      </c>
      <c r="BG132" s="45" t="n">
        <f aca="false">IF(OR(Tasks[[#This Row],[Task Name]]="",Tasks[[#This Row],[_Level]]&lt;=1),0,IFERROR(LOOKUP(2,1/(Tasks[[#Headers],[_Level]]:Tasks[[#This Row],[_Level]]=Tasks[[#This Row],[_Level]]-1),ROW(Tasks[[#Headers],[_Level]]:Tasks[[#This Row],[_Level]])),0))</f>
        <v>0</v>
      </c>
      <c r="BH132" s="45" t="n">
        <f aca="false">IFERROR(N(INDEX(Tasks[_Level],Tasks[[#This Row],[_Row]]+1)),0)</f>
        <v>0</v>
      </c>
      <c r="BI132" s="73" t="b">
        <f aca="false">AND(Tasks[[#This Row],[Task Name]]&lt;&gt;"",Tasks[[#This Row],[_NextLevel]]&gt;Tasks[[#This Row],[_Level]])</f>
        <v>0</v>
      </c>
      <c r="BJ132" s="45" t="n">
        <f aca="false">IF(Tasks[[#This Row],[_IsSummary]],COUNTIF(Tasks[WBS],Tasks[[#This Row],[WBS]]&amp;".*"),0)</f>
        <v>0</v>
      </c>
      <c r="BK132" s="45" t="n">
        <f aca="false">IF(AND(Tasks[[#This Row],[Task Name]]&lt;&gt;"",NOT(Tasks[[#This Row],[_IsSummary]])),1,0)</f>
        <v>0</v>
      </c>
      <c r="BL132" s="45" t="n">
        <f aca="false">IF(N(Tasks[[#This Row],[_Pred1UID]])=0,0,IFERROR(MATCH(Tasks[[#This Row],[_Pred1UID]],Tasks[UID],0),-1))</f>
        <v>0</v>
      </c>
      <c r="BM132" s="45" t="n">
        <f aca="false">IF(N(Tasks[[#This Row],[_Pred2UID]])=0,0,IFERROR(MATCH(Tasks[[#This Row],[_Pred2UID]],Tasks[UID],0),-1))</f>
        <v>0</v>
      </c>
      <c r="BN132" s="45" t="n">
        <f aca="false">IF(N(Tasks[[#This Row],[_Pred3UID]])=0,0,IFERROR(MATCH(Tasks[[#This Row],[_Pred3UID]],Tasks[UID],0),-1))</f>
        <v>0</v>
      </c>
      <c r="BO132" s="45" t="n">
        <f aca="false">IF(N(Tasks[[#This Row],[_Pred4UID]])=0,0,IFERROR(MATCH(Tasks[[#This Row],[_Pred4UID]],Tasks[UID],0),-1))</f>
        <v>0</v>
      </c>
      <c r="BP13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3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32" s="74" t="n">
        <f aca="false">IF(OR(Tasks[[#This Row],[_ConstraintCode]]=2,Tasks[[#This Row],[_ConstraintCode]]=3,Tasks[[#This Row],[_ConstraintCode]]=4,Tasks[[#This Row],[_ConstraintCode]]=6),Tasks[[#This Row],[_ConstraintStart]],0)</f>
        <v>0</v>
      </c>
      <c r="BS132" s="74" t="n">
        <f aca="false">IF(OR(Tasks[[#This Row],[_ConstraintCode]]=2,Tasks[[#This Row],[_ConstraintCode]]=3,Tasks[[#This Row],[_ConstraintCode]]=5,Tasks[[#This Row],[_ConstraintCode]]=7),Tasks[[#This Row],[_ConstraintStart]],2958465)</f>
        <v>2958465</v>
      </c>
      <c r="BT13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32" s="74" t="str">
        <f aca="false">IF(NOT(Tasks[[#This Row],[_IsLeaf]]=1),"",IF(N(Tasks[[#This Row],[Duration]])&lt;=0,Tasks[[#This Row],[_LeafCalcStart]],WORKDAY.INTL(Tasks[[#This Row],[_LeafCalcStart]],Tasks[[#This Row],[Duration]]-1,WorkWeek,Holidays)))</f>
        <v/>
      </c>
      <c r="BV13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3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32" s="45" t="str">
        <f aca="false">IF(Tasks[[#This Row],[Predecessors]]="","",TRIM(MID(SUBSTITUTE(SUBSTITUTE(SUBSTITUTE(UPPER(Tasks[[#This Row],[Predecessors]]),";",",")," ",""),",",REPT(" ",99)),1,99)))</f>
        <v/>
      </c>
      <c r="BY132" s="45" t="str">
        <f aca="false">IF(Tasks[[#This Row],[_Pred1Text]]="","",IFERROR(VALUE(LEFT(Tasks[[#This Row],[_Pred1Text]],MIN(FIND("F",Tasks[[#This Row],[_Pred1Text]]&amp;"F"),FIND("S",Tasks[[#This Row],[_Pred1Text]]&amp;"S"),FIND("+",Tasks[[#This Row],[_Pred1Text]]&amp;"+"),FIND("-",Tasks[[#This Row],[_Pred1Text]]&amp;"-"))-1)),""))</f>
        <v/>
      </c>
      <c r="BZ13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3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32" s="45" t="str">
        <f aca="false">IF(Tasks[[#This Row],[_Pred1Text]]="","",TRIM(MID(SUBSTITUTE(SUBSTITUTE(SUBSTITUTE(UPPER(Tasks[[#This Row],[Predecessors]]),";",",")," ",""),",",REPT(" ",99)),100,99)))</f>
        <v/>
      </c>
      <c r="CC132" s="45" t="str">
        <f aca="false">IF(Tasks[[#This Row],[_Pred2Text]]="","",IFERROR(VALUE(LEFT(Tasks[[#This Row],[_Pred2Text]],MIN(FIND("F",Tasks[[#This Row],[_Pred2Text]]&amp;"F"),FIND("S",Tasks[[#This Row],[_Pred2Text]]&amp;"S"),FIND("+",Tasks[[#This Row],[_Pred2Text]]&amp;"+"),FIND("-",Tasks[[#This Row],[_Pred2Text]]&amp;"-"))-1)),""))</f>
        <v/>
      </c>
      <c r="CD13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3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32" s="45" t="str">
        <f aca="false">IF(Tasks[[#This Row],[_Pred2Text]]="","",TRIM(MID(SUBSTITUTE(SUBSTITUTE(SUBSTITUTE(UPPER(Tasks[[#This Row],[Predecessors]]),";",",")," ",""),",",REPT(" ",99)),199,99)))</f>
        <v/>
      </c>
      <c r="CG132" s="45" t="str">
        <f aca="false">IF(Tasks[[#This Row],[_Pred3Text]]="","",IFERROR(VALUE(LEFT(Tasks[[#This Row],[_Pred3Text]],MIN(FIND("F",Tasks[[#This Row],[_Pred3Text]]&amp;"F"),FIND("S",Tasks[[#This Row],[_Pred3Text]]&amp;"S"),FIND("+",Tasks[[#This Row],[_Pred3Text]]&amp;"+"),FIND("-",Tasks[[#This Row],[_Pred3Text]]&amp;"-"))-1)),""))</f>
        <v/>
      </c>
      <c r="CH13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3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32" s="45" t="str">
        <f aca="false">IF(Tasks[[#This Row],[_Pred3Text]]="","",TRIM(MID(SUBSTITUTE(SUBSTITUTE(SUBSTITUTE(UPPER(Tasks[[#This Row],[Predecessors]]),";",",")," ",""),",",REPT(" ",99)),298,99)))</f>
        <v/>
      </c>
      <c r="CK132" s="45" t="str">
        <f aca="false">IF(Tasks[[#This Row],[_Pred4Text]]="","",IFERROR(VALUE(LEFT(Tasks[[#This Row],[_Pred4Text]],MIN(FIND("F",Tasks[[#This Row],[_Pred4Text]]&amp;"F"),FIND("S",Tasks[[#This Row],[_Pred4Text]]&amp;"S"),FIND("+",Tasks[[#This Row],[_Pred4Text]]&amp;"+"),FIND("-",Tasks[[#This Row],[_Pred4Text]]&amp;"-"))-1)),""))</f>
        <v/>
      </c>
      <c r="CL13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3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32" s="45" t="str">
        <f aca="false">IF(OR(Tasks[[#This Row],[Task Name]]="",Tasks[[#This Row],[Resources]]=""),"",TRIM(MID(SUBSTITUTE(Tasks[[#This Row],[Resources]],",",REPT(" ",99)),1,99)))</f>
        <v/>
      </c>
      <c r="CO132" s="45" t="str">
        <f aca="false">IF(Tasks[[#This Row],[_Res1Text]]="","",TRIM(MID(SUBSTITUTE(Tasks[[#This Row],[Resources]],",",REPT(" ",99)),100,99)))</f>
        <v/>
      </c>
      <c r="CP132" s="45" t="str">
        <f aca="false">IF(Tasks[[#This Row],[_Res2Text]]="","",TRIM(MID(SUBSTITUTE(Tasks[[#This Row],[Resources]],",",REPT(" ",99)),199,99)))</f>
        <v/>
      </c>
      <c r="CQ132" s="45" t="str">
        <f aca="false">IF(Tasks[[#This Row],[_Res3Text]]="","",TRIM(MID(SUBSTITUTE(Tasks[[#This Row],[Resources]],",",REPT(" ",99)),298,99)))</f>
        <v/>
      </c>
      <c r="CR13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3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2" s="45" t="n">
        <f aca="false">IF(NOT(Tasks[[#This Row],[_IsLeaf]]=1),0,(Tasks[[#This Row],[_Resource1]]&lt;&gt;"")+(Tasks[[#This Row],[_Res2]]&lt;&gt;"")+(Tasks[[#This Row],[_Res3]]&lt;&gt;"")+(Tasks[[#This Row],[_Res4]]&lt;&gt;""))</f>
        <v>0</v>
      </c>
      <c r="CU13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3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2" s="45" t="n">
        <f aca="false">IF(OR(NOT(Tasks[[#This Row],[_IsLeaf]]=1),Tasks[[#This Row],[_Res2]]=""),0,IF(ISNA(MATCH(Tasks[[#This Row],[_Res2]],res_Name,0)),0,N(Tasks[[#This Row],[Duration]])*HoursPerDay*IF(Tasks[[#This Row],[_Res2Units]]="",DefaultUnits,Tasks[[#This Row],[_Res2Units]])))</f>
        <v>0</v>
      </c>
      <c r="CX132" s="45" t="n">
        <f aca="false">IF(Tasks[[#This Row],[_Res2Work]]=0,0,Tasks[[#This Row],[_Res2Work]]*IFERROR(INDEX(res_Rate,MATCH(Tasks[[#This Row],[_Res2]],res_Name,0)),0))</f>
        <v>0</v>
      </c>
      <c r="CY132" s="45" t="n">
        <f aca="false">IF(AND(AND(Tasks[[#This Row],[_IsLeaf]]=1,Tasks[[#This Row],[_LeafTotalWork]]&gt;0),Tasks[[#This Row],[_Res2Work]]&gt;0),Tasks[[#This Row],[_Res2Work]]/(Tasks[[#This Row],[_FinishWorkday]]-Tasks[[#This Row],[_StartWorkday]]+1),0)</f>
        <v>0</v>
      </c>
      <c r="CZ132" s="45" t="n">
        <f aca="false">Tasks[[#This Row],[_Res2WorkPerWD]]*MAX(0,Tasks[[#This Row],[_StartWorkday]]-1)</f>
        <v>0</v>
      </c>
      <c r="DA132" s="45" t="n">
        <f aca="false">Tasks[[#This Row],[_Res2Work]]*Tasks[[#This Row],[_LeafProgress]]</f>
        <v>0</v>
      </c>
      <c r="DB132" s="45" t="n">
        <f aca="false">IF(Tasks[[#This Row],[_LeafTotalCost]]=0,0,Tasks[[#This Row],[_LeafAC]]*Tasks[[#This Row],[_Res2Cost]]/Tasks[[#This Row],[_LeafTotalCost]])</f>
        <v>0</v>
      </c>
      <c r="DC13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3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32" s="45" t="n">
        <f aca="false">IF(OR(NOT(Tasks[[#This Row],[_IsLeaf]]=1),Tasks[[#This Row],[_Res3]]=""),0,IF(ISNA(MATCH(Tasks[[#This Row],[_Res3]],res_Name,0)),0,N(Tasks[[#This Row],[Duration]])*HoursPerDay*IF(Tasks[[#This Row],[_Res3Units]]="",DefaultUnits,Tasks[[#This Row],[_Res3Units]])))</f>
        <v>0</v>
      </c>
      <c r="DF132" s="45" t="n">
        <f aca="false">IF(Tasks[[#This Row],[_Res3Work]]=0,0,Tasks[[#This Row],[_Res3Work]]*IFERROR(INDEX(res_Rate,MATCH(Tasks[[#This Row],[_Res3]],res_Name,0)),0))</f>
        <v>0</v>
      </c>
      <c r="DG132" s="45" t="n">
        <f aca="false">IF(AND(AND(Tasks[[#This Row],[_IsLeaf]]=1,Tasks[[#This Row],[_LeafTotalWork]]&gt;0),Tasks[[#This Row],[_Res3Work]]&gt;0),Tasks[[#This Row],[_Res3Work]]/(Tasks[[#This Row],[_FinishWorkday]]-Tasks[[#This Row],[_StartWorkday]]+1),0)</f>
        <v>0</v>
      </c>
      <c r="DH132" s="45" t="n">
        <f aca="false">Tasks[[#This Row],[_Res3WorkPerWD]]*MAX(0,Tasks[[#This Row],[_StartWorkday]]-1)</f>
        <v>0</v>
      </c>
      <c r="DI132" s="45" t="n">
        <f aca="false">Tasks[[#This Row],[_Res3Work]]*Tasks[[#This Row],[_LeafProgress]]</f>
        <v>0</v>
      </c>
      <c r="DJ132" s="45" t="n">
        <f aca="false">IF(Tasks[[#This Row],[_LeafTotalCost]]=0,0,Tasks[[#This Row],[_LeafAC]]*Tasks[[#This Row],[_Res3Cost]]/Tasks[[#This Row],[_LeafTotalCost]])</f>
        <v>0</v>
      </c>
      <c r="DK13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3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32" s="45" t="n">
        <f aca="false">IF(OR(NOT(Tasks[[#This Row],[_IsLeaf]]=1),Tasks[[#This Row],[_Res4]]=""),0,IF(ISNA(MATCH(Tasks[[#This Row],[_Res4]],res_Name,0)),0,N(Tasks[[#This Row],[Duration]])*HoursPerDay*IF(Tasks[[#This Row],[_Res4Units]]="",DefaultUnits,Tasks[[#This Row],[_Res4Units]])))</f>
        <v>0</v>
      </c>
      <c r="DN132" s="45" t="n">
        <f aca="false">IF(Tasks[[#This Row],[_Res4Work]]=0,0,Tasks[[#This Row],[_Res4Work]]*IFERROR(INDEX(res_Rate,MATCH(Tasks[[#This Row],[_Res4]],res_Name,0)),0))</f>
        <v>0</v>
      </c>
      <c r="DO132" s="45" t="n">
        <f aca="false">IF(AND(AND(Tasks[[#This Row],[_IsLeaf]]=1,Tasks[[#This Row],[_LeafTotalWork]]&gt;0),Tasks[[#This Row],[_Res4Work]]&gt;0),Tasks[[#This Row],[_Res4Work]]/(Tasks[[#This Row],[_FinishWorkday]]-Tasks[[#This Row],[_StartWorkday]]+1),0)</f>
        <v>0</v>
      </c>
      <c r="DP132" s="45" t="n">
        <f aca="false">Tasks[[#This Row],[_Res4WorkPerWD]]*MAX(0,Tasks[[#This Row],[_StartWorkday]]-1)</f>
        <v>0</v>
      </c>
      <c r="DQ132" s="45" t="n">
        <f aca="false">Tasks[[#This Row],[_Res4Work]]*Tasks[[#This Row],[_LeafProgress]]</f>
        <v>0</v>
      </c>
      <c r="DR132" s="45" t="n">
        <f aca="false">IF(Tasks[[#This Row],[_LeafTotalCost]]=0,0,Tasks[[#This Row],[_LeafAC]]*Tasks[[#This Row],[_Res4Cost]]/Tasks[[#This Row],[_LeafTotalCost]])</f>
        <v>0</v>
      </c>
      <c r="DS132" s="45" t="n">
        <f aca="false">IF(ISNUMBER(Tasks[[#This Row],[% Complete]]),Tasks[[#This Row],[% Complete]],IF(Tasks[[#This Row],[Stage]]="",0,IFERROR(INDEX(stg_Pct,MATCH(Tasks[[#This Row],[Stage]],stg_Name,0)),0)))</f>
        <v>0</v>
      </c>
      <c r="DT132" s="45" t="n">
        <f aca="false">IF(NOT(Tasks[[#This Row],[_IsLeaf]]=1),0,IF(N(Tasks[[#This Row],[Actual Finish]])&gt;0,1,MIN(1,Tasks[[#This Row],[_Pct]])))</f>
        <v>0</v>
      </c>
      <c r="DU132" s="45" t="n">
        <f aca="false">IF(OR(NOT(Tasks[[#This Row],[_IsLeaf]]=1),Tasks[[#This Row],[_Resource1]]=""),0,IF(ISNA(MATCH(Tasks[[#This Row],[_Resource1]],res_Name,0)),0,N(Tasks[[#This Row],[Duration]])*HoursPerDay*IF(Tasks[[#This Row],[_Units1]]="",DefaultUnits,Tasks[[#This Row],[_Units1]])))</f>
        <v>0</v>
      </c>
      <c r="DV132" s="45" t="n">
        <f aca="false">IF(Tasks[[#This Row],[_LeafWork]]=0,0,Tasks[[#This Row],[_LeafWork]]*IFERROR(INDEX(res_Rate,MATCH(Tasks[[#This Row],[_Resource1]],res_Name,0)),0))</f>
        <v>0</v>
      </c>
      <c r="DW132" s="45" t="n">
        <f aca="false">Tasks[[#This Row],[_LeafWork]]+Tasks[[#This Row],[_Res2Work]]+Tasks[[#This Row],[_Res3Work]]+Tasks[[#This Row],[_Res4Work]]</f>
        <v>0</v>
      </c>
      <c r="DX132" s="45" t="n">
        <f aca="false">Tasks[[#This Row],[_LeafCost]]+Tasks[[#This Row],[_Res2Cost]]+Tasks[[#This Row],[_Res3Cost]]+Tasks[[#This Row],[_Res4Cost]]</f>
        <v>0</v>
      </c>
      <c r="DY132" s="45" t="n">
        <f aca="false">IF(Tasks[[#This Row],[_LeafTotalCost]]=0,Tasks[[#This Row],[_LeafAC]],Tasks[[#This Row],[_LeafAC]]*Tasks[[#This Row],[_LeafCost]]/Tasks[[#This Row],[_LeafTotalCost]])</f>
        <v>0</v>
      </c>
      <c r="DZ13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3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3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3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3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3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3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3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32" s="45" t="n">
        <f aca="false">IF(NOT(Tasks[[#This Row],[_IsLeaf]]=1),0,MAX(_xlfn.MAXIFS(Tasks[_Row],Tasks[_Pred1UID],Tasks[[#This Row],[UID]]),_xlfn.MAXIFS(Tasks[_Row],Tasks[_Pred2UID],Tasks[[#This Row],[UID]]),_xlfn.MAXIFS(Tasks[_Row],Tasks[_Pred3UID],Tasks[[#This Row],[UID]]),_xlfn.MAXIFS(Tasks[_Row],Tasks[_Pred4UID],Tasks[[#This Row],[UID]])))</f>
        <v>0</v>
      </c>
      <c r="EI13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3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32" s="74" t="str">
        <f aca="false">IF(NOT(Tasks[[#This Row],[_IsLeaf]]=1),"",IF(N(Tasks[[#This Row],[Duration]])&lt;=0,Tasks[[#This Row],[_LeafLateFinish]],WORKDAY.INTL(Tasks[[#This Row],[_LeafLateFinish]],-(Tasks[[#This Row],[Duration]]-1),WorkWeek,Holidays)))</f>
        <v/>
      </c>
      <c r="EL13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32" s="73" t="b">
        <f aca="false">AND(Tasks[[#This Row],[_IsLeaf]]=1,Tasks[[#This Row],[_LeafProgress]]&lt;1,N(Tasks[[#This Row],[_LeafTotalSlack]])&lt;=CriticalSlackDays)</f>
        <v>0</v>
      </c>
      <c r="EN132" s="45" t="n">
        <f aca="false">IF(AND(Tasks[[#This Row],[_IsLeaf]]=1,Tasks[[#This Row],[_ConstraintCode]]=1,Tasks[[#This Row],[Mode]]&lt;&gt;"Manual",N(Tasks[[#This Row],[Actual Start]])=0),MAX(0,N(Tasks[[#This Row],[Free Slack]])),0)</f>
        <v>0</v>
      </c>
      <c r="EO132" s="74" t="str">
        <f aca="false">IF(NOT(Tasks[[#This Row],[_IsLeaf]]=1),"",IF(Tasks[[#This Row],[_AlapShift]]=0,Tasks[[#This Row],[_LeafCalcStart]],WORKDAY.INTL(Tasks[[#This Row],[_LeafCalcStart]],Tasks[[#This Row],[_AlapShift]],WorkWeek,Holidays)))</f>
        <v/>
      </c>
      <c r="EP132" s="74" t="str">
        <f aca="false">IF(NOT(Tasks[[#This Row],[_IsLeaf]]=1),"",IF(Tasks[[#This Row],[_AlapShift]]=0,Tasks[[#This Row],[_LeafCalcFinish]],WORKDAY.INTL(Tasks[[#This Row],[_LeafCalcFinish]],Tasks[[#This Row],[_AlapShift]],WorkWeek,Holidays)))</f>
        <v/>
      </c>
      <c r="EQ132" s="74" t="str">
        <f aca="false">IF(NOT(Tasks[[#This Row],[_IsLeaf]]=1),"",IF(Tasks[[#This Row],[_AlapShift]]=0,Tasks[[#This Row],[_LeafFcstStart]],WORKDAY.INTL(Tasks[[#This Row],[_LeafFcstStart]],Tasks[[#This Row],[_AlapShift]],WorkWeek,Holidays)))</f>
        <v/>
      </c>
      <c r="ER132" s="74" t="str">
        <f aca="false">IF(NOT(Tasks[[#This Row],[_IsLeaf]]=1),"",IF(Tasks[[#This Row],[_AlapShift]]=0,Tasks[[#This Row],[_LeafFcstFinish]],WORKDAY.INTL(Tasks[[#This Row],[_LeafFcstFinish]],Tasks[[#This Row],[_AlapShift]],WorkWeek,Holidays)))</f>
        <v/>
      </c>
      <c r="ES132" s="74" t="str">
        <f aca="false">IF(Tasks[[#This Row],[Task Name]]="","",IF(Tasks[[#This Row],[_IsSummary]],MIN(INDEX(Tasks[_ShownCalcStart],Tasks[[#This Row],[_Row]]+1):INDEX(Tasks[_ShownCalcStart],Tasks[[#This Row],[_Row]]+Tasks[[#This Row],[_Descendants]])),Tasks[[#This Row],[_ShownCalcStart]]))</f>
        <v/>
      </c>
      <c r="ET132" s="74" t="str">
        <f aca="false">IF(Tasks[[#This Row],[Task Name]]="","",IF(Tasks[[#This Row],[_IsSummary]],MAX(INDEX(Tasks[_ShownCalcFinish],Tasks[[#This Row],[_Row]]+1):INDEX(Tasks[_ShownCalcFinish],Tasks[[#This Row],[_Row]]+Tasks[[#This Row],[_Descendants]])),Tasks[[#This Row],[_ShownCalcFinish]]))</f>
        <v/>
      </c>
      <c r="EU13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3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3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3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3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3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3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3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3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3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3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3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32" s="45" t="n">
        <f aca="false">IF(AND(Tasks[[#This Row],[_IsLeaf]]=1,Tasks[[#This Row],[_LeafTotalWork]]&gt;0),NETWORKDAYS.INTL(ProjectStart,Tasks[[#This Row],[_ShownFcstStart]],WorkWeek,Holidays),0)</f>
        <v>0</v>
      </c>
      <c r="FH132" s="45" t="n">
        <f aca="false">IF(AND(Tasks[[#This Row],[_IsLeaf]]=1,Tasks[[#This Row],[_LeafTotalWork]]&gt;0),MAX(Tasks[[#This Row],[_StartWorkday]],NETWORKDAYS.INTL(ProjectStart,Tasks[[#This Row],[_ShownFcstFinish]],WorkWeek,Holidays)),0)</f>
        <v>0</v>
      </c>
      <c r="FI132" s="45" t="n">
        <f aca="false">IF(AND(Tasks[[#This Row],[_IsLeaf]]=1,Tasks[[#This Row],[_LeafTotalWork]]&gt;0),Tasks[[#This Row],[_LeafWork]]/(Tasks[[#This Row],[_FinishWorkday]]-Tasks[[#This Row],[_StartWorkday]]+1),0)</f>
        <v>0</v>
      </c>
      <c r="FJ132" s="45" t="n">
        <f aca="false">Tasks[[#This Row],[_WorkPerWorkday]]*(Tasks[[#This Row],[_StartWorkday]]-1)</f>
        <v>-0</v>
      </c>
      <c r="FK132" s="45" t="n">
        <f aca="false">IF(Tasks[[#This Row],[_IsLeaf]]=1,MAX(N(Tasks[[#This Row],[Duration]]),0.1),0)</f>
        <v>0</v>
      </c>
      <c r="FL132" s="45" t="n">
        <f aca="false">Tasks[[#This Row],[_WeightDur]]*Tasks[[#This Row],[_LeafProgress]]</f>
        <v>0</v>
      </c>
      <c r="FM13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32" s="45" t="str">
        <f aca="false">IF(AND(Tasks[[#This Row],[_IsLeaf]]=1,N(Tasks[[#This Row],[Duration]])=0,Tasks[[#This Row],[_LeafProgress]]&lt;1),Tasks[[#This Row],[_ShownFcstFinish]]+Tasks[[#This Row],[_Row]]/100000,"")</f>
        <v/>
      </c>
      <c r="FO13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32" s="45" t="n">
        <f aca="false">IF(NOT(Tasks[[#This Row],[_IsLeaf]]=1),0,IF(Tasks[[#This Row],[Baseline Cost]]="",Tasks[[#This Row],[_LeafTotalCost]],N(Tasks[[#This Row],[Baseline Cost]])))</f>
        <v>0</v>
      </c>
      <c r="FQ132" s="45" t="n">
        <f aca="false">Tasks[[#This Row],[_LeafBudget]]*Tasks[[#This Row],[_PlannedPct]]</f>
        <v>0</v>
      </c>
      <c r="FR132" s="45" t="n">
        <f aca="false">Tasks[[#This Row],[_LeafBudget]]*Tasks[[#This Row],[_LeafProgress]]</f>
        <v>0</v>
      </c>
      <c r="FS132" s="45" t="n">
        <f aca="false">IF(NOT(Tasks[[#This Row],[_IsLeaf]]=1),0,IF(Tasks[[#This Row],[Actual Cost]]="",Tasks[[#This Row],[_LeafTotalCost]]*Tasks[[#This Row],[_LeafProgress]],N(Tasks[[#This Row],[Actual Cost]])))</f>
        <v>0</v>
      </c>
      <c r="FT132" s="45" t="str">
        <f aca="false">IF(Tasks[[#This Row],[Task Name]]="","",LEFT(Tasks[[#This Row],[WBS]],FIND(".",Tasks[[#This Row],[WBS]]&amp;".")-1))</f>
        <v/>
      </c>
      <c r="FU132" s="45" t="str">
        <f aca="false">IF(AND(Tasks[[#This Row],[Task Name]]&lt;&gt;"",Tasks[[#This Row],[_Level]]=1),Tasks[[#This Row],[_Row]],"")</f>
        <v/>
      </c>
      <c r="FV132" s="45" t="str">
        <f aca="false">IF(AND(Tasks[[#This Row],[_IsLeaf]]=1,N(Tasks[[#This Row],[Duration]])=0),Tasks[[#This Row],[Planned Finish]]+Tasks[[#This Row],[_Row]]/100000,"")</f>
        <v/>
      </c>
      <c r="FW132" s="45" t="str">
        <f aca="false">IF(AND(Tasks[[#This Row],[_IsLeaf]]=1,Tasks[[#This Row],[_LeafProgress]]&lt;1,OR(N(Tasks[[#This Row],[Finish Var]])&gt;0,Tasks[[#This Row],[Status]]="Late Start")),MAX(0,Tasks[[#This Row],[Finish Var]])+1-Tasks[[#This Row],[_Row]]/1000000,"")</f>
        <v/>
      </c>
      <c r="FX132" s="45" t="str">
        <f aca="false">IF(AND(Tasks[[#This Row],[_IsLeaf]]=1,N(Tasks[[#This Row],[Actual Start]])=0,Tasks[[#This Row],[_ShownFcstStart]]&gt;=StatusDate,Tasks[[#This Row],[_ShownFcstStart]]&lt;=LookaheadEnd),Tasks[[#This Row],[_ShownFcstStart]]+Tasks[[#This Row],[_Row]]/100000,"")</f>
        <v/>
      </c>
      <c r="FY132" s="45" t="str">
        <f aca="false">IF(AND(Tasks[[#This Row],[_IsLeaf]]=1,Tasks[[#This Row],[_LeafProgress]]&lt;1,Tasks[[#This Row],[_ShownFcstFinish]]&gt;=StatusDate,Tasks[[#This Row],[_ShownFcstFinish]]&lt;=LookaheadEnd),Tasks[[#This Row],[_ShownFcstFinish]]+Tasks[[#This Row],[_Row]]/100000,"")</f>
        <v/>
      </c>
      <c r="FZ132" s="45" t="str">
        <f aca="false">IF(Tasks[[#This Row],[_LeafCritical]],Tasks[[#This Row],[_ShownFcstStart]]+Tasks[[#This Row],[_Row]]/100000,"")</f>
        <v/>
      </c>
      <c r="GA132" s="45" t="n">
        <f aca="false">Tasks[[#This Row],[_LeafWork]]*Tasks[[#This Row],[_LeafProgress]]</f>
        <v>0</v>
      </c>
      <c r="GB132" s="74" t="str">
        <f aca="false">IF(AND(Tasks[[#This Row],[_IsLeaf]]=1,Tasks[[#This Row],[_LeafProgress]]&gt;=1),IF(N(Tasks[[#This Row],[Actual Finish]])&gt;0,Tasks[[#This Row],[Actual Finish]],Tasks[[#This Row],[_ShownFcstFinish]]),"")</f>
        <v/>
      </c>
    </row>
    <row r="133" customFormat="false" ht="15" hidden="false" customHeight="false" outlineLevel="0" collapsed="false">
      <c r="A133" s="67" t="str">
        <f aca="false">IF(Tasks[[#This Row],[Task Name]]="","",COUNTA(Tasks[[#Headers],[Task Name]]:Tasks[[#This Row],[Task Name]])-1)</f>
        <v/>
      </c>
      <c r="B133" s="21" t="n">
        <v>128</v>
      </c>
      <c r="C13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21"/>
      <c r="E133" s="22"/>
      <c r="F133" s="21"/>
      <c r="G133" s="22"/>
      <c r="H133" s="22"/>
      <c r="I133" s="22"/>
      <c r="J133" s="7"/>
      <c r="K133" s="7"/>
      <c r="L133" s="22"/>
      <c r="M133" s="58" t="str">
        <f aca="false">IF(Tasks[[#This Row],[Task Name]]="","",IF(Tasks[[#This Row],[_IsSummary]],MIN(INDEX(Tasks[_ShownFcstStart],Tasks[[#This Row],[_Row]]+1):INDEX(Tasks[_ShownFcstStart],Tasks[[#This Row],[_Row]]+Tasks[[#This Row],[_Descendants]])),Tasks[[#This Row],[_ShownFcstStart]]))</f>
        <v/>
      </c>
      <c r="N133" s="58" t="str">
        <f aca="false">IF(Tasks[[#This Row],[Task Name]]="","",IF(Tasks[[#This Row],[_IsSummary]],MAX(INDEX(Tasks[_ShownFcstFinish],Tasks[[#This Row],[_Row]]+1):INDEX(Tasks[_ShownFcstFinish],Tasks[[#This Row],[_Row]]+Tasks[[#This Row],[_Descendants]])),Tasks[[#This Row],[_ShownFcstFinish]]))</f>
        <v/>
      </c>
      <c r="O133" s="20" t="str">
        <f aca="false">IF(Tasks[[#This Row],[Task Name]]="","",IF(Tasks[[#This Row],[Progress]]&gt;=1,"Complete",IF(OR(N(Tasks[[#This Row],[Actual Start]])&gt;0,Tasks[[#This Row],[Progress]]&gt;0),IF(Tasks[[#This Row],[Finish Var]]&gt;0,"Behind","In Progress"),IF(Tasks[[#This Row],[Planned Start]]&lt;StatusDate,"Late Start","Not Started"))))</f>
        <v/>
      </c>
      <c r="P133" s="20" t="str">
        <f aca="false">IF(Tasks[[#This Row],[Task Name]]="","",IF(IF(Tasks[[#This Row],[_IsSummary]],COUNTIF(INDEX(Tasks[_LeafCritical],Tasks[[#This Row],[_Row]]+1):INDEX(Tasks[_LeafCritical],Tasks[[#This Row],[_Row]]+Tasks[[#This Row],[_Descendants]]),TRUE())&gt;0,Tasks[[#This Row],[_LeafCritical]]),"Yes",""))</f>
        <v/>
      </c>
      <c r="Q13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33" s="67" t="str">
        <f aca="false">IF(Tasks[[#This Row],[Task Name]]="","",IF(Tasks[[#This Row],[_Level]]&lt;=OutlineShowLevel,"Yes","No"))</f>
        <v/>
      </c>
      <c r="S133" s="7"/>
      <c r="T133" s="21"/>
      <c r="U133" s="22"/>
      <c r="V133" s="7"/>
      <c r="W133" s="67" t="str">
        <f aca="false">IF(Tasks[[#This Row],[Task Name]]="","",IF(Tasks[[#This Row],[Finish]]&gt;=Tasks[[#This Row],[Planned Finish]],NETWORKDAYS.INTL(Tasks[[#This Row],[Planned Finish]],Tasks[[#This Row],[Finish]],WorkWeek,Holidays)-1,1-NETWORKDAYS.INTL(Tasks[[#This Row],[Finish]],Tasks[[#This Row],[Planned Finish]],WorkWeek,Holidays)))</f>
        <v/>
      </c>
      <c r="X133" s="58" t="str">
        <f aca="false">IF(Tasks[[#This Row],[Task Name]]="","",IF(N(Tasks[[#This Row],[Baseline Start]])&gt;0,Tasks[[#This Row],[Baseline Start]],Tasks[[#This Row],[_CalcStart]]))</f>
        <v/>
      </c>
      <c r="Y133" s="58" t="str">
        <f aca="false">IF(Tasks[[#This Row],[Task Name]]="","",IF(N(Tasks[[#This Row],[Baseline Finish]])&gt;0,Tasks[[#This Row],[Baseline Finish]],Tasks[[#This Row],[_CalcFinish]]))</f>
        <v/>
      </c>
      <c r="Z133" s="67" t="str">
        <f aca="false">IF(Tasks[[#This Row],[Task Name]]="","",IF(Tasks[[#This Row],[Start]]&gt;=Tasks[[#This Row],[Planned Start]],NETWORKDAYS.INTL(Tasks[[#This Row],[Planned Start]],Tasks[[#This Row],[Start]],WorkWeek,Holidays)-1,1-NETWORKDAYS.INTL(Tasks[[#This Row],[Start]],Tasks[[#This Row],[Planned Start]],WorkWeek,Holidays)))</f>
        <v/>
      </c>
      <c r="AA133" s="58" t="str">
        <f aca="false">IF(Tasks[[#This Row],[Task Name]]="","",IF(Tasks[[#This Row],[_IsSummary]],MIN(INDEX(Tasks[_LeafLateStart],Tasks[[#This Row],[_Row]]+1):INDEX(Tasks[_LeafLateStart],Tasks[[#This Row],[_Row]]+Tasks[[#This Row],[_Descendants]])),Tasks[[#This Row],[_LeafLateStart]]))</f>
        <v/>
      </c>
      <c r="AB133" s="58" t="str">
        <f aca="false">IF(Tasks[[#This Row],[Task Name]]="","",IF(Tasks[[#This Row],[_IsSummary]],MAX(INDEX(Tasks[_LeafLateFinish],Tasks[[#This Row],[_Row]]+1):INDEX(Tasks[_LeafLateFinish],Tasks[[#This Row],[_Row]]+Tasks[[#This Row],[_Descendants]])),Tasks[[#This Row],[_LeafLateFinish]]))</f>
        <v/>
      </c>
      <c r="AC133" s="67" t="str">
        <f aca="false">IF(Tasks[[#This Row],[Task Name]]="","",IF(Tasks[[#This Row],[_IsSummary]],MIN(INDEX(Tasks[_LeafTotalSlack],Tasks[[#This Row],[_Row]]+1):INDEX(Tasks[_LeafTotalSlack],Tasks[[#This Row],[_Row]]+Tasks[[#This Row],[_Descendants]])),Tasks[[#This Row],[_LeafTotalSlack]]))</f>
        <v/>
      </c>
      <c r="AD13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3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3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33" s="60"/>
      <c r="AH13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3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33" s="69" t="str">
        <f aca="false">IF(Tasks[[#This Row],[Task Name]]="","",IF(Tasks[[#This Row],[_IsSummary]],SUM(INDEX(Tasks[_LeafTotalWork],Tasks[[#This Row],[_Row]]+1):INDEX(Tasks[_LeafTotalWork],Tasks[[#This Row],[_Row]]+Tasks[[#This Row],[_Descendants]])),Tasks[[#This Row],[_LeafTotalWork]]))</f>
        <v/>
      </c>
      <c r="AK13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33" s="70" t="str">
        <f aca="false">IF(Tasks[[#This Row],[Task Name]]="","",IF(Tasks[[#This Row],[_IsSummary]],SUM(INDEX(Tasks[_LeafTotalCost],Tasks[[#This Row],[_Row]]+1):INDEX(Tasks[_LeafTotalCost],Tasks[[#This Row],[_Row]]+Tasks[[#This Row],[_Descendants]])),Tasks[[#This Row],[_LeafTotalCost]]))</f>
        <v/>
      </c>
      <c r="AM133" s="71"/>
      <c r="AN133" s="20" t="str">
        <f aca="false">IF(OR(Tasks[[#This Row],[Task Name]]="",Tasks[[#This Row],[Baseline Duration]]=""),"",Tasks[[#This Row],[BL Source Duration]]-N(Tasks[[#This Row],[Baseline Duration]]))</f>
        <v/>
      </c>
      <c r="AO133" s="69" t="str">
        <f aca="false">IF(OR(Tasks[[#This Row],[Task Name]]="",Tasks[[#This Row],[Baseline Work]]=""),"",Tasks[[#This Row],[Work]]-N(Tasks[[#This Row],[Baseline Work]]))</f>
        <v/>
      </c>
      <c r="AP133" s="70" t="str">
        <f aca="false">IF(OR(Tasks[[#This Row],[Task Name]]="",Tasks[[#This Row],[Baseline Cost]]=""),"",Tasks[[#This Row],[Cost]]-N(Tasks[[#This Row],[Baseline Cost]]))</f>
        <v/>
      </c>
      <c r="AQ133" s="58" t="str">
        <f aca="false">IF(Tasks[[#This Row],[Task Name]]="","",Tasks[[#This Row],[Start]])</f>
        <v/>
      </c>
      <c r="AR133" s="58" t="str">
        <f aca="false">IF(Tasks[[#This Row],[Task Name]]="","",Tasks[[#This Row],[Finish]])</f>
        <v/>
      </c>
      <c r="AS133" s="67" t="str">
        <f aca="false">IF(Tasks[[#This Row],[Task Name]]="","",IF(Tasks[[#This Row],[_IsSummary]],NETWORKDAYS.INTL(Tasks[[#This Row],[Start]],Tasks[[#This Row],[Finish]],WorkWeek,Holidays),N(Tasks[[#This Row],[Duration]])))</f>
        <v/>
      </c>
      <c r="AT133" s="69" t="str">
        <f aca="false">IF(Tasks[[#This Row],[Task Name]]="","",Tasks[[#This Row],[Work]])</f>
        <v/>
      </c>
      <c r="AU133" s="70" t="str">
        <f aca="false">IF(Tasks[[#This Row],[Task Name]]="","",Tasks[[#This Row],[Cost]])</f>
        <v/>
      </c>
      <c r="AV133" s="7"/>
      <c r="AW133" s="7"/>
      <c r="AX133" s="21"/>
      <c r="AY133" s="72"/>
      <c r="AZ133" s="71"/>
      <c r="BA133" s="70" t="str">
        <f aca="false">IF(Tasks[[#This Row],[Task Name]]="","",IF(Tasks[[#This Row],[_IsSummary]],SUM(INDEX(Tasks[_LeafEV],Tasks[[#This Row],[_Row]]+1):INDEX(Tasks[_LeafEV],Tasks[[#This Row],[_Row]]+Tasks[[#This Row],[_Descendants]])),Tasks[[#This Row],[_LeafEV]]))</f>
        <v/>
      </c>
      <c r="BB133" s="70" t="str">
        <f aca="false">IF(Tasks[[#This Row],[Task Name]]="","",IF(Tasks[[#This Row],[_IsSummary]],SUM(INDEX(Tasks[_LeafBudget],Tasks[[#This Row],[_Row]]+1):INDEX(Tasks[_LeafBudget],Tasks[[#This Row],[_Row]]+Tasks[[#This Row],[_Descendants]])),Tasks[[#This Row],[_LeafBudget]]))</f>
        <v/>
      </c>
      <c r="BC133" s="70" t="str">
        <f aca="false">IF(Tasks[[#This Row],[Task Name]]="","",IF(Tasks[[#This Row],[_IsSummary]],SUM(INDEX(Tasks[_LeafPV],Tasks[[#This Row],[_Row]]+1):INDEX(Tasks[_LeafPV],Tasks[[#This Row],[_Row]]+Tasks[[#This Row],[_Descendants]])),Tasks[[#This Row],[_LeafPV]]))</f>
        <v/>
      </c>
      <c r="BD133" s="70" t="str">
        <f aca="false">IF(Tasks[[#This Row],[Task Name]]="","",IF(Tasks[[#This Row],[_IsSummary]],SUM(INDEX(Tasks[_LeafAC],Tasks[[#This Row],[_Row]]+1):INDEX(Tasks[_LeafAC],Tasks[[#This Row],[_Row]]+Tasks[[#This Row],[_Descendants]])),Tasks[[#This Row],[_LeafAC]]))</f>
        <v/>
      </c>
      <c r="BE133" s="45" t="str">
        <f aca="false">IF(Tasks[[#This Row],[Task Name]]="","",MAX(1,N(Tasks[[#This Row],[Level]])))</f>
        <v/>
      </c>
      <c r="BF133" s="45" t="n">
        <f aca="false">ROW()-ROW(Tasks[[#Headers],[ID]])</f>
        <v>128</v>
      </c>
      <c r="BG133" s="45" t="n">
        <f aca="false">IF(OR(Tasks[[#This Row],[Task Name]]="",Tasks[[#This Row],[_Level]]&lt;=1),0,IFERROR(LOOKUP(2,1/(Tasks[[#Headers],[_Level]]:Tasks[[#This Row],[_Level]]=Tasks[[#This Row],[_Level]]-1),ROW(Tasks[[#Headers],[_Level]]:Tasks[[#This Row],[_Level]])),0))</f>
        <v>0</v>
      </c>
      <c r="BH133" s="45" t="n">
        <f aca="false">IFERROR(N(INDEX(Tasks[_Level],Tasks[[#This Row],[_Row]]+1)),0)</f>
        <v>0</v>
      </c>
      <c r="BI133" s="73" t="b">
        <f aca="false">AND(Tasks[[#This Row],[Task Name]]&lt;&gt;"",Tasks[[#This Row],[_NextLevel]]&gt;Tasks[[#This Row],[_Level]])</f>
        <v>0</v>
      </c>
      <c r="BJ133" s="45" t="n">
        <f aca="false">IF(Tasks[[#This Row],[_IsSummary]],COUNTIF(Tasks[WBS],Tasks[[#This Row],[WBS]]&amp;".*"),0)</f>
        <v>0</v>
      </c>
      <c r="BK133" s="45" t="n">
        <f aca="false">IF(AND(Tasks[[#This Row],[Task Name]]&lt;&gt;"",NOT(Tasks[[#This Row],[_IsSummary]])),1,0)</f>
        <v>0</v>
      </c>
      <c r="BL133" s="45" t="n">
        <f aca="false">IF(N(Tasks[[#This Row],[_Pred1UID]])=0,0,IFERROR(MATCH(Tasks[[#This Row],[_Pred1UID]],Tasks[UID],0),-1))</f>
        <v>0</v>
      </c>
      <c r="BM133" s="45" t="n">
        <f aca="false">IF(N(Tasks[[#This Row],[_Pred2UID]])=0,0,IFERROR(MATCH(Tasks[[#This Row],[_Pred2UID]],Tasks[UID],0),-1))</f>
        <v>0</v>
      </c>
      <c r="BN133" s="45" t="n">
        <f aca="false">IF(N(Tasks[[#This Row],[_Pred3UID]])=0,0,IFERROR(MATCH(Tasks[[#This Row],[_Pred3UID]],Tasks[UID],0),-1))</f>
        <v>0</v>
      </c>
      <c r="BO133" s="45" t="n">
        <f aca="false">IF(N(Tasks[[#This Row],[_Pred4UID]])=0,0,IFERROR(MATCH(Tasks[[#This Row],[_Pred4UID]],Tasks[UID],0),-1))</f>
        <v>0</v>
      </c>
      <c r="BP13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3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33" s="74" t="n">
        <f aca="false">IF(OR(Tasks[[#This Row],[_ConstraintCode]]=2,Tasks[[#This Row],[_ConstraintCode]]=3,Tasks[[#This Row],[_ConstraintCode]]=4,Tasks[[#This Row],[_ConstraintCode]]=6),Tasks[[#This Row],[_ConstraintStart]],0)</f>
        <v>0</v>
      </c>
      <c r="BS133" s="74" t="n">
        <f aca="false">IF(OR(Tasks[[#This Row],[_ConstraintCode]]=2,Tasks[[#This Row],[_ConstraintCode]]=3,Tasks[[#This Row],[_ConstraintCode]]=5,Tasks[[#This Row],[_ConstraintCode]]=7),Tasks[[#This Row],[_ConstraintStart]],2958465)</f>
        <v>2958465</v>
      </c>
      <c r="BT13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33" s="74" t="str">
        <f aca="false">IF(NOT(Tasks[[#This Row],[_IsLeaf]]=1),"",IF(N(Tasks[[#This Row],[Duration]])&lt;=0,Tasks[[#This Row],[_LeafCalcStart]],WORKDAY.INTL(Tasks[[#This Row],[_LeafCalcStart]],Tasks[[#This Row],[Duration]]-1,WorkWeek,Holidays)))</f>
        <v/>
      </c>
      <c r="BV13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3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33" s="45" t="str">
        <f aca="false">IF(Tasks[[#This Row],[Predecessors]]="","",TRIM(MID(SUBSTITUTE(SUBSTITUTE(SUBSTITUTE(UPPER(Tasks[[#This Row],[Predecessors]]),";",",")," ",""),",",REPT(" ",99)),1,99)))</f>
        <v/>
      </c>
      <c r="BY133" s="45" t="str">
        <f aca="false">IF(Tasks[[#This Row],[_Pred1Text]]="","",IFERROR(VALUE(LEFT(Tasks[[#This Row],[_Pred1Text]],MIN(FIND("F",Tasks[[#This Row],[_Pred1Text]]&amp;"F"),FIND("S",Tasks[[#This Row],[_Pred1Text]]&amp;"S"),FIND("+",Tasks[[#This Row],[_Pred1Text]]&amp;"+"),FIND("-",Tasks[[#This Row],[_Pred1Text]]&amp;"-"))-1)),""))</f>
        <v/>
      </c>
      <c r="BZ13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3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33" s="45" t="str">
        <f aca="false">IF(Tasks[[#This Row],[_Pred1Text]]="","",TRIM(MID(SUBSTITUTE(SUBSTITUTE(SUBSTITUTE(UPPER(Tasks[[#This Row],[Predecessors]]),";",",")," ",""),",",REPT(" ",99)),100,99)))</f>
        <v/>
      </c>
      <c r="CC133" s="45" t="str">
        <f aca="false">IF(Tasks[[#This Row],[_Pred2Text]]="","",IFERROR(VALUE(LEFT(Tasks[[#This Row],[_Pred2Text]],MIN(FIND("F",Tasks[[#This Row],[_Pred2Text]]&amp;"F"),FIND("S",Tasks[[#This Row],[_Pred2Text]]&amp;"S"),FIND("+",Tasks[[#This Row],[_Pred2Text]]&amp;"+"),FIND("-",Tasks[[#This Row],[_Pred2Text]]&amp;"-"))-1)),""))</f>
        <v/>
      </c>
      <c r="CD13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3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33" s="45" t="str">
        <f aca="false">IF(Tasks[[#This Row],[_Pred2Text]]="","",TRIM(MID(SUBSTITUTE(SUBSTITUTE(SUBSTITUTE(UPPER(Tasks[[#This Row],[Predecessors]]),";",",")," ",""),",",REPT(" ",99)),199,99)))</f>
        <v/>
      </c>
      <c r="CG133" s="45" t="str">
        <f aca="false">IF(Tasks[[#This Row],[_Pred3Text]]="","",IFERROR(VALUE(LEFT(Tasks[[#This Row],[_Pred3Text]],MIN(FIND("F",Tasks[[#This Row],[_Pred3Text]]&amp;"F"),FIND("S",Tasks[[#This Row],[_Pred3Text]]&amp;"S"),FIND("+",Tasks[[#This Row],[_Pred3Text]]&amp;"+"),FIND("-",Tasks[[#This Row],[_Pred3Text]]&amp;"-"))-1)),""))</f>
        <v/>
      </c>
      <c r="CH13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3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33" s="45" t="str">
        <f aca="false">IF(Tasks[[#This Row],[_Pred3Text]]="","",TRIM(MID(SUBSTITUTE(SUBSTITUTE(SUBSTITUTE(UPPER(Tasks[[#This Row],[Predecessors]]),";",",")," ",""),",",REPT(" ",99)),298,99)))</f>
        <v/>
      </c>
      <c r="CK133" s="45" t="str">
        <f aca="false">IF(Tasks[[#This Row],[_Pred4Text]]="","",IFERROR(VALUE(LEFT(Tasks[[#This Row],[_Pred4Text]],MIN(FIND("F",Tasks[[#This Row],[_Pred4Text]]&amp;"F"),FIND("S",Tasks[[#This Row],[_Pred4Text]]&amp;"S"),FIND("+",Tasks[[#This Row],[_Pred4Text]]&amp;"+"),FIND("-",Tasks[[#This Row],[_Pred4Text]]&amp;"-"))-1)),""))</f>
        <v/>
      </c>
      <c r="CL13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3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33" s="45" t="str">
        <f aca="false">IF(OR(Tasks[[#This Row],[Task Name]]="",Tasks[[#This Row],[Resources]]=""),"",TRIM(MID(SUBSTITUTE(Tasks[[#This Row],[Resources]],",",REPT(" ",99)),1,99)))</f>
        <v/>
      </c>
      <c r="CO133" s="45" t="str">
        <f aca="false">IF(Tasks[[#This Row],[_Res1Text]]="","",TRIM(MID(SUBSTITUTE(Tasks[[#This Row],[Resources]],",",REPT(" ",99)),100,99)))</f>
        <v/>
      </c>
      <c r="CP133" s="45" t="str">
        <f aca="false">IF(Tasks[[#This Row],[_Res2Text]]="","",TRIM(MID(SUBSTITUTE(Tasks[[#This Row],[Resources]],",",REPT(" ",99)),199,99)))</f>
        <v/>
      </c>
      <c r="CQ133" s="45" t="str">
        <f aca="false">IF(Tasks[[#This Row],[_Res3Text]]="","",TRIM(MID(SUBSTITUTE(Tasks[[#This Row],[Resources]],",",REPT(" ",99)),298,99)))</f>
        <v/>
      </c>
      <c r="CR13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3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3" s="45" t="n">
        <f aca="false">IF(NOT(Tasks[[#This Row],[_IsLeaf]]=1),0,(Tasks[[#This Row],[_Resource1]]&lt;&gt;"")+(Tasks[[#This Row],[_Res2]]&lt;&gt;"")+(Tasks[[#This Row],[_Res3]]&lt;&gt;"")+(Tasks[[#This Row],[_Res4]]&lt;&gt;""))</f>
        <v>0</v>
      </c>
      <c r="CU13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3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3" s="45" t="n">
        <f aca="false">IF(OR(NOT(Tasks[[#This Row],[_IsLeaf]]=1),Tasks[[#This Row],[_Res2]]=""),0,IF(ISNA(MATCH(Tasks[[#This Row],[_Res2]],res_Name,0)),0,N(Tasks[[#This Row],[Duration]])*HoursPerDay*IF(Tasks[[#This Row],[_Res2Units]]="",DefaultUnits,Tasks[[#This Row],[_Res2Units]])))</f>
        <v>0</v>
      </c>
      <c r="CX133" s="45" t="n">
        <f aca="false">IF(Tasks[[#This Row],[_Res2Work]]=0,0,Tasks[[#This Row],[_Res2Work]]*IFERROR(INDEX(res_Rate,MATCH(Tasks[[#This Row],[_Res2]],res_Name,0)),0))</f>
        <v>0</v>
      </c>
      <c r="CY133" s="45" t="n">
        <f aca="false">IF(AND(AND(Tasks[[#This Row],[_IsLeaf]]=1,Tasks[[#This Row],[_LeafTotalWork]]&gt;0),Tasks[[#This Row],[_Res2Work]]&gt;0),Tasks[[#This Row],[_Res2Work]]/(Tasks[[#This Row],[_FinishWorkday]]-Tasks[[#This Row],[_StartWorkday]]+1),0)</f>
        <v>0</v>
      </c>
      <c r="CZ133" s="45" t="n">
        <f aca="false">Tasks[[#This Row],[_Res2WorkPerWD]]*MAX(0,Tasks[[#This Row],[_StartWorkday]]-1)</f>
        <v>0</v>
      </c>
      <c r="DA133" s="45" t="n">
        <f aca="false">Tasks[[#This Row],[_Res2Work]]*Tasks[[#This Row],[_LeafProgress]]</f>
        <v>0</v>
      </c>
      <c r="DB133" s="45" t="n">
        <f aca="false">IF(Tasks[[#This Row],[_LeafTotalCost]]=0,0,Tasks[[#This Row],[_LeafAC]]*Tasks[[#This Row],[_Res2Cost]]/Tasks[[#This Row],[_LeafTotalCost]])</f>
        <v>0</v>
      </c>
      <c r="DC13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3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33" s="45" t="n">
        <f aca="false">IF(OR(NOT(Tasks[[#This Row],[_IsLeaf]]=1),Tasks[[#This Row],[_Res3]]=""),0,IF(ISNA(MATCH(Tasks[[#This Row],[_Res3]],res_Name,0)),0,N(Tasks[[#This Row],[Duration]])*HoursPerDay*IF(Tasks[[#This Row],[_Res3Units]]="",DefaultUnits,Tasks[[#This Row],[_Res3Units]])))</f>
        <v>0</v>
      </c>
      <c r="DF133" s="45" t="n">
        <f aca="false">IF(Tasks[[#This Row],[_Res3Work]]=0,0,Tasks[[#This Row],[_Res3Work]]*IFERROR(INDEX(res_Rate,MATCH(Tasks[[#This Row],[_Res3]],res_Name,0)),0))</f>
        <v>0</v>
      </c>
      <c r="DG133" s="45" t="n">
        <f aca="false">IF(AND(AND(Tasks[[#This Row],[_IsLeaf]]=1,Tasks[[#This Row],[_LeafTotalWork]]&gt;0),Tasks[[#This Row],[_Res3Work]]&gt;0),Tasks[[#This Row],[_Res3Work]]/(Tasks[[#This Row],[_FinishWorkday]]-Tasks[[#This Row],[_StartWorkday]]+1),0)</f>
        <v>0</v>
      </c>
      <c r="DH133" s="45" t="n">
        <f aca="false">Tasks[[#This Row],[_Res3WorkPerWD]]*MAX(0,Tasks[[#This Row],[_StartWorkday]]-1)</f>
        <v>0</v>
      </c>
      <c r="DI133" s="45" t="n">
        <f aca="false">Tasks[[#This Row],[_Res3Work]]*Tasks[[#This Row],[_LeafProgress]]</f>
        <v>0</v>
      </c>
      <c r="DJ133" s="45" t="n">
        <f aca="false">IF(Tasks[[#This Row],[_LeafTotalCost]]=0,0,Tasks[[#This Row],[_LeafAC]]*Tasks[[#This Row],[_Res3Cost]]/Tasks[[#This Row],[_LeafTotalCost]])</f>
        <v>0</v>
      </c>
      <c r="DK13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3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33" s="45" t="n">
        <f aca="false">IF(OR(NOT(Tasks[[#This Row],[_IsLeaf]]=1),Tasks[[#This Row],[_Res4]]=""),0,IF(ISNA(MATCH(Tasks[[#This Row],[_Res4]],res_Name,0)),0,N(Tasks[[#This Row],[Duration]])*HoursPerDay*IF(Tasks[[#This Row],[_Res4Units]]="",DefaultUnits,Tasks[[#This Row],[_Res4Units]])))</f>
        <v>0</v>
      </c>
      <c r="DN133" s="45" t="n">
        <f aca="false">IF(Tasks[[#This Row],[_Res4Work]]=0,0,Tasks[[#This Row],[_Res4Work]]*IFERROR(INDEX(res_Rate,MATCH(Tasks[[#This Row],[_Res4]],res_Name,0)),0))</f>
        <v>0</v>
      </c>
      <c r="DO133" s="45" t="n">
        <f aca="false">IF(AND(AND(Tasks[[#This Row],[_IsLeaf]]=1,Tasks[[#This Row],[_LeafTotalWork]]&gt;0),Tasks[[#This Row],[_Res4Work]]&gt;0),Tasks[[#This Row],[_Res4Work]]/(Tasks[[#This Row],[_FinishWorkday]]-Tasks[[#This Row],[_StartWorkday]]+1),0)</f>
        <v>0</v>
      </c>
      <c r="DP133" s="45" t="n">
        <f aca="false">Tasks[[#This Row],[_Res4WorkPerWD]]*MAX(0,Tasks[[#This Row],[_StartWorkday]]-1)</f>
        <v>0</v>
      </c>
      <c r="DQ133" s="45" t="n">
        <f aca="false">Tasks[[#This Row],[_Res4Work]]*Tasks[[#This Row],[_LeafProgress]]</f>
        <v>0</v>
      </c>
      <c r="DR133" s="45" t="n">
        <f aca="false">IF(Tasks[[#This Row],[_LeafTotalCost]]=0,0,Tasks[[#This Row],[_LeafAC]]*Tasks[[#This Row],[_Res4Cost]]/Tasks[[#This Row],[_LeafTotalCost]])</f>
        <v>0</v>
      </c>
      <c r="DS133" s="45" t="n">
        <f aca="false">IF(ISNUMBER(Tasks[[#This Row],[% Complete]]),Tasks[[#This Row],[% Complete]],IF(Tasks[[#This Row],[Stage]]="",0,IFERROR(INDEX(stg_Pct,MATCH(Tasks[[#This Row],[Stage]],stg_Name,0)),0)))</f>
        <v>0</v>
      </c>
      <c r="DT133" s="45" t="n">
        <f aca="false">IF(NOT(Tasks[[#This Row],[_IsLeaf]]=1),0,IF(N(Tasks[[#This Row],[Actual Finish]])&gt;0,1,MIN(1,Tasks[[#This Row],[_Pct]])))</f>
        <v>0</v>
      </c>
      <c r="DU133" s="45" t="n">
        <f aca="false">IF(OR(NOT(Tasks[[#This Row],[_IsLeaf]]=1),Tasks[[#This Row],[_Resource1]]=""),0,IF(ISNA(MATCH(Tasks[[#This Row],[_Resource1]],res_Name,0)),0,N(Tasks[[#This Row],[Duration]])*HoursPerDay*IF(Tasks[[#This Row],[_Units1]]="",DefaultUnits,Tasks[[#This Row],[_Units1]])))</f>
        <v>0</v>
      </c>
      <c r="DV133" s="45" t="n">
        <f aca="false">IF(Tasks[[#This Row],[_LeafWork]]=0,0,Tasks[[#This Row],[_LeafWork]]*IFERROR(INDEX(res_Rate,MATCH(Tasks[[#This Row],[_Resource1]],res_Name,0)),0))</f>
        <v>0</v>
      </c>
      <c r="DW133" s="45" t="n">
        <f aca="false">Tasks[[#This Row],[_LeafWork]]+Tasks[[#This Row],[_Res2Work]]+Tasks[[#This Row],[_Res3Work]]+Tasks[[#This Row],[_Res4Work]]</f>
        <v>0</v>
      </c>
      <c r="DX133" s="45" t="n">
        <f aca="false">Tasks[[#This Row],[_LeafCost]]+Tasks[[#This Row],[_Res2Cost]]+Tasks[[#This Row],[_Res3Cost]]+Tasks[[#This Row],[_Res4Cost]]</f>
        <v>0</v>
      </c>
      <c r="DY133" s="45" t="n">
        <f aca="false">IF(Tasks[[#This Row],[_LeafTotalCost]]=0,Tasks[[#This Row],[_LeafAC]],Tasks[[#This Row],[_LeafAC]]*Tasks[[#This Row],[_LeafCost]]/Tasks[[#This Row],[_LeafTotalCost]])</f>
        <v>0</v>
      </c>
      <c r="DZ13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3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3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3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3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3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3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3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33" s="45" t="n">
        <f aca="false">IF(NOT(Tasks[[#This Row],[_IsLeaf]]=1),0,MAX(_xlfn.MAXIFS(Tasks[_Row],Tasks[_Pred1UID],Tasks[[#This Row],[UID]]),_xlfn.MAXIFS(Tasks[_Row],Tasks[_Pred2UID],Tasks[[#This Row],[UID]]),_xlfn.MAXIFS(Tasks[_Row],Tasks[_Pred3UID],Tasks[[#This Row],[UID]]),_xlfn.MAXIFS(Tasks[_Row],Tasks[_Pred4UID],Tasks[[#This Row],[UID]])))</f>
        <v>0</v>
      </c>
      <c r="EI13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3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33" s="74" t="str">
        <f aca="false">IF(NOT(Tasks[[#This Row],[_IsLeaf]]=1),"",IF(N(Tasks[[#This Row],[Duration]])&lt;=0,Tasks[[#This Row],[_LeafLateFinish]],WORKDAY.INTL(Tasks[[#This Row],[_LeafLateFinish]],-(Tasks[[#This Row],[Duration]]-1),WorkWeek,Holidays)))</f>
        <v/>
      </c>
      <c r="EL13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33" s="73" t="b">
        <f aca="false">AND(Tasks[[#This Row],[_IsLeaf]]=1,Tasks[[#This Row],[_LeafProgress]]&lt;1,N(Tasks[[#This Row],[_LeafTotalSlack]])&lt;=CriticalSlackDays)</f>
        <v>0</v>
      </c>
      <c r="EN133" s="45" t="n">
        <f aca="false">IF(AND(Tasks[[#This Row],[_IsLeaf]]=1,Tasks[[#This Row],[_ConstraintCode]]=1,Tasks[[#This Row],[Mode]]&lt;&gt;"Manual",N(Tasks[[#This Row],[Actual Start]])=0),MAX(0,N(Tasks[[#This Row],[Free Slack]])),0)</f>
        <v>0</v>
      </c>
      <c r="EO133" s="74" t="str">
        <f aca="false">IF(NOT(Tasks[[#This Row],[_IsLeaf]]=1),"",IF(Tasks[[#This Row],[_AlapShift]]=0,Tasks[[#This Row],[_LeafCalcStart]],WORKDAY.INTL(Tasks[[#This Row],[_LeafCalcStart]],Tasks[[#This Row],[_AlapShift]],WorkWeek,Holidays)))</f>
        <v/>
      </c>
      <c r="EP133" s="74" t="str">
        <f aca="false">IF(NOT(Tasks[[#This Row],[_IsLeaf]]=1),"",IF(Tasks[[#This Row],[_AlapShift]]=0,Tasks[[#This Row],[_LeafCalcFinish]],WORKDAY.INTL(Tasks[[#This Row],[_LeafCalcFinish]],Tasks[[#This Row],[_AlapShift]],WorkWeek,Holidays)))</f>
        <v/>
      </c>
      <c r="EQ133" s="74" t="str">
        <f aca="false">IF(NOT(Tasks[[#This Row],[_IsLeaf]]=1),"",IF(Tasks[[#This Row],[_AlapShift]]=0,Tasks[[#This Row],[_LeafFcstStart]],WORKDAY.INTL(Tasks[[#This Row],[_LeafFcstStart]],Tasks[[#This Row],[_AlapShift]],WorkWeek,Holidays)))</f>
        <v/>
      </c>
      <c r="ER133" s="74" t="str">
        <f aca="false">IF(NOT(Tasks[[#This Row],[_IsLeaf]]=1),"",IF(Tasks[[#This Row],[_AlapShift]]=0,Tasks[[#This Row],[_LeafFcstFinish]],WORKDAY.INTL(Tasks[[#This Row],[_LeafFcstFinish]],Tasks[[#This Row],[_AlapShift]],WorkWeek,Holidays)))</f>
        <v/>
      </c>
      <c r="ES133" s="74" t="str">
        <f aca="false">IF(Tasks[[#This Row],[Task Name]]="","",IF(Tasks[[#This Row],[_IsSummary]],MIN(INDEX(Tasks[_ShownCalcStart],Tasks[[#This Row],[_Row]]+1):INDEX(Tasks[_ShownCalcStart],Tasks[[#This Row],[_Row]]+Tasks[[#This Row],[_Descendants]])),Tasks[[#This Row],[_ShownCalcStart]]))</f>
        <v/>
      </c>
      <c r="ET133" s="74" t="str">
        <f aca="false">IF(Tasks[[#This Row],[Task Name]]="","",IF(Tasks[[#This Row],[_IsSummary]],MAX(INDEX(Tasks[_ShownCalcFinish],Tasks[[#This Row],[_Row]]+1):INDEX(Tasks[_ShownCalcFinish],Tasks[[#This Row],[_Row]]+Tasks[[#This Row],[_Descendants]])),Tasks[[#This Row],[_ShownCalcFinish]]))</f>
        <v/>
      </c>
      <c r="EU13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3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3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3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3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3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3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3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3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3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3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3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33" s="45" t="n">
        <f aca="false">IF(AND(Tasks[[#This Row],[_IsLeaf]]=1,Tasks[[#This Row],[_LeafTotalWork]]&gt;0),NETWORKDAYS.INTL(ProjectStart,Tasks[[#This Row],[_ShownFcstStart]],WorkWeek,Holidays),0)</f>
        <v>0</v>
      </c>
      <c r="FH133" s="45" t="n">
        <f aca="false">IF(AND(Tasks[[#This Row],[_IsLeaf]]=1,Tasks[[#This Row],[_LeafTotalWork]]&gt;0),MAX(Tasks[[#This Row],[_StartWorkday]],NETWORKDAYS.INTL(ProjectStart,Tasks[[#This Row],[_ShownFcstFinish]],WorkWeek,Holidays)),0)</f>
        <v>0</v>
      </c>
      <c r="FI133" s="45" t="n">
        <f aca="false">IF(AND(Tasks[[#This Row],[_IsLeaf]]=1,Tasks[[#This Row],[_LeafTotalWork]]&gt;0),Tasks[[#This Row],[_LeafWork]]/(Tasks[[#This Row],[_FinishWorkday]]-Tasks[[#This Row],[_StartWorkday]]+1),0)</f>
        <v>0</v>
      </c>
      <c r="FJ133" s="45" t="n">
        <f aca="false">Tasks[[#This Row],[_WorkPerWorkday]]*(Tasks[[#This Row],[_StartWorkday]]-1)</f>
        <v>-0</v>
      </c>
      <c r="FK133" s="45" t="n">
        <f aca="false">IF(Tasks[[#This Row],[_IsLeaf]]=1,MAX(N(Tasks[[#This Row],[Duration]]),0.1),0)</f>
        <v>0</v>
      </c>
      <c r="FL133" s="45" t="n">
        <f aca="false">Tasks[[#This Row],[_WeightDur]]*Tasks[[#This Row],[_LeafProgress]]</f>
        <v>0</v>
      </c>
      <c r="FM13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33" s="45" t="str">
        <f aca="false">IF(AND(Tasks[[#This Row],[_IsLeaf]]=1,N(Tasks[[#This Row],[Duration]])=0,Tasks[[#This Row],[_LeafProgress]]&lt;1),Tasks[[#This Row],[_ShownFcstFinish]]+Tasks[[#This Row],[_Row]]/100000,"")</f>
        <v/>
      </c>
      <c r="FO13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33" s="45" t="n">
        <f aca="false">IF(NOT(Tasks[[#This Row],[_IsLeaf]]=1),0,IF(Tasks[[#This Row],[Baseline Cost]]="",Tasks[[#This Row],[_LeafTotalCost]],N(Tasks[[#This Row],[Baseline Cost]])))</f>
        <v>0</v>
      </c>
      <c r="FQ133" s="45" t="n">
        <f aca="false">Tasks[[#This Row],[_LeafBudget]]*Tasks[[#This Row],[_PlannedPct]]</f>
        <v>0</v>
      </c>
      <c r="FR133" s="45" t="n">
        <f aca="false">Tasks[[#This Row],[_LeafBudget]]*Tasks[[#This Row],[_LeafProgress]]</f>
        <v>0</v>
      </c>
      <c r="FS133" s="45" t="n">
        <f aca="false">IF(NOT(Tasks[[#This Row],[_IsLeaf]]=1),0,IF(Tasks[[#This Row],[Actual Cost]]="",Tasks[[#This Row],[_LeafTotalCost]]*Tasks[[#This Row],[_LeafProgress]],N(Tasks[[#This Row],[Actual Cost]])))</f>
        <v>0</v>
      </c>
      <c r="FT133" s="45" t="str">
        <f aca="false">IF(Tasks[[#This Row],[Task Name]]="","",LEFT(Tasks[[#This Row],[WBS]],FIND(".",Tasks[[#This Row],[WBS]]&amp;".")-1))</f>
        <v/>
      </c>
      <c r="FU133" s="45" t="str">
        <f aca="false">IF(AND(Tasks[[#This Row],[Task Name]]&lt;&gt;"",Tasks[[#This Row],[_Level]]=1),Tasks[[#This Row],[_Row]],"")</f>
        <v/>
      </c>
      <c r="FV133" s="45" t="str">
        <f aca="false">IF(AND(Tasks[[#This Row],[_IsLeaf]]=1,N(Tasks[[#This Row],[Duration]])=0),Tasks[[#This Row],[Planned Finish]]+Tasks[[#This Row],[_Row]]/100000,"")</f>
        <v/>
      </c>
      <c r="FW133" s="45" t="str">
        <f aca="false">IF(AND(Tasks[[#This Row],[_IsLeaf]]=1,Tasks[[#This Row],[_LeafProgress]]&lt;1,OR(N(Tasks[[#This Row],[Finish Var]])&gt;0,Tasks[[#This Row],[Status]]="Late Start")),MAX(0,Tasks[[#This Row],[Finish Var]])+1-Tasks[[#This Row],[_Row]]/1000000,"")</f>
        <v/>
      </c>
      <c r="FX133" s="45" t="str">
        <f aca="false">IF(AND(Tasks[[#This Row],[_IsLeaf]]=1,N(Tasks[[#This Row],[Actual Start]])=0,Tasks[[#This Row],[_ShownFcstStart]]&gt;=StatusDate,Tasks[[#This Row],[_ShownFcstStart]]&lt;=LookaheadEnd),Tasks[[#This Row],[_ShownFcstStart]]+Tasks[[#This Row],[_Row]]/100000,"")</f>
        <v/>
      </c>
      <c r="FY133" s="45" t="str">
        <f aca="false">IF(AND(Tasks[[#This Row],[_IsLeaf]]=1,Tasks[[#This Row],[_LeafProgress]]&lt;1,Tasks[[#This Row],[_ShownFcstFinish]]&gt;=StatusDate,Tasks[[#This Row],[_ShownFcstFinish]]&lt;=LookaheadEnd),Tasks[[#This Row],[_ShownFcstFinish]]+Tasks[[#This Row],[_Row]]/100000,"")</f>
        <v/>
      </c>
      <c r="FZ133" s="45" t="str">
        <f aca="false">IF(Tasks[[#This Row],[_LeafCritical]],Tasks[[#This Row],[_ShownFcstStart]]+Tasks[[#This Row],[_Row]]/100000,"")</f>
        <v/>
      </c>
      <c r="GA133" s="45" t="n">
        <f aca="false">Tasks[[#This Row],[_LeafWork]]*Tasks[[#This Row],[_LeafProgress]]</f>
        <v>0</v>
      </c>
      <c r="GB133" s="74" t="str">
        <f aca="false">IF(AND(Tasks[[#This Row],[_IsLeaf]]=1,Tasks[[#This Row],[_LeafProgress]]&gt;=1),IF(N(Tasks[[#This Row],[Actual Finish]])&gt;0,Tasks[[#This Row],[Actual Finish]],Tasks[[#This Row],[_ShownFcstFinish]]),"")</f>
        <v/>
      </c>
    </row>
    <row r="134" customFormat="false" ht="15" hidden="false" customHeight="false" outlineLevel="0" collapsed="false">
      <c r="A134" s="67" t="str">
        <f aca="false">IF(Tasks[[#This Row],[Task Name]]="","",COUNTA(Tasks[[#Headers],[Task Name]]:Tasks[[#This Row],[Task Name]])-1)</f>
        <v/>
      </c>
      <c r="B134" s="21" t="n">
        <v>129</v>
      </c>
      <c r="C13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21"/>
      <c r="E134" s="22"/>
      <c r="F134" s="21"/>
      <c r="G134" s="22"/>
      <c r="H134" s="22"/>
      <c r="I134" s="22"/>
      <c r="J134" s="7"/>
      <c r="K134" s="7"/>
      <c r="L134" s="22"/>
      <c r="M134" s="58" t="str">
        <f aca="false">IF(Tasks[[#This Row],[Task Name]]="","",IF(Tasks[[#This Row],[_IsSummary]],MIN(INDEX(Tasks[_ShownFcstStart],Tasks[[#This Row],[_Row]]+1):INDEX(Tasks[_ShownFcstStart],Tasks[[#This Row],[_Row]]+Tasks[[#This Row],[_Descendants]])),Tasks[[#This Row],[_ShownFcstStart]]))</f>
        <v/>
      </c>
      <c r="N134" s="58" t="str">
        <f aca="false">IF(Tasks[[#This Row],[Task Name]]="","",IF(Tasks[[#This Row],[_IsSummary]],MAX(INDEX(Tasks[_ShownFcstFinish],Tasks[[#This Row],[_Row]]+1):INDEX(Tasks[_ShownFcstFinish],Tasks[[#This Row],[_Row]]+Tasks[[#This Row],[_Descendants]])),Tasks[[#This Row],[_ShownFcstFinish]]))</f>
        <v/>
      </c>
      <c r="O134" s="20" t="str">
        <f aca="false">IF(Tasks[[#This Row],[Task Name]]="","",IF(Tasks[[#This Row],[Progress]]&gt;=1,"Complete",IF(OR(N(Tasks[[#This Row],[Actual Start]])&gt;0,Tasks[[#This Row],[Progress]]&gt;0),IF(Tasks[[#This Row],[Finish Var]]&gt;0,"Behind","In Progress"),IF(Tasks[[#This Row],[Planned Start]]&lt;StatusDate,"Late Start","Not Started"))))</f>
        <v/>
      </c>
      <c r="P134" s="20" t="str">
        <f aca="false">IF(Tasks[[#This Row],[Task Name]]="","",IF(IF(Tasks[[#This Row],[_IsSummary]],COUNTIF(INDEX(Tasks[_LeafCritical],Tasks[[#This Row],[_Row]]+1):INDEX(Tasks[_LeafCritical],Tasks[[#This Row],[_Row]]+Tasks[[#This Row],[_Descendants]]),TRUE())&gt;0,Tasks[[#This Row],[_LeafCritical]]),"Yes",""))</f>
        <v/>
      </c>
      <c r="Q13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34" s="67" t="str">
        <f aca="false">IF(Tasks[[#This Row],[Task Name]]="","",IF(Tasks[[#This Row],[_Level]]&lt;=OutlineShowLevel,"Yes","No"))</f>
        <v/>
      </c>
      <c r="S134" s="7"/>
      <c r="T134" s="21"/>
      <c r="U134" s="22"/>
      <c r="V134" s="7"/>
      <c r="W134" s="67" t="str">
        <f aca="false">IF(Tasks[[#This Row],[Task Name]]="","",IF(Tasks[[#This Row],[Finish]]&gt;=Tasks[[#This Row],[Planned Finish]],NETWORKDAYS.INTL(Tasks[[#This Row],[Planned Finish]],Tasks[[#This Row],[Finish]],WorkWeek,Holidays)-1,1-NETWORKDAYS.INTL(Tasks[[#This Row],[Finish]],Tasks[[#This Row],[Planned Finish]],WorkWeek,Holidays)))</f>
        <v/>
      </c>
      <c r="X134" s="58" t="str">
        <f aca="false">IF(Tasks[[#This Row],[Task Name]]="","",IF(N(Tasks[[#This Row],[Baseline Start]])&gt;0,Tasks[[#This Row],[Baseline Start]],Tasks[[#This Row],[_CalcStart]]))</f>
        <v/>
      </c>
      <c r="Y134" s="58" t="str">
        <f aca="false">IF(Tasks[[#This Row],[Task Name]]="","",IF(N(Tasks[[#This Row],[Baseline Finish]])&gt;0,Tasks[[#This Row],[Baseline Finish]],Tasks[[#This Row],[_CalcFinish]]))</f>
        <v/>
      </c>
      <c r="Z134" s="67" t="str">
        <f aca="false">IF(Tasks[[#This Row],[Task Name]]="","",IF(Tasks[[#This Row],[Start]]&gt;=Tasks[[#This Row],[Planned Start]],NETWORKDAYS.INTL(Tasks[[#This Row],[Planned Start]],Tasks[[#This Row],[Start]],WorkWeek,Holidays)-1,1-NETWORKDAYS.INTL(Tasks[[#This Row],[Start]],Tasks[[#This Row],[Planned Start]],WorkWeek,Holidays)))</f>
        <v/>
      </c>
      <c r="AA134" s="58" t="str">
        <f aca="false">IF(Tasks[[#This Row],[Task Name]]="","",IF(Tasks[[#This Row],[_IsSummary]],MIN(INDEX(Tasks[_LeafLateStart],Tasks[[#This Row],[_Row]]+1):INDEX(Tasks[_LeafLateStart],Tasks[[#This Row],[_Row]]+Tasks[[#This Row],[_Descendants]])),Tasks[[#This Row],[_LeafLateStart]]))</f>
        <v/>
      </c>
      <c r="AB134" s="58" t="str">
        <f aca="false">IF(Tasks[[#This Row],[Task Name]]="","",IF(Tasks[[#This Row],[_IsSummary]],MAX(INDEX(Tasks[_LeafLateFinish],Tasks[[#This Row],[_Row]]+1):INDEX(Tasks[_LeafLateFinish],Tasks[[#This Row],[_Row]]+Tasks[[#This Row],[_Descendants]])),Tasks[[#This Row],[_LeafLateFinish]]))</f>
        <v/>
      </c>
      <c r="AC134" s="67" t="str">
        <f aca="false">IF(Tasks[[#This Row],[Task Name]]="","",IF(Tasks[[#This Row],[_IsSummary]],MIN(INDEX(Tasks[_LeafTotalSlack],Tasks[[#This Row],[_Row]]+1):INDEX(Tasks[_LeafTotalSlack],Tasks[[#This Row],[_Row]]+Tasks[[#This Row],[_Descendants]])),Tasks[[#This Row],[_LeafTotalSlack]]))</f>
        <v/>
      </c>
      <c r="AD13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3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3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34" s="60"/>
      <c r="AH13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3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34" s="69" t="str">
        <f aca="false">IF(Tasks[[#This Row],[Task Name]]="","",IF(Tasks[[#This Row],[_IsSummary]],SUM(INDEX(Tasks[_LeafTotalWork],Tasks[[#This Row],[_Row]]+1):INDEX(Tasks[_LeafTotalWork],Tasks[[#This Row],[_Row]]+Tasks[[#This Row],[_Descendants]])),Tasks[[#This Row],[_LeafTotalWork]]))</f>
        <v/>
      </c>
      <c r="AK13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34" s="70" t="str">
        <f aca="false">IF(Tasks[[#This Row],[Task Name]]="","",IF(Tasks[[#This Row],[_IsSummary]],SUM(INDEX(Tasks[_LeafTotalCost],Tasks[[#This Row],[_Row]]+1):INDEX(Tasks[_LeafTotalCost],Tasks[[#This Row],[_Row]]+Tasks[[#This Row],[_Descendants]])),Tasks[[#This Row],[_LeafTotalCost]]))</f>
        <v/>
      </c>
      <c r="AM134" s="71"/>
      <c r="AN134" s="20" t="str">
        <f aca="false">IF(OR(Tasks[[#This Row],[Task Name]]="",Tasks[[#This Row],[Baseline Duration]]=""),"",Tasks[[#This Row],[BL Source Duration]]-N(Tasks[[#This Row],[Baseline Duration]]))</f>
        <v/>
      </c>
      <c r="AO134" s="69" t="str">
        <f aca="false">IF(OR(Tasks[[#This Row],[Task Name]]="",Tasks[[#This Row],[Baseline Work]]=""),"",Tasks[[#This Row],[Work]]-N(Tasks[[#This Row],[Baseline Work]]))</f>
        <v/>
      </c>
      <c r="AP134" s="70" t="str">
        <f aca="false">IF(OR(Tasks[[#This Row],[Task Name]]="",Tasks[[#This Row],[Baseline Cost]]=""),"",Tasks[[#This Row],[Cost]]-N(Tasks[[#This Row],[Baseline Cost]]))</f>
        <v/>
      </c>
      <c r="AQ134" s="58" t="str">
        <f aca="false">IF(Tasks[[#This Row],[Task Name]]="","",Tasks[[#This Row],[Start]])</f>
        <v/>
      </c>
      <c r="AR134" s="58" t="str">
        <f aca="false">IF(Tasks[[#This Row],[Task Name]]="","",Tasks[[#This Row],[Finish]])</f>
        <v/>
      </c>
      <c r="AS134" s="67" t="str">
        <f aca="false">IF(Tasks[[#This Row],[Task Name]]="","",IF(Tasks[[#This Row],[_IsSummary]],NETWORKDAYS.INTL(Tasks[[#This Row],[Start]],Tasks[[#This Row],[Finish]],WorkWeek,Holidays),N(Tasks[[#This Row],[Duration]])))</f>
        <v/>
      </c>
      <c r="AT134" s="69" t="str">
        <f aca="false">IF(Tasks[[#This Row],[Task Name]]="","",Tasks[[#This Row],[Work]])</f>
        <v/>
      </c>
      <c r="AU134" s="70" t="str">
        <f aca="false">IF(Tasks[[#This Row],[Task Name]]="","",Tasks[[#This Row],[Cost]])</f>
        <v/>
      </c>
      <c r="AV134" s="7"/>
      <c r="AW134" s="7"/>
      <c r="AX134" s="21"/>
      <c r="AY134" s="72"/>
      <c r="AZ134" s="71"/>
      <c r="BA134" s="70" t="str">
        <f aca="false">IF(Tasks[[#This Row],[Task Name]]="","",IF(Tasks[[#This Row],[_IsSummary]],SUM(INDEX(Tasks[_LeafEV],Tasks[[#This Row],[_Row]]+1):INDEX(Tasks[_LeafEV],Tasks[[#This Row],[_Row]]+Tasks[[#This Row],[_Descendants]])),Tasks[[#This Row],[_LeafEV]]))</f>
        <v/>
      </c>
      <c r="BB134" s="70" t="str">
        <f aca="false">IF(Tasks[[#This Row],[Task Name]]="","",IF(Tasks[[#This Row],[_IsSummary]],SUM(INDEX(Tasks[_LeafBudget],Tasks[[#This Row],[_Row]]+1):INDEX(Tasks[_LeafBudget],Tasks[[#This Row],[_Row]]+Tasks[[#This Row],[_Descendants]])),Tasks[[#This Row],[_LeafBudget]]))</f>
        <v/>
      </c>
      <c r="BC134" s="70" t="str">
        <f aca="false">IF(Tasks[[#This Row],[Task Name]]="","",IF(Tasks[[#This Row],[_IsSummary]],SUM(INDEX(Tasks[_LeafPV],Tasks[[#This Row],[_Row]]+1):INDEX(Tasks[_LeafPV],Tasks[[#This Row],[_Row]]+Tasks[[#This Row],[_Descendants]])),Tasks[[#This Row],[_LeafPV]]))</f>
        <v/>
      </c>
      <c r="BD134" s="70" t="str">
        <f aca="false">IF(Tasks[[#This Row],[Task Name]]="","",IF(Tasks[[#This Row],[_IsSummary]],SUM(INDEX(Tasks[_LeafAC],Tasks[[#This Row],[_Row]]+1):INDEX(Tasks[_LeafAC],Tasks[[#This Row],[_Row]]+Tasks[[#This Row],[_Descendants]])),Tasks[[#This Row],[_LeafAC]]))</f>
        <v/>
      </c>
      <c r="BE134" s="45" t="str">
        <f aca="false">IF(Tasks[[#This Row],[Task Name]]="","",MAX(1,N(Tasks[[#This Row],[Level]])))</f>
        <v/>
      </c>
      <c r="BF134" s="45" t="n">
        <f aca="false">ROW()-ROW(Tasks[[#Headers],[ID]])</f>
        <v>129</v>
      </c>
      <c r="BG134" s="45" t="n">
        <f aca="false">IF(OR(Tasks[[#This Row],[Task Name]]="",Tasks[[#This Row],[_Level]]&lt;=1),0,IFERROR(LOOKUP(2,1/(Tasks[[#Headers],[_Level]]:Tasks[[#This Row],[_Level]]=Tasks[[#This Row],[_Level]]-1),ROW(Tasks[[#Headers],[_Level]]:Tasks[[#This Row],[_Level]])),0))</f>
        <v>0</v>
      </c>
      <c r="BH134" s="45" t="n">
        <f aca="false">IFERROR(N(INDEX(Tasks[_Level],Tasks[[#This Row],[_Row]]+1)),0)</f>
        <v>0</v>
      </c>
      <c r="BI134" s="73" t="b">
        <f aca="false">AND(Tasks[[#This Row],[Task Name]]&lt;&gt;"",Tasks[[#This Row],[_NextLevel]]&gt;Tasks[[#This Row],[_Level]])</f>
        <v>0</v>
      </c>
      <c r="BJ134" s="45" t="n">
        <f aca="false">IF(Tasks[[#This Row],[_IsSummary]],COUNTIF(Tasks[WBS],Tasks[[#This Row],[WBS]]&amp;".*"),0)</f>
        <v>0</v>
      </c>
      <c r="BK134" s="45" t="n">
        <f aca="false">IF(AND(Tasks[[#This Row],[Task Name]]&lt;&gt;"",NOT(Tasks[[#This Row],[_IsSummary]])),1,0)</f>
        <v>0</v>
      </c>
      <c r="BL134" s="45" t="n">
        <f aca="false">IF(N(Tasks[[#This Row],[_Pred1UID]])=0,0,IFERROR(MATCH(Tasks[[#This Row],[_Pred1UID]],Tasks[UID],0),-1))</f>
        <v>0</v>
      </c>
      <c r="BM134" s="45" t="n">
        <f aca="false">IF(N(Tasks[[#This Row],[_Pred2UID]])=0,0,IFERROR(MATCH(Tasks[[#This Row],[_Pred2UID]],Tasks[UID],0),-1))</f>
        <v>0</v>
      </c>
      <c r="BN134" s="45" t="n">
        <f aca="false">IF(N(Tasks[[#This Row],[_Pred3UID]])=0,0,IFERROR(MATCH(Tasks[[#This Row],[_Pred3UID]],Tasks[UID],0),-1))</f>
        <v>0</v>
      </c>
      <c r="BO134" s="45" t="n">
        <f aca="false">IF(N(Tasks[[#This Row],[_Pred4UID]])=0,0,IFERROR(MATCH(Tasks[[#This Row],[_Pred4UID]],Tasks[UID],0),-1))</f>
        <v>0</v>
      </c>
      <c r="BP13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3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34" s="74" t="n">
        <f aca="false">IF(OR(Tasks[[#This Row],[_ConstraintCode]]=2,Tasks[[#This Row],[_ConstraintCode]]=3,Tasks[[#This Row],[_ConstraintCode]]=4,Tasks[[#This Row],[_ConstraintCode]]=6),Tasks[[#This Row],[_ConstraintStart]],0)</f>
        <v>0</v>
      </c>
      <c r="BS134" s="74" t="n">
        <f aca="false">IF(OR(Tasks[[#This Row],[_ConstraintCode]]=2,Tasks[[#This Row],[_ConstraintCode]]=3,Tasks[[#This Row],[_ConstraintCode]]=5,Tasks[[#This Row],[_ConstraintCode]]=7),Tasks[[#This Row],[_ConstraintStart]],2958465)</f>
        <v>2958465</v>
      </c>
      <c r="BT13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34" s="74" t="str">
        <f aca="false">IF(NOT(Tasks[[#This Row],[_IsLeaf]]=1),"",IF(N(Tasks[[#This Row],[Duration]])&lt;=0,Tasks[[#This Row],[_LeafCalcStart]],WORKDAY.INTL(Tasks[[#This Row],[_LeafCalcStart]],Tasks[[#This Row],[Duration]]-1,WorkWeek,Holidays)))</f>
        <v/>
      </c>
      <c r="BV13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3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34" s="45" t="str">
        <f aca="false">IF(Tasks[[#This Row],[Predecessors]]="","",TRIM(MID(SUBSTITUTE(SUBSTITUTE(SUBSTITUTE(UPPER(Tasks[[#This Row],[Predecessors]]),";",",")," ",""),",",REPT(" ",99)),1,99)))</f>
        <v/>
      </c>
      <c r="BY134" s="45" t="str">
        <f aca="false">IF(Tasks[[#This Row],[_Pred1Text]]="","",IFERROR(VALUE(LEFT(Tasks[[#This Row],[_Pred1Text]],MIN(FIND("F",Tasks[[#This Row],[_Pred1Text]]&amp;"F"),FIND("S",Tasks[[#This Row],[_Pred1Text]]&amp;"S"),FIND("+",Tasks[[#This Row],[_Pred1Text]]&amp;"+"),FIND("-",Tasks[[#This Row],[_Pred1Text]]&amp;"-"))-1)),""))</f>
        <v/>
      </c>
      <c r="BZ13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3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34" s="45" t="str">
        <f aca="false">IF(Tasks[[#This Row],[_Pred1Text]]="","",TRIM(MID(SUBSTITUTE(SUBSTITUTE(SUBSTITUTE(UPPER(Tasks[[#This Row],[Predecessors]]),";",",")," ",""),",",REPT(" ",99)),100,99)))</f>
        <v/>
      </c>
      <c r="CC134" s="45" t="str">
        <f aca="false">IF(Tasks[[#This Row],[_Pred2Text]]="","",IFERROR(VALUE(LEFT(Tasks[[#This Row],[_Pred2Text]],MIN(FIND("F",Tasks[[#This Row],[_Pred2Text]]&amp;"F"),FIND("S",Tasks[[#This Row],[_Pred2Text]]&amp;"S"),FIND("+",Tasks[[#This Row],[_Pred2Text]]&amp;"+"),FIND("-",Tasks[[#This Row],[_Pred2Text]]&amp;"-"))-1)),""))</f>
        <v/>
      </c>
      <c r="CD13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3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34" s="45" t="str">
        <f aca="false">IF(Tasks[[#This Row],[_Pred2Text]]="","",TRIM(MID(SUBSTITUTE(SUBSTITUTE(SUBSTITUTE(UPPER(Tasks[[#This Row],[Predecessors]]),";",",")," ",""),",",REPT(" ",99)),199,99)))</f>
        <v/>
      </c>
      <c r="CG134" s="45" t="str">
        <f aca="false">IF(Tasks[[#This Row],[_Pred3Text]]="","",IFERROR(VALUE(LEFT(Tasks[[#This Row],[_Pred3Text]],MIN(FIND("F",Tasks[[#This Row],[_Pred3Text]]&amp;"F"),FIND("S",Tasks[[#This Row],[_Pred3Text]]&amp;"S"),FIND("+",Tasks[[#This Row],[_Pred3Text]]&amp;"+"),FIND("-",Tasks[[#This Row],[_Pred3Text]]&amp;"-"))-1)),""))</f>
        <v/>
      </c>
      <c r="CH13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3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34" s="45" t="str">
        <f aca="false">IF(Tasks[[#This Row],[_Pred3Text]]="","",TRIM(MID(SUBSTITUTE(SUBSTITUTE(SUBSTITUTE(UPPER(Tasks[[#This Row],[Predecessors]]),";",",")," ",""),",",REPT(" ",99)),298,99)))</f>
        <v/>
      </c>
      <c r="CK134" s="45" t="str">
        <f aca="false">IF(Tasks[[#This Row],[_Pred4Text]]="","",IFERROR(VALUE(LEFT(Tasks[[#This Row],[_Pred4Text]],MIN(FIND("F",Tasks[[#This Row],[_Pred4Text]]&amp;"F"),FIND("S",Tasks[[#This Row],[_Pred4Text]]&amp;"S"),FIND("+",Tasks[[#This Row],[_Pred4Text]]&amp;"+"),FIND("-",Tasks[[#This Row],[_Pred4Text]]&amp;"-"))-1)),""))</f>
        <v/>
      </c>
      <c r="CL13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3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34" s="45" t="str">
        <f aca="false">IF(OR(Tasks[[#This Row],[Task Name]]="",Tasks[[#This Row],[Resources]]=""),"",TRIM(MID(SUBSTITUTE(Tasks[[#This Row],[Resources]],",",REPT(" ",99)),1,99)))</f>
        <v/>
      </c>
      <c r="CO134" s="45" t="str">
        <f aca="false">IF(Tasks[[#This Row],[_Res1Text]]="","",TRIM(MID(SUBSTITUTE(Tasks[[#This Row],[Resources]],",",REPT(" ",99)),100,99)))</f>
        <v/>
      </c>
      <c r="CP134" s="45" t="str">
        <f aca="false">IF(Tasks[[#This Row],[_Res2Text]]="","",TRIM(MID(SUBSTITUTE(Tasks[[#This Row],[Resources]],",",REPT(" ",99)),199,99)))</f>
        <v/>
      </c>
      <c r="CQ134" s="45" t="str">
        <f aca="false">IF(Tasks[[#This Row],[_Res3Text]]="","",TRIM(MID(SUBSTITUTE(Tasks[[#This Row],[Resources]],",",REPT(" ",99)),298,99)))</f>
        <v/>
      </c>
      <c r="CR13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3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4" s="45" t="n">
        <f aca="false">IF(NOT(Tasks[[#This Row],[_IsLeaf]]=1),0,(Tasks[[#This Row],[_Resource1]]&lt;&gt;"")+(Tasks[[#This Row],[_Res2]]&lt;&gt;"")+(Tasks[[#This Row],[_Res3]]&lt;&gt;"")+(Tasks[[#This Row],[_Res4]]&lt;&gt;""))</f>
        <v>0</v>
      </c>
      <c r="CU13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3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4" s="45" t="n">
        <f aca="false">IF(OR(NOT(Tasks[[#This Row],[_IsLeaf]]=1),Tasks[[#This Row],[_Res2]]=""),0,IF(ISNA(MATCH(Tasks[[#This Row],[_Res2]],res_Name,0)),0,N(Tasks[[#This Row],[Duration]])*HoursPerDay*IF(Tasks[[#This Row],[_Res2Units]]="",DefaultUnits,Tasks[[#This Row],[_Res2Units]])))</f>
        <v>0</v>
      </c>
      <c r="CX134" s="45" t="n">
        <f aca="false">IF(Tasks[[#This Row],[_Res2Work]]=0,0,Tasks[[#This Row],[_Res2Work]]*IFERROR(INDEX(res_Rate,MATCH(Tasks[[#This Row],[_Res2]],res_Name,0)),0))</f>
        <v>0</v>
      </c>
      <c r="CY134" s="45" t="n">
        <f aca="false">IF(AND(AND(Tasks[[#This Row],[_IsLeaf]]=1,Tasks[[#This Row],[_LeafTotalWork]]&gt;0),Tasks[[#This Row],[_Res2Work]]&gt;0),Tasks[[#This Row],[_Res2Work]]/(Tasks[[#This Row],[_FinishWorkday]]-Tasks[[#This Row],[_StartWorkday]]+1),0)</f>
        <v>0</v>
      </c>
      <c r="CZ134" s="45" t="n">
        <f aca="false">Tasks[[#This Row],[_Res2WorkPerWD]]*MAX(0,Tasks[[#This Row],[_StartWorkday]]-1)</f>
        <v>0</v>
      </c>
      <c r="DA134" s="45" t="n">
        <f aca="false">Tasks[[#This Row],[_Res2Work]]*Tasks[[#This Row],[_LeafProgress]]</f>
        <v>0</v>
      </c>
      <c r="DB134" s="45" t="n">
        <f aca="false">IF(Tasks[[#This Row],[_LeafTotalCost]]=0,0,Tasks[[#This Row],[_LeafAC]]*Tasks[[#This Row],[_Res2Cost]]/Tasks[[#This Row],[_LeafTotalCost]])</f>
        <v>0</v>
      </c>
      <c r="DC13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3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34" s="45" t="n">
        <f aca="false">IF(OR(NOT(Tasks[[#This Row],[_IsLeaf]]=1),Tasks[[#This Row],[_Res3]]=""),0,IF(ISNA(MATCH(Tasks[[#This Row],[_Res3]],res_Name,0)),0,N(Tasks[[#This Row],[Duration]])*HoursPerDay*IF(Tasks[[#This Row],[_Res3Units]]="",DefaultUnits,Tasks[[#This Row],[_Res3Units]])))</f>
        <v>0</v>
      </c>
      <c r="DF134" s="45" t="n">
        <f aca="false">IF(Tasks[[#This Row],[_Res3Work]]=0,0,Tasks[[#This Row],[_Res3Work]]*IFERROR(INDEX(res_Rate,MATCH(Tasks[[#This Row],[_Res3]],res_Name,0)),0))</f>
        <v>0</v>
      </c>
      <c r="DG134" s="45" t="n">
        <f aca="false">IF(AND(AND(Tasks[[#This Row],[_IsLeaf]]=1,Tasks[[#This Row],[_LeafTotalWork]]&gt;0),Tasks[[#This Row],[_Res3Work]]&gt;0),Tasks[[#This Row],[_Res3Work]]/(Tasks[[#This Row],[_FinishWorkday]]-Tasks[[#This Row],[_StartWorkday]]+1),0)</f>
        <v>0</v>
      </c>
      <c r="DH134" s="45" t="n">
        <f aca="false">Tasks[[#This Row],[_Res3WorkPerWD]]*MAX(0,Tasks[[#This Row],[_StartWorkday]]-1)</f>
        <v>0</v>
      </c>
      <c r="DI134" s="45" t="n">
        <f aca="false">Tasks[[#This Row],[_Res3Work]]*Tasks[[#This Row],[_LeafProgress]]</f>
        <v>0</v>
      </c>
      <c r="DJ134" s="45" t="n">
        <f aca="false">IF(Tasks[[#This Row],[_LeafTotalCost]]=0,0,Tasks[[#This Row],[_LeafAC]]*Tasks[[#This Row],[_Res3Cost]]/Tasks[[#This Row],[_LeafTotalCost]])</f>
        <v>0</v>
      </c>
      <c r="DK13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3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34" s="45" t="n">
        <f aca="false">IF(OR(NOT(Tasks[[#This Row],[_IsLeaf]]=1),Tasks[[#This Row],[_Res4]]=""),0,IF(ISNA(MATCH(Tasks[[#This Row],[_Res4]],res_Name,0)),0,N(Tasks[[#This Row],[Duration]])*HoursPerDay*IF(Tasks[[#This Row],[_Res4Units]]="",DefaultUnits,Tasks[[#This Row],[_Res4Units]])))</f>
        <v>0</v>
      </c>
      <c r="DN134" s="45" t="n">
        <f aca="false">IF(Tasks[[#This Row],[_Res4Work]]=0,0,Tasks[[#This Row],[_Res4Work]]*IFERROR(INDEX(res_Rate,MATCH(Tasks[[#This Row],[_Res4]],res_Name,0)),0))</f>
        <v>0</v>
      </c>
      <c r="DO134" s="45" t="n">
        <f aca="false">IF(AND(AND(Tasks[[#This Row],[_IsLeaf]]=1,Tasks[[#This Row],[_LeafTotalWork]]&gt;0),Tasks[[#This Row],[_Res4Work]]&gt;0),Tasks[[#This Row],[_Res4Work]]/(Tasks[[#This Row],[_FinishWorkday]]-Tasks[[#This Row],[_StartWorkday]]+1),0)</f>
        <v>0</v>
      </c>
      <c r="DP134" s="45" t="n">
        <f aca="false">Tasks[[#This Row],[_Res4WorkPerWD]]*MAX(0,Tasks[[#This Row],[_StartWorkday]]-1)</f>
        <v>0</v>
      </c>
      <c r="DQ134" s="45" t="n">
        <f aca="false">Tasks[[#This Row],[_Res4Work]]*Tasks[[#This Row],[_LeafProgress]]</f>
        <v>0</v>
      </c>
      <c r="DR134" s="45" t="n">
        <f aca="false">IF(Tasks[[#This Row],[_LeafTotalCost]]=0,0,Tasks[[#This Row],[_LeafAC]]*Tasks[[#This Row],[_Res4Cost]]/Tasks[[#This Row],[_LeafTotalCost]])</f>
        <v>0</v>
      </c>
      <c r="DS134" s="45" t="n">
        <f aca="false">IF(ISNUMBER(Tasks[[#This Row],[% Complete]]),Tasks[[#This Row],[% Complete]],IF(Tasks[[#This Row],[Stage]]="",0,IFERROR(INDEX(stg_Pct,MATCH(Tasks[[#This Row],[Stage]],stg_Name,0)),0)))</f>
        <v>0</v>
      </c>
      <c r="DT134" s="45" t="n">
        <f aca="false">IF(NOT(Tasks[[#This Row],[_IsLeaf]]=1),0,IF(N(Tasks[[#This Row],[Actual Finish]])&gt;0,1,MIN(1,Tasks[[#This Row],[_Pct]])))</f>
        <v>0</v>
      </c>
      <c r="DU134" s="45" t="n">
        <f aca="false">IF(OR(NOT(Tasks[[#This Row],[_IsLeaf]]=1),Tasks[[#This Row],[_Resource1]]=""),0,IF(ISNA(MATCH(Tasks[[#This Row],[_Resource1]],res_Name,0)),0,N(Tasks[[#This Row],[Duration]])*HoursPerDay*IF(Tasks[[#This Row],[_Units1]]="",DefaultUnits,Tasks[[#This Row],[_Units1]])))</f>
        <v>0</v>
      </c>
      <c r="DV134" s="45" t="n">
        <f aca="false">IF(Tasks[[#This Row],[_LeafWork]]=0,0,Tasks[[#This Row],[_LeafWork]]*IFERROR(INDEX(res_Rate,MATCH(Tasks[[#This Row],[_Resource1]],res_Name,0)),0))</f>
        <v>0</v>
      </c>
      <c r="DW134" s="45" t="n">
        <f aca="false">Tasks[[#This Row],[_LeafWork]]+Tasks[[#This Row],[_Res2Work]]+Tasks[[#This Row],[_Res3Work]]+Tasks[[#This Row],[_Res4Work]]</f>
        <v>0</v>
      </c>
      <c r="DX134" s="45" t="n">
        <f aca="false">Tasks[[#This Row],[_LeafCost]]+Tasks[[#This Row],[_Res2Cost]]+Tasks[[#This Row],[_Res3Cost]]+Tasks[[#This Row],[_Res4Cost]]</f>
        <v>0</v>
      </c>
      <c r="DY134" s="45" t="n">
        <f aca="false">IF(Tasks[[#This Row],[_LeafTotalCost]]=0,Tasks[[#This Row],[_LeafAC]],Tasks[[#This Row],[_LeafAC]]*Tasks[[#This Row],[_LeafCost]]/Tasks[[#This Row],[_LeafTotalCost]])</f>
        <v>0</v>
      </c>
      <c r="DZ13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3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3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3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3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3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3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3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34" s="45" t="n">
        <f aca="false">IF(NOT(Tasks[[#This Row],[_IsLeaf]]=1),0,MAX(_xlfn.MAXIFS(Tasks[_Row],Tasks[_Pred1UID],Tasks[[#This Row],[UID]]),_xlfn.MAXIFS(Tasks[_Row],Tasks[_Pred2UID],Tasks[[#This Row],[UID]]),_xlfn.MAXIFS(Tasks[_Row],Tasks[_Pred3UID],Tasks[[#This Row],[UID]]),_xlfn.MAXIFS(Tasks[_Row],Tasks[_Pred4UID],Tasks[[#This Row],[UID]])))</f>
        <v>0</v>
      </c>
      <c r="EI13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3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34" s="74" t="str">
        <f aca="false">IF(NOT(Tasks[[#This Row],[_IsLeaf]]=1),"",IF(N(Tasks[[#This Row],[Duration]])&lt;=0,Tasks[[#This Row],[_LeafLateFinish]],WORKDAY.INTL(Tasks[[#This Row],[_LeafLateFinish]],-(Tasks[[#This Row],[Duration]]-1),WorkWeek,Holidays)))</f>
        <v/>
      </c>
      <c r="EL13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34" s="73" t="b">
        <f aca="false">AND(Tasks[[#This Row],[_IsLeaf]]=1,Tasks[[#This Row],[_LeafProgress]]&lt;1,N(Tasks[[#This Row],[_LeafTotalSlack]])&lt;=CriticalSlackDays)</f>
        <v>0</v>
      </c>
      <c r="EN134" s="45" t="n">
        <f aca="false">IF(AND(Tasks[[#This Row],[_IsLeaf]]=1,Tasks[[#This Row],[_ConstraintCode]]=1,Tasks[[#This Row],[Mode]]&lt;&gt;"Manual",N(Tasks[[#This Row],[Actual Start]])=0),MAX(0,N(Tasks[[#This Row],[Free Slack]])),0)</f>
        <v>0</v>
      </c>
      <c r="EO134" s="74" t="str">
        <f aca="false">IF(NOT(Tasks[[#This Row],[_IsLeaf]]=1),"",IF(Tasks[[#This Row],[_AlapShift]]=0,Tasks[[#This Row],[_LeafCalcStart]],WORKDAY.INTL(Tasks[[#This Row],[_LeafCalcStart]],Tasks[[#This Row],[_AlapShift]],WorkWeek,Holidays)))</f>
        <v/>
      </c>
      <c r="EP134" s="74" t="str">
        <f aca="false">IF(NOT(Tasks[[#This Row],[_IsLeaf]]=1),"",IF(Tasks[[#This Row],[_AlapShift]]=0,Tasks[[#This Row],[_LeafCalcFinish]],WORKDAY.INTL(Tasks[[#This Row],[_LeafCalcFinish]],Tasks[[#This Row],[_AlapShift]],WorkWeek,Holidays)))</f>
        <v/>
      </c>
      <c r="EQ134" s="74" t="str">
        <f aca="false">IF(NOT(Tasks[[#This Row],[_IsLeaf]]=1),"",IF(Tasks[[#This Row],[_AlapShift]]=0,Tasks[[#This Row],[_LeafFcstStart]],WORKDAY.INTL(Tasks[[#This Row],[_LeafFcstStart]],Tasks[[#This Row],[_AlapShift]],WorkWeek,Holidays)))</f>
        <v/>
      </c>
      <c r="ER134" s="74" t="str">
        <f aca="false">IF(NOT(Tasks[[#This Row],[_IsLeaf]]=1),"",IF(Tasks[[#This Row],[_AlapShift]]=0,Tasks[[#This Row],[_LeafFcstFinish]],WORKDAY.INTL(Tasks[[#This Row],[_LeafFcstFinish]],Tasks[[#This Row],[_AlapShift]],WorkWeek,Holidays)))</f>
        <v/>
      </c>
      <c r="ES134" s="74" t="str">
        <f aca="false">IF(Tasks[[#This Row],[Task Name]]="","",IF(Tasks[[#This Row],[_IsSummary]],MIN(INDEX(Tasks[_ShownCalcStart],Tasks[[#This Row],[_Row]]+1):INDEX(Tasks[_ShownCalcStart],Tasks[[#This Row],[_Row]]+Tasks[[#This Row],[_Descendants]])),Tasks[[#This Row],[_ShownCalcStart]]))</f>
        <v/>
      </c>
      <c r="ET134" s="74" t="str">
        <f aca="false">IF(Tasks[[#This Row],[Task Name]]="","",IF(Tasks[[#This Row],[_IsSummary]],MAX(INDEX(Tasks[_ShownCalcFinish],Tasks[[#This Row],[_Row]]+1):INDEX(Tasks[_ShownCalcFinish],Tasks[[#This Row],[_Row]]+Tasks[[#This Row],[_Descendants]])),Tasks[[#This Row],[_ShownCalcFinish]]))</f>
        <v/>
      </c>
      <c r="EU13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3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3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3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3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3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3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3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3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3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3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3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34" s="45" t="n">
        <f aca="false">IF(AND(Tasks[[#This Row],[_IsLeaf]]=1,Tasks[[#This Row],[_LeafTotalWork]]&gt;0),NETWORKDAYS.INTL(ProjectStart,Tasks[[#This Row],[_ShownFcstStart]],WorkWeek,Holidays),0)</f>
        <v>0</v>
      </c>
      <c r="FH134" s="45" t="n">
        <f aca="false">IF(AND(Tasks[[#This Row],[_IsLeaf]]=1,Tasks[[#This Row],[_LeafTotalWork]]&gt;0),MAX(Tasks[[#This Row],[_StartWorkday]],NETWORKDAYS.INTL(ProjectStart,Tasks[[#This Row],[_ShownFcstFinish]],WorkWeek,Holidays)),0)</f>
        <v>0</v>
      </c>
      <c r="FI134" s="45" t="n">
        <f aca="false">IF(AND(Tasks[[#This Row],[_IsLeaf]]=1,Tasks[[#This Row],[_LeafTotalWork]]&gt;0),Tasks[[#This Row],[_LeafWork]]/(Tasks[[#This Row],[_FinishWorkday]]-Tasks[[#This Row],[_StartWorkday]]+1),0)</f>
        <v>0</v>
      </c>
      <c r="FJ134" s="45" t="n">
        <f aca="false">Tasks[[#This Row],[_WorkPerWorkday]]*(Tasks[[#This Row],[_StartWorkday]]-1)</f>
        <v>-0</v>
      </c>
      <c r="FK134" s="45" t="n">
        <f aca="false">IF(Tasks[[#This Row],[_IsLeaf]]=1,MAX(N(Tasks[[#This Row],[Duration]]),0.1),0)</f>
        <v>0</v>
      </c>
      <c r="FL134" s="45" t="n">
        <f aca="false">Tasks[[#This Row],[_WeightDur]]*Tasks[[#This Row],[_LeafProgress]]</f>
        <v>0</v>
      </c>
      <c r="FM13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34" s="45" t="str">
        <f aca="false">IF(AND(Tasks[[#This Row],[_IsLeaf]]=1,N(Tasks[[#This Row],[Duration]])=0,Tasks[[#This Row],[_LeafProgress]]&lt;1),Tasks[[#This Row],[_ShownFcstFinish]]+Tasks[[#This Row],[_Row]]/100000,"")</f>
        <v/>
      </c>
      <c r="FO13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34" s="45" t="n">
        <f aca="false">IF(NOT(Tasks[[#This Row],[_IsLeaf]]=1),0,IF(Tasks[[#This Row],[Baseline Cost]]="",Tasks[[#This Row],[_LeafTotalCost]],N(Tasks[[#This Row],[Baseline Cost]])))</f>
        <v>0</v>
      </c>
      <c r="FQ134" s="45" t="n">
        <f aca="false">Tasks[[#This Row],[_LeafBudget]]*Tasks[[#This Row],[_PlannedPct]]</f>
        <v>0</v>
      </c>
      <c r="FR134" s="45" t="n">
        <f aca="false">Tasks[[#This Row],[_LeafBudget]]*Tasks[[#This Row],[_LeafProgress]]</f>
        <v>0</v>
      </c>
      <c r="FS134" s="45" t="n">
        <f aca="false">IF(NOT(Tasks[[#This Row],[_IsLeaf]]=1),0,IF(Tasks[[#This Row],[Actual Cost]]="",Tasks[[#This Row],[_LeafTotalCost]]*Tasks[[#This Row],[_LeafProgress]],N(Tasks[[#This Row],[Actual Cost]])))</f>
        <v>0</v>
      </c>
      <c r="FT134" s="45" t="str">
        <f aca="false">IF(Tasks[[#This Row],[Task Name]]="","",LEFT(Tasks[[#This Row],[WBS]],FIND(".",Tasks[[#This Row],[WBS]]&amp;".")-1))</f>
        <v/>
      </c>
      <c r="FU134" s="45" t="str">
        <f aca="false">IF(AND(Tasks[[#This Row],[Task Name]]&lt;&gt;"",Tasks[[#This Row],[_Level]]=1),Tasks[[#This Row],[_Row]],"")</f>
        <v/>
      </c>
      <c r="FV134" s="45" t="str">
        <f aca="false">IF(AND(Tasks[[#This Row],[_IsLeaf]]=1,N(Tasks[[#This Row],[Duration]])=0),Tasks[[#This Row],[Planned Finish]]+Tasks[[#This Row],[_Row]]/100000,"")</f>
        <v/>
      </c>
      <c r="FW134" s="45" t="str">
        <f aca="false">IF(AND(Tasks[[#This Row],[_IsLeaf]]=1,Tasks[[#This Row],[_LeafProgress]]&lt;1,OR(N(Tasks[[#This Row],[Finish Var]])&gt;0,Tasks[[#This Row],[Status]]="Late Start")),MAX(0,Tasks[[#This Row],[Finish Var]])+1-Tasks[[#This Row],[_Row]]/1000000,"")</f>
        <v/>
      </c>
      <c r="FX134" s="45" t="str">
        <f aca="false">IF(AND(Tasks[[#This Row],[_IsLeaf]]=1,N(Tasks[[#This Row],[Actual Start]])=0,Tasks[[#This Row],[_ShownFcstStart]]&gt;=StatusDate,Tasks[[#This Row],[_ShownFcstStart]]&lt;=LookaheadEnd),Tasks[[#This Row],[_ShownFcstStart]]+Tasks[[#This Row],[_Row]]/100000,"")</f>
        <v/>
      </c>
      <c r="FY134" s="45" t="str">
        <f aca="false">IF(AND(Tasks[[#This Row],[_IsLeaf]]=1,Tasks[[#This Row],[_LeafProgress]]&lt;1,Tasks[[#This Row],[_ShownFcstFinish]]&gt;=StatusDate,Tasks[[#This Row],[_ShownFcstFinish]]&lt;=LookaheadEnd),Tasks[[#This Row],[_ShownFcstFinish]]+Tasks[[#This Row],[_Row]]/100000,"")</f>
        <v/>
      </c>
      <c r="FZ134" s="45" t="str">
        <f aca="false">IF(Tasks[[#This Row],[_LeafCritical]],Tasks[[#This Row],[_ShownFcstStart]]+Tasks[[#This Row],[_Row]]/100000,"")</f>
        <v/>
      </c>
      <c r="GA134" s="45" t="n">
        <f aca="false">Tasks[[#This Row],[_LeafWork]]*Tasks[[#This Row],[_LeafProgress]]</f>
        <v>0</v>
      </c>
      <c r="GB134" s="74" t="str">
        <f aca="false">IF(AND(Tasks[[#This Row],[_IsLeaf]]=1,Tasks[[#This Row],[_LeafProgress]]&gt;=1),IF(N(Tasks[[#This Row],[Actual Finish]])&gt;0,Tasks[[#This Row],[Actual Finish]],Tasks[[#This Row],[_ShownFcstFinish]]),"")</f>
        <v/>
      </c>
    </row>
    <row r="135" customFormat="false" ht="15" hidden="false" customHeight="false" outlineLevel="0" collapsed="false">
      <c r="A135" s="67" t="str">
        <f aca="false">IF(Tasks[[#This Row],[Task Name]]="","",COUNTA(Tasks[[#Headers],[Task Name]]:Tasks[[#This Row],[Task Name]])-1)</f>
        <v/>
      </c>
      <c r="B135" s="21" t="n">
        <v>130</v>
      </c>
      <c r="C13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21"/>
      <c r="E135" s="22"/>
      <c r="F135" s="21"/>
      <c r="G135" s="22"/>
      <c r="H135" s="22"/>
      <c r="I135" s="22"/>
      <c r="J135" s="7"/>
      <c r="K135" s="7"/>
      <c r="L135" s="22"/>
      <c r="M135" s="58" t="str">
        <f aca="false">IF(Tasks[[#This Row],[Task Name]]="","",IF(Tasks[[#This Row],[_IsSummary]],MIN(INDEX(Tasks[_ShownFcstStart],Tasks[[#This Row],[_Row]]+1):INDEX(Tasks[_ShownFcstStart],Tasks[[#This Row],[_Row]]+Tasks[[#This Row],[_Descendants]])),Tasks[[#This Row],[_ShownFcstStart]]))</f>
        <v/>
      </c>
      <c r="N135" s="58" t="str">
        <f aca="false">IF(Tasks[[#This Row],[Task Name]]="","",IF(Tasks[[#This Row],[_IsSummary]],MAX(INDEX(Tasks[_ShownFcstFinish],Tasks[[#This Row],[_Row]]+1):INDEX(Tasks[_ShownFcstFinish],Tasks[[#This Row],[_Row]]+Tasks[[#This Row],[_Descendants]])),Tasks[[#This Row],[_ShownFcstFinish]]))</f>
        <v/>
      </c>
      <c r="O135" s="20" t="str">
        <f aca="false">IF(Tasks[[#This Row],[Task Name]]="","",IF(Tasks[[#This Row],[Progress]]&gt;=1,"Complete",IF(OR(N(Tasks[[#This Row],[Actual Start]])&gt;0,Tasks[[#This Row],[Progress]]&gt;0),IF(Tasks[[#This Row],[Finish Var]]&gt;0,"Behind","In Progress"),IF(Tasks[[#This Row],[Planned Start]]&lt;StatusDate,"Late Start","Not Started"))))</f>
        <v/>
      </c>
      <c r="P135" s="20" t="str">
        <f aca="false">IF(Tasks[[#This Row],[Task Name]]="","",IF(IF(Tasks[[#This Row],[_IsSummary]],COUNTIF(INDEX(Tasks[_LeafCritical],Tasks[[#This Row],[_Row]]+1):INDEX(Tasks[_LeafCritical],Tasks[[#This Row],[_Row]]+Tasks[[#This Row],[_Descendants]]),TRUE())&gt;0,Tasks[[#This Row],[_LeafCritical]]),"Yes",""))</f>
        <v/>
      </c>
      <c r="Q13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35" s="67" t="str">
        <f aca="false">IF(Tasks[[#This Row],[Task Name]]="","",IF(Tasks[[#This Row],[_Level]]&lt;=OutlineShowLevel,"Yes","No"))</f>
        <v/>
      </c>
      <c r="S135" s="7"/>
      <c r="T135" s="21"/>
      <c r="U135" s="22"/>
      <c r="V135" s="7"/>
      <c r="W135" s="67" t="str">
        <f aca="false">IF(Tasks[[#This Row],[Task Name]]="","",IF(Tasks[[#This Row],[Finish]]&gt;=Tasks[[#This Row],[Planned Finish]],NETWORKDAYS.INTL(Tasks[[#This Row],[Planned Finish]],Tasks[[#This Row],[Finish]],WorkWeek,Holidays)-1,1-NETWORKDAYS.INTL(Tasks[[#This Row],[Finish]],Tasks[[#This Row],[Planned Finish]],WorkWeek,Holidays)))</f>
        <v/>
      </c>
      <c r="X135" s="58" t="str">
        <f aca="false">IF(Tasks[[#This Row],[Task Name]]="","",IF(N(Tasks[[#This Row],[Baseline Start]])&gt;0,Tasks[[#This Row],[Baseline Start]],Tasks[[#This Row],[_CalcStart]]))</f>
        <v/>
      </c>
      <c r="Y135" s="58" t="str">
        <f aca="false">IF(Tasks[[#This Row],[Task Name]]="","",IF(N(Tasks[[#This Row],[Baseline Finish]])&gt;0,Tasks[[#This Row],[Baseline Finish]],Tasks[[#This Row],[_CalcFinish]]))</f>
        <v/>
      </c>
      <c r="Z135" s="67" t="str">
        <f aca="false">IF(Tasks[[#This Row],[Task Name]]="","",IF(Tasks[[#This Row],[Start]]&gt;=Tasks[[#This Row],[Planned Start]],NETWORKDAYS.INTL(Tasks[[#This Row],[Planned Start]],Tasks[[#This Row],[Start]],WorkWeek,Holidays)-1,1-NETWORKDAYS.INTL(Tasks[[#This Row],[Start]],Tasks[[#This Row],[Planned Start]],WorkWeek,Holidays)))</f>
        <v/>
      </c>
      <c r="AA135" s="58" t="str">
        <f aca="false">IF(Tasks[[#This Row],[Task Name]]="","",IF(Tasks[[#This Row],[_IsSummary]],MIN(INDEX(Tasks[_LeafLateStart],Tasks[[#This Row],[_Row]]+1):INDEX(Tasks[_LeafLateStart],Tasks[[#This Row],[_Row]]+Tasks[[#This Row],[_Descendants]])),Tasks[[#This Row],[_LeafLateStart]]))</f>
        <v/>
      </c>
      <c r="AB135" s="58" t="str">
        <f aca="false">IF(Tasks[[#This Row],[Task Name]]="","",IF(Tasks[[#This Row],[_IsSummary]],MAX(INDEX(Tasks[_LeafLateFinish],Tasks[[#This Row],[_Row]]+1):INDEX(Tasks[_LeafLateFinish],Tasks[[#This Row],[_Row]]+Tasks[[#This Row],[_Descendants]])),Tasks[[#This Row],[_LeafLateFinish]]))</f>
        <v/>
      </c>
      <c r="AC135" s="67" t="str">
        <f aca="false">IF(Tasks[[#This Row],[Task Name]]="","",IF(Tasks[[#This Row],[_IsSummary]],MIN(INDEX(Tasks[_LeafTotalSlack],Tasks[[#This Row],[_Row]]+1):INDEX(Tasks[_LeafTotalSlack],Tasks[[#This Row],[_Row]]+Tasks[[#This Row],[_Descendants]])),Tasks[[#This Row],[_LeafTotalSlack]]))</f>
        <v/>
      </c>
      <c r="AD13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3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3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35" s="60"/>
      <c r="AH13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3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35" s="69" t="str">
        <f aca="false">IF(Tasks[[#This Row],[Task Name]]="","",IF(Tasks[[#This Row],[_IsSummary]],SUM(INDEX(Tasks[_LeafTotalWork],Tasks[[#This Row],[_Row]]+1):INDEX(Tasks[_LeafTotalWork],Tasks[[#This Row],[_Row]]+Tasks[[#This Row],[_Descendants]])),Tasks[[#This Row],[_LeafTotalWork]]))</f>
        <v/>
      </c>
      <c r="AK13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35" s="70" t="str">
        <f aca="false">IF(Tasks[[#This Row],[Task Name]]="","",IF(Tasks[[#This Row],[_IsSummary]],SUM(INDEX(Tasks[_LeafTotalCost],Tasks[[#This Row],[_Row]]+1):INDEX(Tasks[_LeafTotalCost],Tasks[[#This Row],[_Row]]+Tasks[[#This Row],[_Descendants]])),Tasks[[#This Row],[_LeafTotalCost]]))</f>
        <v/>
      </c>
      <c r="AM135" s="71"/>
      <c r="AN135" s="20" t="str">
        <f aca="false">IF(OR(Tasks[[#This Row],[Task Name]]="",Tasks[[#This Row],[Baseline Duration]]=""),"",Tasks[[#This Row],[BL Source Duration]]-N(Tasks[[#This Row],[Baseline Duration]]))</f>
        <v/>
      </c>
      <c r="AO135" s="69" t="str">
        <f aca="false">IF(OR(Tasks[[#This Row],[Task Name]]="",Tasks[[#This Row],[Baseline Work]]=""),"",Tasks[[#This Row],[Work]]-N(Tasks[[#This Row],[Baseline Work]]))</f>
        <v/>
      </c>
      <c r="AP135" s="70" t="str">
        <f aca="false">IF(OR(Tasks[[#This Row],[Task Name]]="",Tasks[[#This Row],[Baseline Cost]]=""),"",Tasks[[#This Row],[Cost]]-N(Tasks[[#This Row],[Baseline Cost]]))</f>
        <v/>
      </c>
      <c r="AQ135" s="58" t="str">
        <f aca="false">IF(Tasks[[#This Row],[Task Name]]="","",Tasks[[#This Row],[Start]])</f>
        <v/>
      </c>
      <c r="AR135" s="58" t="str">
        <f aca="false">IF(Tasks[[#This Row],[Task Name]]="","",Tasks[[#This Row],[Finish]])</f>
        <v/>
      </c>
      <c r="AS135" s="67" t="str">
        <f aca="false">IF(Tasks[[#This Row],[Task Name]]="","",IF(Tasks[[#This Row],[_IsSummary]],NETWORKDAYS.INTL(Tasks[[#This Row],[Start]],Tasks[[#This Row],[Finish]],WorkWeek,Holidays),N(Tasks[[#This Row],[Duration]])))</f>
        <v/>
      </c>
      <c r="AT135" s="69" t="str">
        <f aca="false">IF(Tasks[[#This Row],[Task Name]]="","",Tasks[[#This Row],[Work]])</f>
        <v/>
      </c>
      <c r="AU135" s="70" t="str">
        <f aca="false">IF(Tasks[[#This Row],[Task Name]]="","",Tasks[[#This Row],[Cost]])</f>
        <v/>
      </c>
      <c r="AV135" s="7"/>
      <c r="AW135" s="7"/>
      <c r="AX135" s="21"/>
      <c r="AY135" s="72"/>
      <c r="AZ135" s="71"/>
      <c r="BA135" s="70" t="str">
        <f aca="false">IF(Tasks[[#This Row],[Task Name]]="","",IF(Tasks[[#This Row],[_IsSummary]],SUM(INDEX(Tasks[_LeafEV],Tasks[[#This Row],[_Row]]+1):INDEX(Tasks[_LeafEV],Tasks[[#This Row],[_Row]]+Tasks[[#This Row],[_Descendants]])),Tasks[[#This Row],[_LeafEV]]))</f>
        <v/>
      </c>
      <c r="BB135" s="70" t="str">
        <f aca="false">IF(Tasks[[#This Row],[Task Name]]="","",IF(Tasks[[#This Row],[_IsSummary]],SUM(INDEX(Tasks[_LeafBudget],Tasks[[#This Row],[_Row]]+1):INDEX(Tasks[_LeafBudget],Tasks[[#This Row],[_Row]]+Tasks[[#This Row],[_Descendants]])),Tasks[[#This Row],[_LeafBudget]]))</f>
        <v/>
      </c>
      <c r="BC135" s="70" t="str">
        <f aca="false">IF(Tasks[[#This Row],[Task Name]]="","",IF(Tasks[[#This Row],[_IsSummary]],SUM(INDEX(Tasks[_LeafPV],Tasks[[#This Row],[_Row]]+1):INDEX(Tasks[_LeafPV],Tasks[[#This Row],[_Row]]+Tasks[[#This Row],[_Descendants]])),Tasks[[#This Row],[_LeafPV]]))</f>
        <v/>
      </c>
      <c r="BD135" s="70" t="str">
        <f aca="false">IF(Tasks[[#This Row],[Task Name]]="","",IF(Tasks[[#This Row],[_IsSummary]],SUM(INDEX(Tasks[_LeafAC],Tasks[[#This Row],[_Row]]+1):INDEX(Tasks[_LeafAC],Tasks[[#This Row],[_Row]]+Tasks[[#This Row],[_Descendants]])),Tasks[[#This Row],[_LeafAC]]))</f>
        <v/>
      </c>
      <c r="BE135" s="45" t="str">
        <f aca="false">IF(Tasks[[#This Row],[Task Name]]="","",MAX(1,N(Tasks[[#This Row],[Level]])))</f>
        <v/>
      </c>
      <c r="BF135" s="45" t="n">
        <f aca="false">ROW()-ROW(Tasks[[#Headers],[ID]])</f>
        <v>130</v>
      </c>
      <c r="BG135" s="45" t="n">
        <f aca="false">IF(OR(Tasks[[#This Row],[Task Name]]="",Tasks[[#This Row],[_Level]]&lt;=1),0,IFERROR(LOOKUP(2,1/(Tasks[[#Headers],[_Level]]:Tasks[[#This Row],[_Level]]=Tasks[[#This Row],[_Level]]-1),ROW(Tasks[[#Headers],[_Level]]:Tasks[[#This Row],[_Level]])),0))</f>
        <v>0</v>
      </c>
      <c r="BH135" s="45" t="n">
        <f aca="false">IFERROR(N(INDEX(Tasks[_Level],Tasks[[#This Row],[_Row]]+1)),0)</f>
        <v>0</v>
      </c>
      <c r="BI135" s="73" t="b">
        <f aca="false">AND(Tasks[[#This Row],[Task Name]]&lt;&gt;"",Tasks[[#This Row],[_NextLevel]]&gt;Tasks[[#This Row],[_Level]])</f>
        <v>0</v>
      </c>
      <c r="BJ135" s="45" t="n">
        <f aca="false">IF(Tasks[[#This Row],[_IsSummary]],COUNTIF(Tasks[WBS],Tasks[[#This Row],[WBS]]&amp;".*"),0)</f>
        <v>0</v>
      </c>
      <c r="BK135" s="45" t="n">
        <f aca="false">IF(AND(Tasks[[#This Row],[Task Name]]&lt;&gt;"",NOT(Tasks[[#This Row],[_IsSummary]])),1,0)</f>
        <v>0</v>
      </c>
      <c r="BL135" s="45" t="n">
        <f aca="false">IF(N(Tasks[[#This Row],[_Pred1UID]])=0,0,IFERROR(MATCH(Tasks[[#This Row],[_Pred1UID]],Tasks[UID],0),-1))</f>
        <v>0</v>
      </c>
      <c r="BM135" s="45" t="n">
        <f aca="false">IF(N(Tasks[[#This Row],[_Pred2UID]])=0,0,IFERROR(MATCH(Tasks[[#This Row],[_Pred2UID]],Tasks[UID],0),-1))</f>
        <v>0</v>
      </c>
      <c r="BN135" s="45" t="n">
        <f aca="false">IF(N(Tasks[[#This Row],[_Pred3UID]])=0,0,IFERROR(MATCH(Tasks[[#This Row],[_Pred3UID]],Tasks[UID],0),-1))</f>
        <v>0</v>
      </c>
      <c r="BO135" s="45" t="n">
        <f aca="false">IF(N(Tasks[[#This Row],[_Pred4UID]])=0,0,IFERROR(MATCH(Tasks[[#This Row],[_Pred4UID]],Tasks[UID],0),-1))</f>
        <v>0</v>
      </c>
      <c r="BP13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3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35" s="74" t="n">
        <f aca="false">IF(OR(Tasks[[#This Row],[_ConstraintCode]]=2,Tasks[[#This Row],[_ConstraintCode]]=3,Tasks[[#This Row],[_ConstraintCode]]=4,Tasks[[#This Row],[_ConstraintCode]]=6),Tasks[[#This Row],[_ConstraintStart]],0)</f>
        <v>0</v>
      </c>
      <c r="BS135" s="74" t="n">
        <f aca="false">IF(OR(Tasks[[#This Row],[_ConstraintCode]]=2,Tasks[[#This Row],[_ConstraintCode]]=3,Tasks[[#This Row],[_ConstraintCode]]=5,Tasks[[#This Row],[_ConstraintCode]]=7),Tasks[[#This Row],[_ConstraintStart]],2958465)</f>
        <v>2958465</v>
      </c>
      <c r="BT13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35" s="74" t="str">
        <f aca="false">IF(NOT(Tasks[[#This Row],[_IsLeaf]]=1),"",IF(N(Tasks[[#This Row],[Duration]])&lt;=0,Tasks[[#This Row],[_LeafCalcStart]],WORKDAY.INTL(Tasks[[#This Row],[_LeafCalcStart]],Tasks[[#This Row],[Duration]]-1,WorkWeek,Holidays)))</f>
        <v/>
      </c>
      <c r="BV13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3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35" s="45" t="str">
        <f aca="false">IF(Tasks[[#This Row],[Predecessors]]="","",TRIM(MID(SUBSTITUTE(SUBSTITUTE(SUBSTITUTE(UPPER(Tasks[[#This Row],[Predecessors]]),";",",")," ",""),",",REPT(" ",99)),1,99)))</f>
        <v/>
      </c>
      <c r="BY135" s="45" t="str">
        <f aca="false">IF(Tasks[[#This Row],[_Pred1Text]]="","",IFERROR(VALUE(LEFT(Tasks[[#This Row],[_Pred1Text]],MIN(FIND("F",Tasks[[#This Row],[_Pred1Text]]&amp;"F"),FIND("S",Tasks[[#This Row],[_Pred1Text]]&amp;"S"),FIND("+",Tasks[[#This Row],[_Pred1Text]]&amp;"+"),FIND("-",Tasks[[#This Row],[_Pred1Text]]&amp;"-"))-1)),""))</f>
        <v/>
      </c>
      <c r="BZ13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3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35" s="45" t="str">
        <f aca="false">IF(Tasks[[#This Row],[_Pred1Text]]="","",TRIM(MID(SUBSTITUTE(SUBSTITUTE(SUBSTITUTE(UPPER(Tasks[[#This Row],[Predecessors]]),";",",")," ",""),",",REPT(" ",99)),100,99)))</f>
        <v/>
      </c>
      <c r="CC135" s="45" t="str">
        <f aca="false">IF(Tasks[[#This Row],[_Pred2Text]]="","",IFERROR(VALUE(LEFT(Tasks[[#This Row],[_Pred2Text]],MIN(FIND("F",Tasks[[#This Row],[_Pred2Text]]&amp;"F"),FIND("S",Tasks[[#This Row],[_Pred2Text]]&amp;"S"),FIND("+",Tasks[[#This Row],[_Pred2Text]]&amp;"+"),FIND("-",Tasks[[#This Row],[_Pred2Text]]&amp;"-"))-1)),""))</f>
        <v/>
      </c>
      <c r="CD13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3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35" s="45" t="str">
        <f aca="false">IF(Tasks[[#This Row],[_Pred2Text]]="","",TRIM(MID(SUBSTITUTE(SUBSTITUTE(SUBSTITUTE(UPPER(Tasks[[#This Row],[Predecessors]]),";",",")," ",""),",",REPT(" ",99)),199,99)))</f>
        <v/>
      </c>
      <c r="CG135" s="45" t="str">
        <f aca="false">IF(Tasks[[#This Row],[_Pred3Text]]="","",IFERROR(VALUE(LEFT(Tasks[[#This Row],[_Pred3Text]],MIN(FIND("F",Tasks[[#This Row],[_Pred3Text]]&amp;"F"),FIND("S",Tasks[[#This Row],[_Pred3Text]]&amp;"S"),FIND("+",Tasks[[#This Row],[_Pred3Text]]&amp;"+"),FIND("-",Tasks[[#This Row],[_Pred3Text]]&amp;"-"))-1)),""))</f>
        <v/>
      </c>
      <c r="CH13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3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35" s="45" t="str">
        <f aca="false">IF(Tasks[[#This Row],[_Pred3Text]]="","",TRIM(MID(SUBSTITUTE(SUBSTITUTE(SUBSTITUTE(UPPER(Tasks[[#This Row],[Predecessors]]),";",",")," ",""),",",REPT(" ",99)),298,99)))</f>
        <v/>
      </c>
      <c r="CK135" s="45" t="str">
        <f aca="false">IF(Tasks[[#This Row],[_Pred4Text]]="","",IFERROR(VALUE(LEFT(Tasks[[#This Row],[_Pred4Text]],MIN(FIND("F",Tasks[[#This Row],[_Pred4Text]]&amp;"F"),FIND("S",Tasks[[#This Row],[_Pred4Text]]&amp;"S"),FIND("+",Tasks[[#This Row],[_Pred4Text]]&amp;"+"),FIND("-",Tasks[[#This Row],[_Pred4Text]]&amp;"-"))-1)),""))</f>
        <v/>
      </c>
      <c r="CL13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3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35" s="45" t="str">
        <f aca="false">IF(OR(Tasks[[#This Row],[Task Name]]="",Tasks[[#This Row],[Resources]]=""),"",TRIM(MID(SUBSTITUTE(Tasks[[#This Row],[Resources]],",",REPT(" ",99)),1,99)))</f>
        <v/>
      </c>
      <c r="CO135" s="45" t="str">
        <f aca="false">IF(Tasks[[#This Row],[_Res1Text]]="","",TRIM(MID(SUBSTITUTE(Tasks[[#This Row],[Resources]],",",REPT(" ",99)),100,99)))</f>
        <v/>
      </c>
      <c r="CP135" s="45" t="str">
        <f aca="false">IF(Tasks[[#This Row],[_Res2Text]]="","",TRIM(MID(SUBSTITUTE(Tasks[[#This Row],[Resources]],",",REPT(" ",99)),199,99)))</f>
        <v/>
      </c>
      <c r="CQ135" s="45" t="str">
        <f aca="false">IF(Tasks[[#This Row],[_Res3Text]]="","",TRIM(MID(SUBSTITUTE(Tasks[[#This Row],[Resources]],",",REPT(" ",99)),298,99)))</f>
        <v/>
      </c>
      <c r="CR13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3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5" s="45" t="n">
        <f aca="false">IF(NOT(Tasks[[#This Row],[_IsLeaf]]=1),0,(Tasks[[#This Row],[_Resource1]]&lt;&gt;"")+(Tasks[[#This Row],[_Res2]]&lt;&gt;"")+(Tasks[[#This Row],[_Res3]]&lt;&gt;"")+(Tasks[[#This Row],[_Res4]]&lt;&gt;""))</f>
        <v>0</v>
      </c>
      <c r="CU13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3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5" s="45" t="n">
        <f aca="false">IF(OR(NOT(Tasks[[#This Row],[_IsLeaf]]=1),Tasks[[#This Row],[_Res2]]=""),0,IF(ISNA(MATCH(Tasks[[#This Row],[_Res2]],res_Name,0)),0,N(Tasks[[#This Row],[Duration]])*HoursPerDay*IF(Tasks[[#This Row],[_Res2Units]]="",DefaultUnits,Tasks[[#This Row],[_Res2Units]])))</f>
        <v>0</v>
      </c>
      <c r="CX135" s="45" t="n">
        <f aca="false">IF(Tasks[[#This Row],[_Res2Work]]=0,0,Tasks[[#This Row],[_Res2Work]]*IFERROR(INDEX(res_Rate,MATCH(Tasks[[#This Row],[_Res2]],res_Name,0)),0))</f>
        <v>0</v>
      </c>
      <c r="CY135" s="45" t="n">
        <f aca="false">IF(AND(AND(Tasks[[#This Row],[_IsLeaf]]=1,Tasks[[#This Row],[_LeafTotalWork]]&gt;0),Tasks[[#This Row],[_Res2Work]]&gt;0),Tasks[[#This Row],[_Res2Work]]/(Tasks[[#This Row],[_FinishWorkday]]-Tasks[[#This Row],[_StartWorkday]]+1),0)</f>
        <v>0</v>
      </c>
      <c r="CZ135" s="45" t="n">
        <f aca="false">Tasks[[#This Row],[_Res2WorkPerWD]]*MAX(0,Tasks[[#This Row],[_StartWorkday]]-1)</f>
        <v>0</v>
      </c>
      <c r="DA135" s="45" t="n">
        <f aca="false">Tasks[[#This Row],[_Res2Work]]*Tasks[[#This Row],[_LeafProgress]]</f>
        <v>0</v>
      </c>
      <c r="DB135" s="45" t="n">
        <f aca="false">IF(Tasks[[#This Row],[_LeafTotalCost]]=0,0,Tasks[[#This Row],[_LeafAC]]*Tasks[[#This Row],[_Res2Cost]]/Tasks[[#This Row],[_LeafTotalCost]])</f>
        <v>0</v>
      </c>
      <c r="DC13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3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35" s="45" t="n">
        <f aca="false">IF(OR(NOT(Tasks[[#This Row],[_IsLeaf]]=1),Tasks[[#This Row],[_Res3]]=""),0,IF(ISNA(MATCH(Tasks[[#This Row],[_Res3]],res_Name,0)),0,N(Tasks[[#This Row],[Duration]])*HoursPerDay*IF(Tasks[[#This Row],[_Res3Units]]="",DefaultUnits,Tasks[[#This Row],[_Res3Units]])))</f>
        <v>0</v>
      </c>
      <c r="DF135" s="45" t="n">
        <f aca="false">IF(Tasks[[#This Row],[_Res3Work]]=0,0,Tasks[[#This Row],[_Res3Work]]*IFERROR(INDEX(res_Rate,MATCH(Tasks[[#This Row],[_Res3]],res_Name,0)),0))</f>
        <v>0</v>
      </c>
      <c r="DG135" s="45" t="n">
        <f aca="false">IF(AND(AND(Tasks[[#This Row],[_IsLeaf]]=1,Tasks[[#This Row],[_LeafTotalWork]]&gt;0),Tasks[[#This Row],[_Res3Work]]&gt;0),Tasks[[#This Row],[_Res3Work]]/(Tasks[[#This Row],[_FinishWorkday]]-Tasks[[#This Row],[_StartWorkday]]+1),0)</f>
        <v>0</v>
      </c>
      <c r="DH135" s="45" t="n">
        <f aca="false">Tasks[[#This Row],[_Res3WorkPerWD]]*MAX(0,Tasks[[#This Row],[_StartWorkday]]-1)</f>
        <v>0</v>
      </c>
      <c r="DI135" s="45" t="n">
        <f aca="false">Tasks[[#This Row],[_Res3Work]]*Tasks[[#This Row],[_LeafProgress]]</f>
        <v>0</v>
      </c>
      <c r="DJ135" s="45" t="n">
        <f aca="false">IF(Tasks[[#This Row],[_LeafTotalCost]]=0,0,Tasks[[#This Row],[_LeafAC]]*Tasks[[#This Row],[_Res3Cost]]/Tasks[[#This Row],[_LeafTotalCost]])</f>
        <v>0</v>
      </c>
      <c r="DK13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3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35" s="45" t="n">
        <f aca="false">IF(OR(NOT(Tasks[[#This Row],[_IsLeaf]]=1),Tasks[[#This Row],[_Res4]]=""),0,IF(ISNA(MATCH(Tasks[[#This Row],[_Res4]],res_Name,0)),0,N(Tasks[[#This Row],[Duration]])*HoursPerDay*IF(Tasks[[#This Row],[_Res4Units]]="",DefaultUnits,Tasks[[#This Row],[_Res4Units]])))</f>
        <v>0</v>
      </c>
      <c r="DN135" s="45" t="n">
        <f aca="false">IF(Tasks[[#This Row],[_Res4Work]]=0,0,Tasks[[#This Row],[_Res4Work]]*IFERROR(INDEX(res_Rate,MATCH(Tasks[[#This Row],[_Res4]],res_Name,0)),0))</f>
        <v>0</v>
      </c>
      <c r="DO135" s="45" t="n">
        <f aca="false">IF(AND(AND(Tasks[[#This Row],[_IsLeaf]]=1,Tasks[[#This Row],[_LeafTotalWork]]&gt;0),Tasks[[#This Row],[_Res4Work]]&gt;0),Tasks[[#This Row],[_Res4Work]]/(Tasks[[#This Row],[_FinishWorkday]]-Tasks[[#This Row],[_StartWorkday]]+1),0)</f>
        <v>0</v>
      </c>
      <c r="DP135" s="45" t="n">
        <f aca="false">Tasks[[#This Row],[_Res4WorkPerWD]]*MAX(0,Tasks[[#This Row],[_StartWorkday]]-1)</f>
        <v>0</v>
      </c>
      <c r="DQ135" s="45" t="n">
        <f aca="false">Tasks[[#This Row],[_Res4Work]]*Tasks[[#This Row],[_LeafProgress]]</f>
        <v>0</v>
      </c>
      <c r="DR135" s="45" t="n">
        <f aca="false">IF(Tasks[[#This Row],[_LeafTotalCost]]=0,0,Tasks[[#This Row],[_LeafAC]]*Tasks[[#This Row],[_Res4Cost]]/Tasks[[#This Row],[_LeafTotalCost]])</f>
        <v>0</v>
      </c>
      <c r="DS135" s="45" t="n">
        <f aca="false">IF(ISNUMBER(Tasks[[#This Row],[% Complete]]),Tasks[[#This Row],[% Complete]],IF(Tasks[[#This Row],[Stage]]="",0,IFERROR(INDEX(stg_Pct,MATCH(Tasks[[#This Row],[Stage]],stg_Name,0)),0)))</f>
        <v>0</v>
      </c>
      <c r="DT135" s="45" t="n">
        <f aca="false">IF(NOT(Tasks[[#This Row],[_IsLeaf]]=1),0,IF(N(Tasks[[#This Row],[Actual Finish]])&gt;0,1,MIN(1,Tasks[[#This Row],[_Pct]])))</f>
        <v>0</v>
      </c>
      <c r="DU135" s="45" t="n">
        <f aca="false">IF(OR(NOT(Tasks[[#This Row],[_IsLeaf]]=1),Tasks[[#This Row],[_Resource1]]=""),0,IF(ISNA(MATCH(Tasks[[#This Row],[_Resource1]],res_Name,0)),0,N(Tasks[[#This Row],[Duration]])*HoursPerDay*IF(Tasks[[#This Row],[_Units1]]="",DefaultUnits,Tasks[[#This Row],[_Units1]])))</f>
        <v>0</v>
      </c>
      <c r="DV135" s="45" t="n">
        <f aca="false">IF(Tasks[[#This Row],[_LeafWork]]=0,0,Tasks[[#This Row],[_LeafWork]]*IFERROR(INDEX(res_Rate,MATCH(Tasks[[#This Row],[_Resource1]],res_Name,0)),0))</f>
        <v>0</v>
      </c>
      <c r="DW135" s="45" t="n">
        <f aca="false">Tasks[[#This Row],[_LeafWork]]+Tasks[[#This Row],[_Res2Work]]+Tasks[[#This Row],[_Res3Work]]+Tasks[[#This Row],[_Res4Work]]</f>
        <v>0</v>
      </c>
      <c r="DX135" s="45" t="n">
        <f aca="false">Tasks[[#This Row],[_LeafCost]]+Tasks[[#This Row],[_Res2Cost]]+Tasks[[#This Row],[_Res3Cost]]+Tasks[[#This Row],[_Res4Cost]]</f>
        <v>0</v>
      </c>
      <c r="DY135" s="45" t="n">
        <f aca="false">IF(Tasks[[#This Row],[_LeafTotalCost]]=0,Tasks[[#This Row],[_LeafAC]],Tasks[[#This Row],[_LeafAC]]*Tasks[[#This Row],[_LeafCost]]/Tasks[[#This Row],[_LeafTotalCost]])</f>
        <v>0</v>
      </c>
      <c r="DZ13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3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3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3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3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3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3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3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35" s="45" t="n">
        <f aca="false">IF(NOT(Tasks[[#This Row],[_IsLeaf]]=1),0,MAX(_xlfn.MAXIFS(Tasks[_Row],Tasks[_Pred1UID],Tasks[[#This Row],[UID]]),_xlfn.MAXIFS(Tasks[_Row],Tasks[_Pred2UID],Tasks[[#This Row],[UID]]),_xlfn.MAXIFS(Tasks[_Row],Tasks[_Pred3UID],Tasks[[#This Row],[UID]]),_xlfn.MAXIFS(Tasks[_Row],Tasks[_Pred4UID],Tasks[[#This Row],[UID]])))</f>
        <v>0</v>
      </c>
      <c r="EI13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3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35" s="74" t="str">
        <f aca="false">IF(NOT(Tasks[[#This Row],[_IsLeaf]]=1),"",IF(N(Tasks[[#This Row],[Duration]])&lt;=0,Tasks[[#This Row],[_LeafLateFinish]],WORKDAY.INTL(Tasks[[#This Row],[_LeafLateFinish]],-(Tasks[[#This Row],[Duration]]-1),WorkWeek,Holidays)))</f>
        <v/>
      </c>
      <c r="EL13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35" s="73" t="b">
        <f aca="false">AND(Tasks[[#This Row],[_IsLeaf]]=1,Tasks[[#This Row],[_LeafProgress]]&lt;1,N(Tasks[[#This Row],[_LeafTotalSlack]])&lt;=CriticalSlackDays)</f>
        <v>0</v>
      </c>
      <c r="EN135" s="45" t="n">
        <f aca="false">IF(AND(Tasks[[#This Row],[_IsLeaf]]=1,Tasks[[#This Row],[_ConstraintCode]]=1,Tasks[[#This Row],[Mode]]&lt;&gt;"Manual",N(Tasks[[#This Row],[Actual Start]])=0),MAX(0,N(Tasks[[#This Row],[Free Slack]])),0)</f>
        <v>0</v>
      </c>
      <c r="EO135" s="74" t="str">
        <f aca="false">IF(NOT(Tasks[[#This Row],[_IsLeaf]]=1),"",IF(Tasks[[#This Row],[_AlapShift]]=0,Tasks[[#This Row],[_LeafCalcStart]],WORKDAY.INTL(Tasks[[#This Row],[_LeafCalcStart]],Tasks[[#This Row],[_AlapShift]],WorkWeek,Holidays)))</f>
        <v/>
      </c>
      <c r="EP135" s="74" t="str">
        <f aca="false">IF(NOT(Tasks[[#This Row],[_IsLeaf]]=1),"",IF(Tasks[[#This Row],[_AlapShift]]=0,Tasks[[#This Row],[_LeafCalcFinish]],WORKDAY.INTL(Tasks[[#This Row],[_LeafCalcFinish]],Tasks[[#This Row],[_AlapShift]],WorkWeek,Holidays)))</f>
        <v/>
      </c>
      <c r="EQ135" s="74" t="str">
        <f aca="false">IF(NOT(Tasks[[#This Row],[_IsLeaf]]=1),"",IF(Tasks[[#This Row],[_AlapShift]]=0,Tasks[[#This Row],[_LeafFcstStart]],WORKDAY.INTL(Tasks[[#This Row],[_LeafFcstStart]],Tasks[[#This Row],[_AlapShift]],WorkWeek,Holidays)))</f>
        <v/>
      </c>
      <c r="ER135" s="74" t="str">
        <f aca="false">IF(NOT(Tasks[[#This Row],[_IsLeaf]]=1),"",IF(Tasks[[#This Row],[_AlapShift]]=0,Tasks[[#This Row],[_LeafFcstFinish]],WORKDAY.INTL(Tasks[[#This Row],[_LeafFcstFinish]],Tasks[[#This Row],[_AlapShift]],WorkWeek,Holidays)))</f>
        <v/>
      </c>
      <c r="ES135" s="74" t="str">
        <f aca="false">IF(Tasks[[#This Row],[Task Name]]="","",IF(Tasks[[#This Row],[_IsSummary]],MIN(INDEX(Tasks[_ShownCalcStart],Tasks[[#This Row],[_Row]]+1):INDEX(Tasks[_ShownCalcStart],Tasks[[#This Row],[_Row]]+Tasks[[#This Row],[_Descendants]])),Tasks[[#This Row],[_ShownCalcStart]]))</f>
        <v/>
      </c>
      <c r="ET135" s="74" t="str">
        <f aca="false">IF(Tasks[[#This Row],[Task Name]]="","",IF(Tasks[[#This Row],[_IsSummary]],MAX(INDEX(Tasks[_ShownCalcFinish],Tasks[[#This Row],[_Row]]+1):INDEX(Tasks[_ShownCalcFinish],Tasks[[#This Row],[_Row]]+Tasks[[#This Row],[_Descendants]])),Tasks[[#This Row],[_ShownCalcFinish]]))</f>
        <v/>
      </c>
      <c r="EU13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3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3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3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3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3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3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3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3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3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3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3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35" s="45" t="n">
        <f aca="false">IF(AND(Tasks[[#This Row],[_IsLeaf]]=1,Tasks[[#This Row],[_LeafTotalWork]]&gt;0),NETWORKDAYS.INTL(ProjectStart,Tasks[[#This Row],[_ShownFcstStart]],WorkWeek,Holidays),0)</f>
        <v>0</v>
      </c>
      <c r="FH135" s="45" t="n">
        <f aca="false">IF(AND(Tasks[[#This Row],[_IsLeaf]]=1,Tasks[[#This Row],[_LeafTotalWork]]&gt;0),MAX(Tasks[[#This Row],[_StartWorkday]],NETWORKDAYS.INTL(ProjectStart,Tasks[[#This Row],[_ShownFcstFinish]],WorkWeek,Holidays)),0)</f>
        <v>0</v>
      </c>
      <c r="FI135" s="45" t="n">
        <f aca="false">IF(AND(Tasks[[#This Row],[_IsLeaf]]=1,Tasks[[#This Row],[_LeafTotalWork]]&gt;0),Tasks[[#This Row],[_LeafWork]]/(Tasks[[#This Row],[_FinishWorkday]]-Tasks[[#This Row],[_StartWorkday]]+1),0)</f>
        <v>0</v>
      </c>
      <c r="FJ135" s="45" t="n">
        <f aca="false">Tasks[[#This Row],[_WorkPerWorkday]]*(Tasks[[#This Row],[_StartWorkday]]-1)</f>
        <v>-0</v>
      </c>
      <c r="FK135" s="45" t="n">
        <f aca="false">IF(Tasks[[#This Row],[_IsLeaf]]=1,MAX(N(Tasks[[#This Row],[Duration]]),0.1),0)</f>
        <v>0</v>
      </c>
      <c r="FL135" s="45" t="n">
        <f aca="false">Tasks[[#This Row],[_WeightDur]]*Tasks[[#This Row],[_LeafProgress]]</f>
        <v>0</v>
      </c>
      <c r="FM13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35" s="45" t="str">
        <f aca="false">IF(AND(Tasks[[#This Row],[_IsLeaf]]=1,N(Tasks[[#This Row],[Duration]])=0,Tasks[[#This Row],[_LeafProgress]]&lt;1),Tasks[[#This Row],[_ShownFcstFinish]]+Tasks[[#This Row],[_Row]]/100000,"")</f>
        <v/>
      </c>
      <c r="FO13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35" s="45" t="n">
        <f aca="false">IF(NOT(Tasks[[#This Row],[_IsLeaf]]=1),0,IF(Tasks[[#This Row],[Baseline Cost]]="",Tasks[[#This Row],[_LeafTotalCost]],N(Tasks[[#This Row],[Baseline Cost]])))</f>
        <v>0</v>
      </c>
      <c r="FQ135" s="45" t="n">
        <f aca="false">Tasks[[#This Row],[_LeafBudget]]*Tasks[[#This Row],[_PlannedPct]]</f>
        <v>0</v>
      </c>
      <c r="FR135" s="45" t="n">
        <f aca="false">Tasks[[#This Row],[_LeafBudget]]*Tasks[[#This Row],[_LeafProgress]]</f>
        <v>0</v>
      </c>
      <c r="FS135" s="45" t="n">
        <f aca="false">IF(NOT(Tasks[[#This Row],[_IsLeaf]]=1),0,IF(Tasks[[#This Row],[Actual Cost]]="",Tasks[[#This Row],[_LeafTotalCost]]*Tasks[[#This Row],[_LeafProgress]],N(Tasks[[#This Row],[Actual Cost]])))</f>
        <v>0</v>
      </c>
      <c r="FT135" s="45" t="str">
        <f aca="false">IF(Tasks[[#This Row],[Task Name]]="","",LEFT(Tasks[[#This Row],[WBS]],FIND(".",Tasks[[#This Row],[WBS]]&amp;".")-1))</f>
        <v/>
      </c>
      <c r="FU135" s="45" t="str">
        <f aca="false">IF(AND(Tasks[[#This Row],[Task Name]]&lt;&gt;"",Tasks[[#This Row],[_Level]]=1),Tasks[[#This Row],[_Row]],"")</f>
        <v/>
      </c>
      <c r="FV135" s="45" t="str">
        <f aca="false">IF(AND(Tasks[[#This Row],[_IsLeaf]]=1,N(Tasks[[#This Row],[Duration]])=0),Tasks[[#This Row],[Planned Finish]]+Tasks[[#This Row],[_Row]]/100000,"")</f>
        <v/>
      </c>
      <c r="FW135" s="45" t="str">
        <f aca="false">IF(AND(Tasks[[#This Row],[_IsLeaf]]=1,Tasks[[#This Row],[_LeafProgress]]&lt;1,OR(N(Tasks[[#This Row],[Finish Var]])&gt;0,Tasks[[#This Row],[Status]]="Late Start")),MAX(0,Tasks[[#This Row],[Finish Var]])+1-Tasks[[#This Row],[_Row]]/1000000,"")</f>
        <v/>
      </c>
      <c r="FX135" s="45" t="str">
        <f aca="false">IF(AND(Tasks[[#This Row],[_IsLeaf]]=1,N(Tasks[[#This Row],[Actual Start]])=0,Tasks[[#This Row],[_ShownFcstStart]]&gt;=StatusDate,Tasks[[#This Row],[_ShownFcstStart]]&lt;=LookaheadEnd),Tasks[[#This Row],[_ShownFcstStart]]+Tasks[[#This Row],[_Row]]/100000,"")</f>
        <v/>
      </c>
      <c r="FY135" s="45" t="str">
        <f aca="false">IF(AND(Tasks[[#This Row],[_IsLeaf]]=1,Tasks[[#This Row],[_LeafProgress]]&lt;1,Tasks[[#This Row],[_ShownFcstFinish]]&gt;=StatusDate,Tasks[[#This Row],[_ShownFcstFinish]]&lt;=LookaheadEnd),Tasks[[#This Row],[_ShownFcstFinish]]+Tasks[[#This Row],[_Row]]/100000,"")</f>
        <v/>
      </c>
      <c r="FZ135" s="45" t="str">
        <f aca="false">IF(Tasks[[#This Row],[_LeafCritical]],Tasks[[#This Row],[_ShownFcstStart]]+Tasks[[#This Row],[_Row]]/100000,"")</f>
        <v/>
      </c>
      <c r="GA135" s="45" t="n">
        <f aca="false">Tasks[[#This Row],[_LeafWork]]*Tasks[[#This Row],[_LeafProgress]]</f>
        <v>0</v>
      </c>
      <c r="GB135" s="74" t="str">
        <f aca="false">IF(AND(Tasks[[#This Row],[_IsLeaf]]=1,Tasks[[#This Row],[_LeafProgress]]&gt;=1),IF(N(Tasks[[#This Row],[Actual Finish]])&gt;0,Tasks[[#This Row],[Actual Finish]],Tasks[[#This Row],[_ShownFcstFinish]]),"")</f>
        <v/>
      </c>
    </row>
    <row r="136" customFormat="false" ht="15" hidden="false" customHeight="false" outlineLevel="0" collapsed="false">
      <c r="A136" s="67" t="str">
        <f aca="false">IF(Tasks[[#This Row],[Task Name]]="","",COUNTA(Tasks[[#Headers],[Task Name]]:Tasks[[#This Row],[Task Name]])-1)</f>
        <v/>
      </c>
      <c r="B136" s="21" t="n">
        <v>131</v>
      </c>
      <c r="C13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21"/>
      <c r="E136" s="22"/>
      <c r="F136" s="21"/>
      <c r="G136" s="22"/>
      <c r="H136" s="22"/>
      <c r="I136" s="22"/>
      <c r="J136" s="7"/>
      <c r="K136" s="7"/>
      <c r="L136" s="22"/>
      <c r="M136" s="58" t="str">
        <f aca="false">IF(Tasks[[#This Row],[Task Name]]="","",IF(Tasks[[#This Row],[_IsSummary]],MIN(INDEX(Tasks[_ShownFcstStart],Tasks[[#This Row],[_Row]]+1):INDEX(Tasks[_ShownFcstStart],Tasks[[#This Row],[_Row]]+Tasks[[#This Row],[_Descendants]])),Tasks[[#This Row],[_ShownFcstStart]]))</f>
        <v/>
      </c>
      <c r="N136" s="58" t="str">
        <f aca="false">IF(Tasks[[#This Row],[Task Name]]="","",IF(Tasks[[#This Row],[_IsSummary]],MAX(INDEX(Tasks[_ShownFcstFinish],Tasks[[#This Row],[_Row]]+1):INDEX(Tasks[_ShownFcstFinish],Tasks[[#This Row],[_Row]]+Tasks[[#This Row],[_Descendants]])),Tasks[[#This Row],[_ShownFcstFinish]]))</f>
        <v/>
      </c>
      <c r="O136" s="20" t="str">
        <f aca="false">IF(Tasks[[#This Row],[Task Name]]="","",IF(Tasks[[#This Row],[Progress]]&gt;=1,"Complete",IF(OR(N(Tasks[[#This Row],[Actual Start]])&gt;0,Tasks[[#This Row],[Progress]]&gt;0),IF(Tasks[[#This Row],[Finish Var]]&gt;0,"Behind","In Progress"),IF(Tasks[[#This Row],[Planned Start]]&lt;StatusDate,"Late Start","Not Started"))))</f>
        <v/>
      </c>
      <c r="P136" s="20" t="str">
        <f aca="false">IF(Tasks[[#This Row],[Task Name]]="","",IF(IF(Tasks[[#This Row],[_IsSummary]],COUNTIF(INDEX(Tasks[_LeafCritical],Tasks[[#This Row],[_Row]]+1):INDEX(Tasks[_LeafCritical],Tasks[[#This Row],[_Row]]+Tasks[[#This Row],[_Descendants]]),TRUE())&gt;0,Tasks[[#This Row],[_LeafCritical]]),"Yes",""))</f>
        <v/>
      </c>
      <c r="Q13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36" s="67" t="str">
        <f aca="false">IF(Tasks[[#This Row],[Task Name]]="","",IF(Tasks[[#This Row],[_Level]]&lt;=OutlineShowLevel,"Yes","No"))</f>
        <v/>
      </c>
      <c r="S136" s="7"/>
      <c r="T136" s="21"/>
      <c r="U136" s="22"/>
      <c r="V136" s="7"/>
      <c r="W136" s="67" t="str">
        <f aca="false">IF(Tasks[[#This Row],[Task Name]]="","",IF(Tasks[[#This Row],[Finish]]&gt;=Tasks[[#This Row],[Planned Finish]],NETWORKDAYS.INTL(Tasks[[#This Row],[Planned Finish]],Tasks[[#This Row],[Finish]],WorkWeek,Holidays)-1,1-NETWORKDAYS.INTL(Tasks[[#This Row],[Finish]],Tasks[[#This Row],[Planned Finish]],WorkWeek,Holidays)))</f>
        <v/>
      </c>
      <c r="X136" s="58" t="str">
        <f aca="false">IF(Tasks[[#This Row],[Task Name]]="","",IF(N(Tasks[[#This Row],[Baseline Start]])&gt;0,Tasks[[#This Row],[Baseline Start]],Tasks[[#This Row],[_CalcStart]]))</f>
        <v/>
      </c>
      <c r="Y136" s="58" t="str">
        <f aca="false">IF(Tasks[[#This Row],[Task Name]]="","",IF(N(Tasks[[#This Row],[Baseline Finish]])&gt;0,Tasks[[#This Row],[Baseline Finish]],Tasks[[#This Row],[_CalcFinish]]))</f>
        <v/>
      </c>
      <c r="Z136" s="67" t="str">
        <f aca="false">IF(Tasks[[#This Row],[Task Name]]="","",IF(Tasks[[#This Row],[Start]]&gt;=Tasks[[#This Row],[Planned Start]],NETWORKDAYS.INTL(Tasks[[#This Row],[Planned Start]],Tasks[[#This Row],[Start]],WorkWeek,Holidays)-1,1-NETWORKDAYS.INTL(Tasks[[#This Row],[Start]],Tasks[[#This Row],[Planned Start]],WorkWeek,Holidays)))</f>
        <v/>
      </c>
      <c r="AA136" s="58" t="str">
        <f aca="false">IF(Tasks[[#This Row],[Task Name]]="","",IF(Tasks[[#This Row],[_IsSummary]],MIN(INDEX(Tasks[_LeafLateStart],Tasks[[#This Row],[_Row]]+1):INDEX(Tasks[_LeafLateStart],Tasks[[#This Row],[_Row]]+Tasks[[#This Row],[_Descendants]])),Tasks[[#This Row],[_LeafLateStart]]))</f>
        <v/>
      </c>
      <c r="AB136" s="58" t="str">
        <f aca="false">IF(Tasks[[#This Row],[Task Name]]="","",IF(Tasks[[#This Row],[_IsSummary]],MAX(INDEX(Tasks[_LeafLateFinish],Tasks[[#This Row],[_Row]]+1):INDEX(Tasks[_LeafLateFinish],Tasks[[#This Row],[_Row]]+Tasks[[#This Row],[_Descendants]])),Tasks[[#This Row],[_LeafLateFinish]]))</f>
        <v/>
      </c>
      <c r="AC136" s="67" t="str">
        <f aca="false">IF(Tasks[[#This Row],[Task Name]]="","",IF(Tasks[[#This Row],[_IsSummary]],MIN(INDEX(Tasks[_LeafTotalSlack],Tasks[[#This Row],[_Row]]+1):INDEX(Tasks[_LeafTotalSlack],Tasks[[#This Row],[_Row]]+Tasks[[#This Row],[_Descendants]])),Tasks[[#This Row],[_LeafTotalSlack]]))</f>
        <v/>
      </c>
      <c r="AD13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3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3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36" s="60"/>
      <c r="AH13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3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36" s="69" t="str">
        <f aca="false">IF(Tasks[[#This Row],[Task Name]]="","",IF(Tasks[[#This Row],[_IsSummary]],SUM(INDEX(Tasks[_LeafTotalWork],Tasks[[#This Row],[_Row]]+1):INDEX(Tasks[_LeafTotalWork],Tasks[[#This Row],[_Row]]+Tasks[[#This Row],[_Descendants]])),Tasks[[#This Row],[_LeafTotalWork]]))</f>
        <v/>
      </c>
      <c r="AK13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36" s="70" t="str">
        <f aca="false">IF(Tasks[[#This Row],[Task Name]]="","",IF(Tasks[[#This Row],[_IsSummary]],SUM(INDEX(Tasks[_LeafTotalCost],Tasks[[#This Row],[_Row]]+1):INDEX(Tasks[_LeafTotalCost],Tasks[[#This Row],[_Row]]+Tasks[[#This Row],[_Descendants]])),Tasks[[#This Row],[_LeafTotalCost]]))</f>
        <v/>
      </c>
      <c r="AM136" s="71"/>
      <c r="AN136" s="20" t="str">
        <f aca="false">IF(OR(Tasks[[#This Row],[Task Name]]="",Tasks[[#This Row],[Baseline Duration]]=""),"",Tasks[[#This Row],[BL Source Duration]]-N(Tasks[[#This Row],[Baseline Duration]]))</f>
        <v/>
      </c>
      <c r="AO136" s="69" t="str">
        <f aca="false">IF(OR(Tasks[[#This Row],[Task Name]]="",Tasks[[#This Row],[Baseline Work]]=""),"",Tasks[[#This Row],[Work]]-N(Tasks[[#This Row],[Baseline Work]]))</f>
        <v/>
      </c>
      <c r="AP136" s="70" t="str">
        <f aca="false">IF(OR(Tasks[[#This Row],[Task Name]]="",Tasks[[#This Row],[Baseline Cost]]=""),"",Tasks[[#This Row],[Cost]]-N(Tasks[[#This Row],[Baseline Cost]]))</f>
        <v/>
      </c>
      <c r="AQ136" s="58" t="str">
        <f aca="false">IF(Tasks[[#This Row],[Task Name]]="","",Tasks[[#This Row],[Start]])</f>
        <v/>
      </c>
      <c r="AR136" s="58" t="str">
        <f aca="false">IF(Tasks[[#This Row],[Task Name]]="","",Tasks[[#This Row],[Finish]])</f>
        <v/>
      </c>
      <c r="AS136" s="67" t="str">
        <f aca="false">IF(Tasks[[#This Row],[Task Name]]="","",IF(Tasks[[#This Row],[_IsSummary]],NETWORKDAYS.INTL(Tasks[[#This Row],[Start]],Tasks[[#This Row],[Finish]],WorkWeek,Holidays),N(Tasks[[#This Row],[Duration]])))</f>
        <v/>
      </c>
      <c r="AT136" s="69" t="str">
        <f aca="false">IF(Tasks[[#This Row],[Task Name]]="","",Tasks[[#This Row],[Work]])</f>
        <v/>
      </c>
      <c r="AU136" s="70" t="str">
        <f aca="false">IF(Tasks[[#This Row],[Task Name]]="","",Tasks[[#This Row],[Cost]])</f>
        <v/>
      </c>
      <c r="AV136" s="7"/>
      <c r="AW136" s="7"/>
      <c r="AX136" s="21"/>
      <c r="AY136" s="72"/>
      <c r="AZ136" s="71"/>
      <c r="BA136" s="70" t="str">
        <f aca="false">IF(Tasks[[#This Row],[Task Name]]="","",IF(Tasks[[#This Row],[_IsSummary]],SUM(INDEX(Tasks[_LeafEV],Tasks[[#This Row],[_Row]]+1):INDEX(Tasks[_LeafEV],Tasks[[#This Row],[_Row]]+Tasks[[#This Row],[_Descendants]])),Tasks[[#This Row],[_LeafEV]]))</f>
        <v/>
      </c>
      <c r="BB136" s="70" t="str">
        <f aca="false">IF(Tasks[[#This Row],[Task Name]]="","",IF(Tasks[[#This Row],[_IsSummary]],SUM(INDEX(Tasks[_LeafBudget],Tasks[[#This Row],[_Row]]+1):INDEX(Tasks[_LeafBudget],Tasks[[#This Row],[_Row]]+Tasks[[#This Row],[_Descendants]])),Tasks[[#This Row],[_LeafBudget]]))</f>
        <v/>
      </c>
      <c r="BC136" s="70" t="str">
        <f aca="false">IF(Tasks[[#This Row],[Task Name]]="","",IF(Tasks[[#This Row],[_IsSummary]],SUM(INDEX(Tasks[_LeafPV],Tasks[[#This Row],[_Row]]+1):INDEX(Tasks[_LeafPV],Tasks[[#This Row],[_Row]]+Tasks[[#This Row],[_Descendants]])),Tasks[[#This Row],[_LeafPV]]))</f>
        <v/>
      </c>
      <c r="BD136" s="70" t="str">
        <f aca="false">IF(Tasks[[#This Row],[Task Name]]="","",IF(Tasks[[#This Row],[_IsSummary]],SUM(INDEX(Tasks[_LeafAC],Tasks[[#This Row],[_Row]]+1):INDEX(Tasks[_LeafAC],Tasks[[#This Row],[_Row]]+Tasks[[#This Row],[_Descendants]])),Tasks[[#This Row],[_LeafAC]]))</f>
        <v/>
      </c>
      <c r="BE136" s="45" t="str">
        <f aca="false">IF(Tasks[[#This Row],[Task Name]]="","",MAX(1,N(Tasks[[#This Row],[Level]])))</f>
        <v/>
      </c>
      <c r="BF136" s="45" t="n">
        <f aca="false">ROW()-ROW(Tasks[[#Headers],[ID]])</f>
        <v>131</v>
      </c>
      <c r="BG136" s="45" t="n">
        <f aca="false">IF(OR(Tasks[[#This Row],[Task Name]]="",Tasks[[#This Row],[_Level]]&lt;=1),0,IFERROR(LOOKUP(2,1/(Tasks[[#Headers],[_Level]]:Tasks[[#This Row],[_Level]]=Tasks[[#This Row],[_Level]]-1),ROW(Tasks[[#Headers],[_Level]]:Tasks[[#This Row],[_Level]])),0))</f>
        <v>0</v>
      </c>
      <c r="BH136" s="45" t="n">
        <f aca="false">IFERROR(N(INDEX(Tasks[_Level],Tasks[[#This Row],[_Row]]+1)),0)</f>
        <v>0</v>
      </c>
      <c r="BI136" s="73" t="b">
        <f aca="false">AND(Tasks[[#This Row],[Task Name]]&lt;&gt;"",Tasks[[#This Row],[_NextLevel]]&gt;Tasks[[#This Row],[_Level]])</f>
        <v>0</v>
      </c>
      <c r="BJ136" s="45" t="n">
        <f aca="false">IF(Tasks[[#This Row],[_IsSummary]],COUNTIF(Tasks[WBS],Tasks[[#This Row],[WBS]]&amp;".*"),0)</f>
        <v>0</v>
      </c>
      <c r="BK136" s="45" t="n">
        <f aca="false">IF(AND(Tasks[[#This Row],[Task Name]]&lt;&gt;"",NOT(Tasks[[#This Row],[_IsSummary]])),1,0)</f>
        <v>0</v>
      </c>
      <c r="BL136" s="45" t="n">
        <f aca="false">IF(N(Tasks[[#This Row],[_Pred1UID]])=0,0,IFERROR(MATCH(Tasks[[#This Row],[_Pred1UID]],Tasks[UID],0),-1))</f>
        <v>0</v>
      </c>
      <c r="BM136" s="45" t="n">
        <f aca="false">IF(N(Tasks[[#This Row],[_Pred2UID]])=0,0,IFERROR(MATCH(Tasks[[#This Row],[_Pred2UID]],Tasks[UID],0),-1))</f>
        <v>0</v>
      </c>
      <c r="BN136" s="45" t="n">
        <f aca="false">IF(N(Tasks[[#This Row],[_Pred3UID]])=0,0,IFERROR(MATCH(Tasks[[#This Row],[_Pred3UID]],Tasks[UID],0),-1))</f>
        <v>0</v>
      </c>
      <c r="BO136" s="45" t="n">
        <f aca="false">IF(N(Tasks[[#This Row],[_Pred4UID]])=0,0,IFERROR(MATCH(Tasks[[#This Row],[_Pred4UID]],Tasks[UID],0),-1))</f>
        <v>0</v>
      </c>
      <c r="BP13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3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36" s="74" t="n">
        <f aca="false">IF(OR(Tasks[[#This Row],[_ConstraintCode]]=2,Tasks[[#This Row],[_ConstraintCode]]=3,Tasks[[#This Row],[_ConstraintCode]]=4,Tasks[[#This Row],[_ConstraintCode]]=6),Tasks[[#This Row],[_ConstraintStart]],0)</f>
        <v>0</v>
      </c>
      <c r="BS136" s="74" t="n">
        <f aca="false">IF(OR(Tasks[[#This Row],[_ConstraintCode]]=2,Tasks[[#This Row],[_ConstraintCode]]=3,Tasks[[#This Row],[_ConstraintCode]]=5,Tasks[[#This Row],[_ConstraintCode]]=7),Tasks[[#This Row],[_ConstraintStart]],2958465)</f>
        <v>2958465</v>
      </c>
      <c r="BT13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36" s="74" t="str">
        <f aca="false">IF(NOT(Tasks[[#This Row],[_IsLeaf]]=1),"",IF(N(Tasks[[#This Row],[Duration]])&lt;=0,Tasks[[#This Row],[_LeafCalcStart]],WORKDAY.INTL(Tasks[[#This Row],[_LeafCalcStart]],Tasks[[#This Row],[Duration]]-1,WorkWeek,Holidays)))</f>
        <v/>
      </c>
      <c r="BV13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3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36" s="45" t="str">
        <f aca="false">IF(Tasks[[#This Row],[Predecessors]]="","",TRIM(MID(SUBSTITUTE(SUBSTITUTE(SUBSTITUTE(UPPER(Tasks[[#This Row],[Predecessors]]),";",",")," ",""),",",REPT(" ",99)),1,99)))</f>
        <v/>
      </c>
      <c r="BY136" s="45" t="str">
        <f aca="false">IF(Tasks[[#This Row],[_Pred1Text]]="","",IFERROR(VALUE(LEFT(Tasks[[#This Row],[_Pred1Text]],MIN(FIND("F",Tasks[[#This Row],[_Pred1Text]]&amp;"F"),FIND("S",Tasks[[#This Row],[_Pred1Text]]&amp;"S"),FIND("+",Tasks[[#This Row],[_Pred1Text]]&amp;"+"),FIND("-",Tasks[[#This Row],[_Pred1Text]]&amp;"-"))-1)),""))</f>
        <v/>
      </c>
      <c r="BZ13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3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36" s="45" t="str">
        <f aca="false">IF(Tasks[[#This Row],[_Pred1Text]]="","",TRIM(MID(SUBSTITUTE(SUBSTITUTE(SUBSTITUTE(UPPER(Tasks[[#This Row],[Predecessors]]),";",",")," ",""),",",REPT(" ",99)),100,99)))</f>
        <v/>
      </c>
      <c r="CC136" s="45" t="str">
        <f aca="false">IF(Tasks[[#This Row],[_Pred2Text]]="","",IFERROR(VALUE(LEFT(Tasks[[#This Row],[_Pred2Text]],MIN(FIND("F",Tasks[[#This Row],[_Pred2Text]]&amp;"F"),FIND("S",Tasks[[#This Row],[_Pred2Text]]&amp;"S"),FIND("+",Tasks[[#This Row],[_Pred2Text]]&amp;"+"),FIND("-",Tasks[[#This Row],[_Pred2Text]]&amp;"-"))-1)),""))</f>
        <v/>
      </c>
      <c r="CD13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3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36" s="45" t="str">
        <f aca="false">IF(Tasks[[#This Row],[_Pred2Text]]="","",TRIM(MID(SUBSTITUTE(SUBSTITUTE(SUBSTITUTE(UPPER(Tasks[[#This Row],[Predecessors]]),";",",")," ",""),",",REPT(" ",99)),199,99)))</f>
        <v/>
      </c>
      <c r="CG136" s="45" t="str">
        <f aca="false">IF(Tasks[[#This Row],[_Pred3Text]]="","",IFERROR(VALUE(LEFT(Tasks[[#This Row],[_Pred3Text]],MIN(FIND("F",Tasks[[#This Row],[_Pred3Text]]&amp;"F"),FIND("S",Tasks[[#This Row],[_Pred3Text]]&amp;"S"),FIND("+",Tasks[[#This Row],[_Pred3Text]]&amp;"+"),FIND("-",Tasks[[#This Row],[_Pred3Text]]&amp;"-"))-1)),""))</f>
        <v/>
      </c>
      <c r="CH13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3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36" s="45" t="str">
        <f aca="false">IF(Tasks[[#This Row],[_Pred3Text]]="","",TRIM(MID(SUBSTITUTE(SUBSTITUTE(SUBSTITUTE(UPPER(Tasks[[#This Row],[Predecessors]]),";",",")," ",""),",",REPT(" ",99)),298,99)))</f>
        <v/>
      </c>
      <c r="CK136" s="45" t="str">
        <f aca="false">IF(Tasks[[#This Row],[_Pred4Text]]="","",IFERROR(VALUE(LEFT(Tasks[[#This Row],[_Pred4Text]],MIN(FIND("F",Tasks[[#This Row],[_Pred4Text]]&amp;"F"),FIND("S",Tasks[[#This Row],[_Pred4Text]]&amp;"S"),FIND("+",Tasks[[#This Row],[_Pred4Text]]&amp;"+"),FIND("-",Tasks[[#This Row],[_Pred4Text]]&amp;"-"))-1)),""))</f>
        <v/>
      </c>
      <c r="CL13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3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36" s="45" t="str">
        <f aca="false">IF(OR(Tasks[[#This Row],[Task Name]]="",Tasks[[#This Row],[Resources]]=""),"",TRIM(MID(SUBSTITUTE(Tasks[[#This Row],[Resources]],",",REPT(" ",99)),1,99)))</f>
        <v/>
      </c>
      <c r="CO136" s="45" t="str">
        <f aca="false">IF(Tasks[[#This Row],[_Res1Text]]="","",TRIM(MID(SUBSTITUTE(Tasks[[#This Row],[Resources]],",",REPT(" ",99)),100,99)))</f>
        <v/>
      </c>
      <c r="CP136" s="45" t="str">
        <f aca="false">IF(Tasks[[#This Row],[_Res2Text]]="","",TRIM(MID(SUBSTITUTE(Tasks[[#This Row],[Resources]],",",REPT(" ",99)),199,99)))</f>
        <v/>
      </c>
      <c r="CQ136" s="45" t="str">
        <f aca="false">IF(Tasks[[#This Row],[_Res3Text]]="","",TRIM(MID(SUBSTITUTE(Tasks[[#This Row],[Resources]],",",REPT(" ",99)),298,99)))</f>
        <v/>
      </c>
      <c r="CR13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3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6" s="45" t="n">
        <f aca="false">IF(NOT(Tasks[[#This Row],[_IsLeaf]]=1),0,(Tasks[[#This Row],[_Resource1]]&lt;&gt;"")+(Tasks[[#This Row],[_Res2]]&lt;&gt;"")+(Tasks[[#This Row],[_Res3]]&lt;&gt;"")+(Tasks[[#This Row],[_Res4]]&lt;&gt;""))</f>
        <v>0</v>
      </c>
      <c r="CU13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3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6" s="45" t="n">
        <f aca="false">IF(OR(NOT(Tasks[[#This Row],[_IsLeaf]]=1),Tasks[[#This Row],[_Res2]]=""),0,IF(ISNA(MATCH(Tasks[[#This Row],[_Res2]],res_Name,0)),0,N(Tasks[[#This Row],[Duration]])*HoursPerDay*IF(Tasks[[#This Row],[_Res2Units]]="",DefaultUnits,Tasks[[#This Row],[_Res2Units]])))</f>
        <v>0</v>
      </c>
      <c r="CX136" s="45" t="n">
        <f aca="false">IF(Tasks[[#This Row],[_Res2Work]]=0,0,Tasks[[#This Row],[_Res2Work]]*IFERROR(INDEX(res_Rate,MATCH(Tasks[[#This Row],[_Res2]],res_Name,0)),0))</f>
        <v>0</v>
      </c>
      <c r="CY136" s="45" t="n">
        <f aca="false">IF(AND(AND(Tasks[[#This Row],[_IsLeaf]]=1,Tasks[[#This Row],[_LeafTotalWork]]&gt;0),Tasks[[#This Row],[_Res2Work]]&gt;0),Tasks[[#This Row],[_Res2Work]]/(Tasks[[#This Row],[_FinishWorkday]]-Tasks[[#This Row],[_StartWorkday]]+1),0)</f>
        <v>0</v>
      </c>
      <c r="CZ136" s="45" t="n">
        <f aca="false">Tasks[[#This Row],[_Res2WorkPerWD]]*MAX(0,Tasks[[#This Row],[_StartWorkday]]-1)</f>
        <v>0</v>
      </c>
      <c r="DA136" s="45" t="n">
        <f aca="false">Tasks[[#This Row],[_Res2Work]]*Tasks[[#This Row],[_LeafProgress]]</f>
        <v>0</v>
      </c>
      <c r="DB136" s="45" t="n">
        <f aca="false">IF(Tasks[[#This Row],[_LeafTotalCost]]=0,0,Tasks[[#This Row],[_LeafAC]]*Tasks[[#This Row],[_Res2Cost]]/Tasks[[#This Row],[_LeafTotalCost]])</f>
        <v>0</v>
      </c>
      <c r="DC13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3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36" s="45" t="n">
        <f aca="false">IF(OR(NOT(Tasks[[#This Row],[_IsLeaf]]=1),Tasks[[#This Row],[_Res3]]=""),0,IF(ISNA(MATCH(Tasks[[#This Row],[_Res3]],res_Name,0)),0,N(Tasks[[#This Row],[Duration]])*HoursPerDay*IF(Tasks[[#This Row],[_Res3Units]]="",DefaultUnits,Tasks[[#This Row],[_Res3Units]])))</f>
        <v>0</v>
      </c>
      <c r="DF136" s="45" t="n">
        <f aca="false">IF(Tasks[[#This Row],[_Res3Work]]=0,0,Tasks[[#This Row],[_Res3Work]]*IFERROR(INDEX(res_Rate,MATCH(Tasks[[#This Row],[_Res3]],res_Name,0)),0))</f>
        <v>0</v>
      </c>
      <c r="DG136" s="45" t="n">
        <f aca="false">IF(AND(AND(Tasks[[#This Row],[_IsLeaf]]=1,Tasks[[#This Row],[_LeafTotalWork]]&gt;0),Tasks[[#This Row],[_Res3Work]]&gt;0),Tasks[[#This Row],[_Res3Work]]/(Tasks[[#This Row],[_FinishWorkday]]-Tasks[[#This Row],[_StartWorkday]]+1),0)</f>
        <v>0</v>
      </c>
      <c r="DH136" s="45" t="n">
        <f aca="false">Tasks[[#This Row],[_Res3WorkPerWD]]*MAX(0,Tasks[[#This Row],[_StartWorkday]]-1)</f>
        <v>0</v>
      </c>
      <c r="DI136" s="45" t="n">
        <f aca="false">Tasks[[#This Row],[_Res3Work]]*Tasks[[#This Row],[_LeafProgress]]</f>
        <v>0</v>
      </c>
      <c r="DJ136" s="45" t="n">
        <f aca="false">IF(Tasks[[#This Row],[_LeafTotalCost]]=0,0,Tasks[[#This Row],[_LeafAC]]*Tasks[[#This Row],[_Res3Cost]]/Tasks[[#This Row],[_LeafTotalCost]])</f>
        <v>0</v>
      </c>
      <c r="DK13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3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36" s="45" t="n">
        <f aca="false">IF(OR(NOT(Tasks[[#This Row],[_IsLeaf]]=1),Tasks[[#This Row],[_Res4]]=""),0,IF(ISNA(MATCH(Tasks[[#This Row],[_Res4]],res_Name,0)),0,N(Tasks[[#This Row],[Duration]])*HoursPerDay*IF(Tasks[[#This Row],[_Res4Units]]="",DefaultUnits,Tasks[[#This Row],[_Res4Units]])))</f>
        <v>0</v>
      </c>
      <c r="DN136" s="45" t="n">
        <f aca="false">IF(Tasks[[#This Row],[_Res4Work]]=0,0,Tasks[[#This Row],[_Res4Work]]*IFERROR(INDEX(res_Rate,MATCH(Tasks[[#This Row],[_Res4]],res_Name,0)),0))</f>
        <v>0</v>
      </c>
      <c r="DO136" s="45" t="n">
        <f aca="false">IF(AND(AND(Tasks[[#This Row],[_IsLeaf]]=1,Tasks[[#This Row],[_LeafTotalWork]]&gt;0),Tasks[[#This Row],[_Res4Work]]&gt;0),Tasks[[#This Row],[_Res4Work]]/(Tasks[[#This Row],[_FinishWorkday]]-Tasks[[#This Row],[_StartWorkday]]+1),0)</f>
        <v>0</v>
      </c>
      <c r="DP136" s="45" t="n">
        <f aca="false">Tasks[[#This Row],[_Res4WorkPerWD]]*MAX(0,Tasks[[#This Row],[_StartWorkday]]-1)</f>
        <v>0</v>
      </c>
      <c r="DQ136" s="45" t="n">
        <f aca="false">Tasks[[#This Row],[_Res4Work]]*Tasks[[#This Row],[_LeafProgress]]</f>
        <v>0</v>
      </c>
      <c r="DR136" s="45" t="n">
        <f aca="false">IF(Tasks[[#This Row],[_LeafTotalCost]]=0,0,Tasks[[#This Row],[_LeafAC]]*Tasks[[#This Row],[_Res4Cost]]/Tasks[[#This Row],[_LeafTotalCost]])</f>
        <v>0</v>
      </c>
      <c r="DS136" s="45" t="n">
        <f aca="false">IF(ISNUMBER(Tasks[[#This Row],[% Complete]]),Tasks[[#This Row],[% Complete]],IF(Tasks[[#This Row],[Stage]]="",0,IFERROR(INDEX(stg_Pct,MATCH(Tasks[[#This Row],[Stage]],stg_Name,0)),0)))</f>
        <v>0</v>
      </c>
      <c r="DT136" s="45" t="n">
        <f aca="false">IF(NOT(Tasks[[#This Row],[_IsLeaf]]=1),0,IF(N(Tasks[[#This Row],[Actual Finish]])&gt;0,1,MIN(1,Tasks[[#This Row],[_Pct]])))</f>
        <v>0</v>
      </c>
      <c r="DU136" s="45" t="n">
        <f aca="false">IF(OR(NOT(Tasks[[#This Row],[_IsLeaf]]=1),Tasks[[#This Row],[_Resource1]]=""),0,IF(ISNA(MATCH(Tasks[[#This Row],[_Resource1]],res_Name,0)),0,N(Tasks[[#This Row],[Duration]])*HoursPerDay*IF(Tasks[[#This Row],[_Units1]]="",DefaultUnits,Tasks[[#This Row],[_Units1]])))</f>
        <v>0</v>
      </c>
      <c r="DV136" s="45" t="n">
        <f aca="false">IF(Tasks[[#This Row],[_LeafWork]]=0,0,Tasks[[#This Row],[_LeafWork]]*IFERROR(INDEX(res_Rate,MATCH(Tasks[[#This Row],[_Resource1]],res_Name,0)),0))</f>
        <v>0</v>
      </c>
      <c r="DW136" s="45" t="n">
        <f aca="false">Tasks[[#This Row],[_LeafWork]]+Tasks[[#This Row],[_Res2Work]]+Tasks[[#This Row],[_Res3Work]]+Tasks[[#This Row],[_Res4Work]]</f>
        <v>0</v>
      </c>
      <c r="DX136" s="45" t="n">
        <f aca="false">Tasks[[#This Row],[_LeafCost]]+Tasks[[#This Row],[_Res2Cost]]+Tasks[[#This Row],[_Res3Cost]]+Tasks[[#This Row],[_Res4Cost]]</f>
        <v>0</v>
      </c>
      <c r="DY136" s="45" t="n">
        <f aca="false">IF(Tasks[[#This Row],[_LeafTotalCost]]=0,Tasks[[#This Row],[_LeafAC]],Tasks[[#This Row],[_LeafAC]]*Tasks[[#This Row],[_LeafCost]]/Tasks[[#This Row],[_LeafTotalCost]])</f>
        <v>0</v>
      </c>
      <c r="DZ13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3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3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3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3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3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3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3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36" s="45" t="n">
        <f aca="false">IF(NOT(Tasks[[#This Row],[_IsLeaf]]=1),0,MAX(_xlfn.MAXIFS(Tasks[_Row],Tasks[_Pred1UID],Tasks[[#This Row],[UID]]),_xlfn.MAXIFS(Tasks[_Row],Tasks[_Pred2UID],Tasks[[#This Row],[UID]]),_xlfn.MAXIFS(Tasks[_Row],Tasks[_Pred3UID],Tasks[[#This Row],[UID]]),_xlfn.MAXIFS(Tasks[_Row],Tasks[_Pred4UID],Tasks[[#This Row],[UID]])))</f>
        <v>0</v>
      </c>
      <c r="EI13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3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36" s="74" t="str">
        <f aca="false">IF(NOT(Tasks[[#This Row],[_IsLeaf]]=1),"",IF(N(Tasks[[#This Row],[Duration]])&lt;=0,Tasks[[#This Row],[_LeafLateFinish]],WORKDAY.INTL(Tasks[[#This Row],[_LeafLateFinish]],-(Tasks[[#This Row],[Duration]]-1),WorkWeek,Holidays)))</f>
        <v/>
      </c>
      <c r="EL13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36" s="73" t="b">
        <f aca="false">AND(Tasks[[#This Row],[_IsLeaf]]=1,Tasks[[#This Row],[_LeafProgress]]&lt;1,N(Tasks[[#This Row],[_LeafTotalSlack]])&lt;=CriticalSlackDays)</f>
        <v>0</v>
      </c>
      <c r="EN136" s="45" t="n">
        <f aca="false">IF(AND(Tasks[[#This Row],[_IsLeaf]]=1,Tasks[[#This Row],[_ConstraintCode]]=1,Tasks[[#This Row],[Mode]]&lt;&gt;"Manual",N(Tasks[[#This Row],[Actual Start]])=0),MAX(0,N(Tasks[[#This Row],[Free Slack]])),0)</f>
        <v>0</v>
      </c>
      <c r="EO136" s="74" t="str">
        <f aca="false">IF(NOT(Tasks[[#This Row],[_IsLeaf]]=1),"",IF(Tasks[[#This Row],[_AlapShift]]=0,Tasks[[#This Row],[_LeafCalcStart]],WORKDAY.INTL(Tasks[[#This Row],[_LeafCalcStart]],Tasks[[#This Row],[_AlapShift]],WorkWeek,Holidays)))</f>
        <v/>
      </c>
      <c r="EP136" s="74" t="str">
        <f aca="false">IF(NOT(Tasks[[#This Row],[_IsLeaf]]=1),"",IF(Tasks[[#This Row],[_AlapShift]]=0,Tasks[[#This Row],[_LeafCalcFinish]],WORKDAY.INTL(Tasks[[#This Row],[_LeafCalcFinish]],Tasks[[#This Row],[_AlapShift]],WorkWeek,Holidays)))</f>
        <v/>
      </c>
      <c r="EQ136" s="74" t="str">
        <f aca="false">IF(NOT(Tasks[[#This Row],[_IsLeaf]]=1),"",IF(Tasks[[#This Row],[_AlapShift]]=0,Tasks[[#This Row],[_LeafFcstStart]],WORKDAY.INTL(Tasks[[#This Row],[_LeafFcstStart]],Tasks[[#This Row],[_AlapShift]],WorkWeek,Holidays)))</f>
        <v/>
      </c>
      <c r="ER136" s="74" t="str">
        <f aca="false">IF(NOT(Tasks[[#This Row],[_IsLeaf]]=1),"",IF(Tasks[[#This Row],[_AlapShift]]=0,Tasks[[#This Row],[_LeafFcstFinish]],WORKDAY.INTL(Tasks[[#This Row],[_LeafFcstFinish]],Tasks[[#This Row],[_AlapShift]],WorkWeek,Holidays)))</f>
        <v/>
      </c>
      <c r="ES136" s="74" t="str">
        <f aca="false">IF(Tasks[[#This Row],[Task Name]]="","",IF(Tasks[[#This Row],[_IsSummary]],MIN(INDEX(Tasks[_ShownCalcStart],Tasks[[#This Row],[_Row]]+1):INDEX(Tasks[_ShownCalcStart],Tasks[[#This Row],[_Row]]+Tasks[[#This Row],[_Descendants]])),Tasks[[#This Row],[_ShownCalcStart]]))</f>
        <v/>
      </c>
      <c r="ET136" s="74" t="str">
        <f aca="false">IF(Tasks[[#This Row],[Task Name]]="","",IF(Tasks[[#This Row],[_IsSummary]],MAX(INDEX(Tasks[_ShownCalcFinish],Tasks[[#This Row],[_Row]]+1):INDEX(Tasks[_ShownCalcFinish],Tasks[[#This Row],[_Row]]+Tasks[[#This Row],[_Descendants]])),Tasks[[#This Row],[_ShownCalcFinish]]))</f>
        <v/>
      </c>
      <c r="EU13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3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3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3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3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3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3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3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3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3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3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3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36" s="45" t="n">
        <f aca="false">IF(AND(Tasks[[#This Row],[_IsLeaf]]=1,Tasks[[#This Row],[_LeafTotalWork]]&gt;0),NETWORKDAYS.INTL(ProjectStart,Tasks[[#This Row],[_ShownFcstStart]],WorkWeek,Holidays),0)</f>
        <v>0</v>
      </c>
      <c r="FH136" s="45" t="n">
        <f aca="false">IF(AND(Tasks[[#This Row],[_IsLeaf]]=1,Tasks[[#This Row],[_LeafTotalWork]]&gt;0),MAX(Tasks[[#This Row],[_StartWorkday]],NETWORKDAYS.INTL(ProjectStart,Tasks[[#This Row],[_ShownFcstFinish]],WorkWeek,Holidays)),0)</f>
        <v>0</v>
      </c>
      <c r="FI136" s="45" t="n">
        <f aca="false">IF(AND(Tasks[[#This Row],[_IsLeaf]]=1,Tasks[[#This Row],[_LeafTotalWork]]&gt;0),Tasks[[#This Row],[_LeafWork]]/(Tasks[[#This Row],[_FinishWorkday]]-Tasks[[#This Row],[_StartWorkday]]+1),0)</f>
        <v>0</v>
      </c>
      <c r="FJ136" s="45" t="n">
        <f aca="false">Tasks[[#This Row],[_WorkPerWorkday]]*(Tasks[[#This Row],[_StartWorkday]]-1)</f>
        <v>-0</v>
      </c>
      <c r="FK136" s="45" t="n">
        <f aca="false">IF(Tasks[[#This Row],[_IsLeaf]]=1,MAX(N(Tasks[[#This Row],[Duration]]),0.1),0)</f>
        <v>0</v>
      </c>
      <c r="FL136" s="45" t="n">
        <f aca="false">Tasks[[#This Row],[_WeightDur]]*Tasks[[#This Row],[_LeafProgress]]</f>
        <v>0</v>
      </c>
      <c r="FM13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36" s="45" t="str">
        <f aca="false">IF(AND(Tasks[[#This Row],[_IsLeaf]]=1,N(Tasks[[#This Row],[Duration]])=0,Tasks[[#This Row],[_LeafProgress]]&lt;1),Tasks[[#This Row],[_ShownFcstFinish]]+Tasks[[#This Row],[_Row]]/100000,"")</f>
        <v/>
      </c>
      <c r="FO13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36" s="45" t="n">
        <f aca="false">IF(NOT(Tasks[[#This Row],[_IsLeaf]]=1),0,IF(Tasks[[#This Row],[Baseline Cost]]="",Tasks[[#This Row],[_LeafTotalCost]],N(Tasks[[#This Row],[Baseline Cost]])))</f>
        <v>0</v>
      </c>
      <c r="FQ136" s="45" t="n">
        <f aca="false">Tasks[[#This Row],[_LeafBudget]]*Tasks[[#This Row],[_PlannedPct]]</f>
        <v>0</v>
      </c>
      <c r="FR136" s="45" t="n">
        <f aca="false">Tasks[[#This Row],[_LeafBudget]]*Tasks[[#This Row],[_LeafProgress]]</f>
        <v>0</v>
      </c>
      <c r="FS136" s="45" t="n">
        <f aca="false">IF(NOT(Tasks[[#This Row],[_IsLeaf]]=1),0,IF(Tasks[[#This Row],[Actual Cost]]="",Tasks[[#This Row],[_LeafTotalCost]]*Tasks[[#This Row],[_LeafProgress]],N(Tasks[[#This Row],[Actual Cost]])))</f>
        <v>0</v>
      </c>
      <c r="FT136" s="45" t="str">
        <f aca="false">IF(Tasks[[#This Row],[Task Name]]="","",LEFT(Tasks[[#This Row],[WBS]],FIND(".",Tasks[[#This Row],[WBS]]&amp;".")-1))</f>
        <v/>
      </c>
      <c r="FU136" s="45" t="str">
        <f aca="false">IF(AND(Tasks[[#This Row],[Task Name]]&lt;&gt;"",Tasks[[#This Row],[_Level]]=1),Tasks[[#This Row],[_Row]],"")</f>
        <v/>
      </c>
      <c r="FV136" s="45" t="str">
        <f aca="false">IF(AND(Tasks[[#This Row],[_IsLeaf]]=1,N(Tasks[[#This Row],[Duration]])=0),Tasks[[#This Row],[Planned Finish]]+Tasks[[#This Row],[_Row]]/100000,"")</f>
        <v/>
      </c>
      <c r="FW136" s="45" t="str">
        <f aca="false">IF(AND(Tasks[[#This Row],[_IsLeaf]]=1,Tasks[[#This Row],[_LeafProgress]]&lt;1,OR(N(Tasks[[#This Row],[Finish Var]])&gt;0,Tasks[[#This Row],[Status]]="Late Start")),MAX(0,Tasks[[#This Row],[Finish Var]])+1-Tasks[[#This Row],[_Row]]/1000000,"")</f>
        <v/>
      </c>
      <c r="FX136" s="45" t="str">
        <f aca="false">IF(AND(Tasks[[#This Row],[_IsLeaf]]=1,N(Tasks[[#This Row],[Actual Start]])=0,Tasks[[#This Row],[_ShownFcstStart]]&gt;=StatusDate,Tasks[[#This Row],[_ShownFcstStart]]&lt;=LookaheadEnd),Tasks[[#This Row],[_ShownFcstStart]]+Tasks[[#This Row],[_Row]]/100000,"")</f>
        <v/>
      </c>
      <c r="FY136" s="45" t="str">
        <f aca="false">IF(AND(Tasks[[#This Row],[_IsLeaf]]=1,Tasks[[#This Row],[_LeafProgress]]&lt;1,Tasks[[#This Row],[_ShownFcstFinish]]&gt;=StatusDate,Tasks[[#This Row],[_ShownFcstFinish]]&lt;=LookaheadEnd),Tasks[[#This Row],[_ShownFcstFinish]]+Tasks[[#This Row],[_Row]]/100000,"")</f>
        <v/>
      </c>
      <c r="FZ136" s="45" t="str">
        <f aca="false">IF(Tasks[[#This Row],[_LeafCritical]],Tasks[[#This Row],[_ShownFcstStart]]+Tasks[[#This Row],[_Row]]/100000,"")</f>
        <v/>
      </c>
      <c r="GA136" s="45" t="n">
        <f aca="false">Tasks[[#This Row],[_LeafWork]]*Tasks[[#This Row],[_LeafProgress]]</f>
        <v>0</v>
      </c>
      <c r="GB136" s="74" t="str">
        <f aca="false">IF(AND(Tasks[[#This Row],[_IsLeaf]]=1,Tasks[[#This Row],[_LeafProgress]]&gt;=1),IF(N(Tasks[[#This Row],[Actual Finish]])&gt;0,Tasks[[#This Row],[Actual Finish]],Tasks[[#This Row],[_ShownFcstFinish]]),"")</f>
        <v/>
      </c>
    </row>
    <row r="137" customFormat="false" ht="15" hidden="false" customHeight="false" outlineLevel="0" collapsed="false">
      <c r="A137" s="67" t="str">
        <f aca="false">IF(Tasks[[#This Row],[Task Name]]="","",COUNTA(Tasks[[#Headers],[Task Name]]:Tasks[[#This Row],[Task Name]])-1)</f>
        <v/>
      </c>
      <c r="B137" s="21" t="n">
        <v>132</v>
      </c>
      <c r="C13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21"/>
      <c r="E137" s="22"/>
      <c r="F137" s="21"/>
      <c r="G137" s="22"/>
      <c r="H137" s="22"/>
      <c r="I137" s="22"/>
      <c r="J137" s="7"/>
      <c r="K137" s="7"/>
      <c r="L137" s="22"/>
      <c r="M137" s="58" t="str">
        <f aca="false">IF(Tasks[[#This Row],[Task Name]]="","",IF(Tasks[[#This Row],[_IsSummary]],MIN(INDEX(Tasks[_ShownFcstStart],Tasks[[#This Row],[_Row]]+1):INDEX(Tasks[_ShownFcstStart],Tasks[[#This Row],[_Row]]+Tasks[[#This Row],[_Descendants]])),Tasks[[#This Row],[_ShownFcstStart]]))</f>
        <v/>
      </c>
      <c r="N137" s="58" t="str">
        <f aca="false">IF(Tasks[[#This Row],[Task Name]]="","",IF(Tasks[[#This Row],[_IsSummary]],MAX(INDEX(Tasks[_ShownFcstFinish],Tasks[[#This Row],[_Row]]+1):INDEX(Tasks[_ShownFcstFinish],Tasks[[#This Row],[_Row]]+Tasks[[#This Row],[_Descendants]])),Tasks[[#This Row],[_ShownFcstFinish]]))</f>
        <v/>
      </c>
      <c r="O137" s="20" t="str">
        <f aca="false">IF(Tasks[[#This Row],[Task Name]]="","",IF(Tasks[[#This Row],[Progress]]&gt;=1,"Complete",IF(OR(N(Tasks[[#This Row],[Actual Start]])&gt;0,Tasks[[#This Row],[Progress]]&gt;0),IF(Tasks[[#This Row],[Finish Var]]&gt;0,"Behind","In Progress"),IF(Tasks[[#This Row],[Planned Start]]&lt;StatusDate,"Late Start","Not Started"))))</f>
        <v/>
      </c>
      <c r="P137" s="20" t="str">
        <f aca="false">IF(Tasks[[#This Row],[Task Name]]="","",IF(IF(Tasks[[#This Row],[_IsSummary]],COUNTIF(INDEX(Tasks[_LeafCritical],Tasks[[#This Row],[_Row]]+1):INDEX(Tasks[_LeafCritical],Tasks[[#This Row],[_Row]]+Tasks[[#This Row],[_Descendants]]),TRUE())&gt;0,Tasks[[#This Row],[_LeafCritical]]),"Yes",""))</f>
        <v/>
      </c>
      <c r="Q13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37" s="67" t="str">
        <f aca="false">IF(Tasks[[#This Row],[Task Name]]="","",IF(Tasks[[#This Row],[_Level]]&lt;=OutlineShowLevel,"Yes","No"))</f>
        <v/>
      </c>
      <c r="S137" s="7"/>
      <c r="T137" s="21"/>
      <c r="U137" s="22"/>
      <c r="V137" s="7"/>
      <c r="W137" s="67" t="str">
        <f aca="false">IF(Tasks[[#This Row],[Task Name]]="","",IF(Tasks[[#This Row],[Finish]]&gt;=Tasks[[#This Row],[Planned Finish]],NETWORKDAYS.INTL(Tasks[[#This Row],[Planned Finish]],Tasks[[#This Row],[Finish]],WorkWeek,Holidays)-1,1-NETWORKDAYS.INTL(Tasks[[#This Row],[Finish]],Tasks[[#This Row],[Planned Finish]],WorkWeek,Holidays)))</f>
        <v/>
      </c>
      <c r="X137" s="58" t="str">
        <f aca="false">IF(Tasks[[#This Row],[Task Name]]="","",IF(N(Tasks[[#This Row],[Baseline Start]])&gt;0,Tasks[[#This Row],[Baseline Start]],Tasks[[#This Row],[_CalcStart]]))</f>
        <v/>
      </c>
      <c r="Y137" s="58" t="str">
        <f aca="false">IF(Tasks[[#This Row],[Task Name]]="","",IF(N(Tasks[[#This Row],[Baseline Finish]])&gt;0,Tasks[[#This Row],[Baseline Finish]],Tasks[[#This Row],[_CalcFinish]]))</f>
        <v/>
      </c>
      <c r="Z137" s="67" t="str">
        <f aca="false">IF(Tasks[[#This Row],[Task Name]]="","",IF(Tasks[[#This Row],[Start]]&gt;=Tasks[[#This Row],[Planned Start]],NETWORKDAYS.INTL(Tasks[[#This Row],[Planned Start]],Tasks[[#This Row],[Start]],WorkWeek,Holidays)-1,1-NETWORKDAYS.INTL(Tasks[[#This Row],[Start]],Tasks[[#This Row],[Planned Start]],WorkWeek,Holidays)))</f>
        <v/>
      </c>
      <c r="AA137" s="58" t="str">
        <f aca="false">IF(Tasks[[#This Row],[Task Name]]="","",IF(Tasks[[#This Row],[_IsSummary]],MIN(INDEX(Tasks[_LeafLateStart],Tasks[[#This Row],[_Row]]+1):INDEX(Tasks[_LeafLateStart],Tasks[[#This Row],[_Row]]+Tasks[[#This Row],[_Descendants]])),Tasks[[#This Row],[_LeafLateStart]]))</f>
        <v/>
      </c>
      <c r="AB137" s="58" t="str">
        <f aca="false">IF(Tasks[[#This Row],[Task Name]]="","",IF(Tasks[[#This Row],[_IsSummary]],MAX(INDEX(Tasks[_LeafLateFinish],Tasks[[#This Row],[_Row]]+1):INDEX(Tasks[_LeafLateFinish],Tasks[[#This Row],[_Row]]+Tasks[[#This Row],[_Descendants]])),Tasks[[#This Row],[_LeafLateFinish]]))</f>
        <v/>
      </c>
      <c r="AC137" s="67" t="str">
        <f aca="false">IF(Tasks[[#This Row],[Task Name]]="","",IF(Tasks[[#This Row],[_IsSummary]],MIN(INDEX(Tasks[_LeafTotalSlack],Tasks[[#This Row],[_Row]]+1):INDEX(Tasks[_LeafTotalSlack],Tasks[[#This Row],[_Row]]+Tasks[[#This Row],[_Descendants]])),Tasks[[#This Row],[_LeafTotalSlack]]))</f>
        <v/>
      </c>
      <c r="AD13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3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3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37" s="60"/>
      <c r="AH13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3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37" s="69" t="str">
        <f aca="false">IF(Tasks[[#This Row],[Task Name]]="","",IF(Tasks[[#This Row],[_IsSummary]],SUM(INDEX(Tasks[_LeafTotalWork],Tasks[[#This Row],[_Row]]+1):INDEX(Tasks[_LeafTotalWork],Tasks[[#This Row],[_Row]]+Tasks[[#This Row],[_Descendants]])),Tasks[[#This Row],[_LeafTotalWork]]))</f>
        <v/>
      </c>
      <c r="AK13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37" s="70" t="str">
        <f aca="false">IF(Tasks[[#This Row],[Task Name]]="","",IF(Tasks[[#This Row],[_IsSummary]],SUM(INDEX(Tasks[_LeafTotalCost],Tasks[[#This Row],[_Row]]+1):INDEX(Tasks[_LeafTotalCost],Tasks[[#This Row],[_Row]]+Tasks[[#This Row],[_Descendants]])),Tasks[[#This Row],[_LeafTotalCost]]))</f>
        <v/>
      </c>
      <c r="AM137" s="71"/>
      <c r="AN137" s="20" t="str">
        <f aca="false">IF(OR(Tasks[[#This Row],[Task Name]]="",Tasks[[#This Row],[Baseline Duration]]=""),"",Tasks[[#This Row],[BL Source Duration]]-N(Tasks[[#This Row],[Baseline Duration]]))</f>
        <v/>
      </c>
      <c r="AO137" s="69" t="str">
        <f aca="false">IF(OR(Tasks[[#This Row],[Task Name]]="",Tasks[[#This Row],[Baseline Work]]=""),"",Tasks[[#This Row],[Work]]-N(Tasks[[#This Row],[Baseline Work]]))</f>
        <v/>
      </c>
      <c r="AP137" s="70" t="str">
        <f aca="false">IF(OR(Tasks[[#This Row],[Task Name]]="",Tasks[[#This Row],[Baseline Cost]]=""),"",Tasks[[#This Row],[Cost]]-N(Tasks[[#This Row],[Baseline Cost]]))</f>
        <v/>
      </c>
      <c r="AQ137" s="58" t="str">
        <f aca="false">IF(Tasks[[#This Row],[Task Name]]="","",Tasks[[#This Row],[Start]])</f>
        <v/>
      </c>
      <c r="AR137" s="58" t="str">
        <f aca="false">IF(Tasks[[#This Row],[Task Name]]="","",Tasks[[#This Row],[Finish]])</f>
        <v/>
      </c>
      <c r="AS137" s="67" t="str">
        <f aca="false">IF(Tasks[[#This Row],[Task Name]]="","",IF(Tasks[[#This Row],[_IsSummary]],NETWORKDAYS.INTL(Tasks[[#This Row],[Start]],Tasks[[#This Row],[Finish]],WorkWeek,Holidays),N(Tasks[[#This Row],[Duration]])))</f>
        <v/>
      </c>
      <c r="AT137" s="69" t="str">
        <f aca="false">IF(Tasks[[#This Row],[Task Name]]="","",Tasks[[#This Row],[Work]])</f>
        <v/>
      </c>
      <c r="AU137" s="70" t="str">
        <f aca="false">IF(Tasks[[#This Row],[Task Name]]="","",Tasks[[#This Row],[Cost]])</f>
        <v/>
      </c>
      <c r="AV137" s="7"/>
      <c r="AW137" s="7"/>
      <c r="AX137" s="21"/>
      <c r="AY137" s="72"/>
      <c r="AZ137" s="71"/>
      <c r="BA137" s="70" t="str">
        <f aca="false">IF(Tasks[[#This Row],[Task Name]]="","",IF(Tasks[[#This Row],[_IsSummary]],SUM(INDEX(Tasks[_LeafEV],Tasks[[#This Row],[_Row]]+1):INDEX(Tasks[_LeafEV],Tasks[[#This Row],[_Row]]+Tasks[[#This Row],[_Descendants]])),Tasks[[#This Row],[_LeafEV]]))</f>
        <v/>
      </c>
      <c r="BB137" s="70" t="str">
        <f aca="false">IF(Tasks[[#This Row],[Task Name]]="","",IF(Tasks[[#This Row],[_IsSummary]],SUM(INDEX(Tasks[_LeafBudget],Tasks[[#This Row],[_Row]]+1):INDEX(Tasks[_LeafBudget],Tasks[[#This Row],[_Row]]+Tasks[[#This Row],[_Descendants]])),Tasks[[#This Row],[_LeafBudget]]))</f>
        <v/>
      </c>
      <c r="BC137" s="70" t="str">
        <f aca="false">IF(Tasks[[#This Row],[Task Name]]="","",IF(Tasks[[#This Row],[_IsSummary]],SUM(INDEX(Tasks[_LeafPV],Tasks[[#This Row],[_Row]]+1):INDEX(Tasks[_LeafPV],Tasks[[#This Row],[_Row]]+Tasks[[#This Row],[_Descendants]])),Tasks[[#This Row],[_LeafPV]]))</f>
        <v/>
      </c>
      <c r="BD137" s="70" t="str">
        <f aca="false">IF(Tasks[[#This Row],[Task Name]]="","",IF(Tasks[[#This Row],[_IsSummary]],SUM(INDEX(Tasks[_LeafAC],Tasks[[#This Row],[_Row]]+1):INDEX(Tasks[_LeafAC],Tasks[[#This Row],[_Row]]+Tasks[[#This Row],[_Descendants]])),Tasks[[#This Row],[_LeafAC]]))</f>
        <v/>
      </c>
      <c r="BE137" s="45" t="str">
        <f aca="false">IF(Tasks[[#This Row],[Task Name]]="","",MAX(1,N(Tasks[[#This Row],[Level]])))</f>
        <v/>
      </c>
      <c r="BF137" s="45" t="n">
        <f aca="false">ROW()-ROW(Tasks[[#Headers],[ID]])</f>
        <v>132</v>
      </c>
      <c r="BG137" s="45" t="n">
        <f aca="false">IF(OR(Tasks[[#This Row],[Task Name]]="",Tasks[[#This Row],[_Level]]&lt;=1),0,IFERROR(LOOKUP(2,1/(Tasks[[#Headers],[_Level]]:Tasks[[#This Row],[_Level]]=Tasks[[#This Row],[_Level]]-1),ROW(Tasks[[#Headers],[_Level]]:Tasks[[#This Row],[_Level]])),0))</f>
        <v>0</v>
      </c>
      <c r="BH137" s="45" t="n">
        <f aca="false">IFERROR(N(INDEX(Tasks[_Level],Tasks[[#This Row],[_Row]]+1)),0)</f>
        <v>0</v>
      </c>
      <c r="BI137" s="73" t="b">
        <f aca="false">AND(Tasks[[#This Row],[Task Name]]&lt;&gt;"",Tasks[[#This Row],[_NextLevel]]&gt;Tasks[[#This Row],[_Level]])</f>
        <v>0</v>
      </c>
      <c r="BJ137" s="45" t="n">
        <f aca="false">IF(Tasks[[#This Row],[_IsSummary]],COUNTIF(Tasks[WBS],Tasks[[#This Row],[WBS]]&amp;".*"),0)</f>
        <v>0</v>
      </c>
      <c r="BK137" s="45" t="n">
        <f aca="false">IF(AND(Tasks[[#This Row],[Task Name]]&lt;&gt;"",NOT(Tasks[[#This Row],[_IsSummary]])),1,0)</f>
        <v>0</v>
      </c>
      <c r="BL137" s="45" t="n">
        <f aca="false">IF(N(Tasks[[#This Row],[_Pred1UID]])=0,0,IFERROR(MATCH(Tasks[[#This Row],[_Pred1UID]],Tasks[UID],0),-1))</f>
        <v>0</v>
      </c>
      <c r="BM137" s="45" t="n">
        <f aca="false">IF(N(Tasks[[#This Row],[_Pred2UID]])=0,0,IFERROR(MATCH(Tasks[[#This Row],[_Pred2UID]],Tasks[UID],0),-1))</f>
        <v>0</v>
      </c>
      <c r="BN137" s="45" t="n">
        <f aca="false">IF(N(Tasks[[#This Row],[_Pred3UID]])=0,0,IFERROR(MATCH(Tasks[[#This Row],[_Pred3UID]],Tasks[UID],0),-1))</f>
        <v>0</v>
      </c>
      <c r="BO137" s="45" t="n">
        <f aca="false">IF(N(Tasks[[#This Row],[_Pred4UID]])=0,0,IFERROR(MATCH(Tasks[[#This Row],[_Pred4UID]],Tasks[UID],0),-1))</f>
        <v>0</v>
      </c>
      <c r="BP13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3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37" s="74" t="n">
        <f aca="false">IF(OR(Tasks[[#This Row],[_ConstraintCode]]=2,Tasks[[#This Row],[_ConstraintCode]]=3,Tasks[[#This Row],[_ConstraintCode]]=4,Tasks[[#This Row],[_ConstraintCode]]=6),Tasks[[#This Row],[_ConstraintStart]],0)</f>
        <v>0</v>
      </c>
      <c r="BS137" s="74" t="n">
        <f aca="false">IF(OR(Tasks[[#This Row],[_ConstraintCode]]=2,Tasks[[#This Row],[_ConstraintCode]]=3,Tasks[[#This Row],[_ConstraintCode]]=5,Tasks[[#This Row],[_ConstraintCode]]=7),Tasks[[#This Row],[_ConstraintStart]],2958465)</f>
        <v>2958465</v>
      </c>
      <c r="BT13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37" s="74" t="str">
        <f aca="false">IF(NOT(Tasks[[#This Row],[_IsLeaf]]=1),"",IF(N(Tasks[[#This Row],[Duration]])&lt;=0,Tasks[[#This Row],[_LeafCalcStart]],WORKDAY.INTL(Tasks[[#This Row],[_LeafCalcStart]],Tasks[[#This Row],[Duration]]-1,WorkWeek,Holidays)))</f>
        <v/>
      </c>
      <c r="BV13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3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37" s="45" t="str">
        <f aca="false">IF(Tasks[[#This Row],[Predecessors]]="","",TRIM(MID(SUBSTITUTE(SUBSTITUTE(SUBSTITUTE(UPPER(Tasks[[#This Row],[Predecessors]]),";",",")," ",""),",",REPT(" ",99)),1,99)))</f>
        <v/>
      </c>
      <c r="BY137" s="45" t="str">
        <f aca="false">IF(Tasks[[#This Row],[_Pred1Text]]="","",IFERROR(VALUE(LEFT(Tasks[[#This Row],[_Pred1Text]],MIN(FIND("F",Tasks[[#This Row],[_Pred1Text]]&amp;"F"),FIND("S",Tasks[[#This Row],[_Pred1Text]]&amp;"S"),FIND("+",Tasks[[#This Row],[_Pred1Text]]&amp;"+"),FIND("-",Tasks[[#This Row],[_Pred1Text]]&amp;"-"))-1)),""))</f>
        <v/>
      </c>
      <c r="BZ13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3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37" s="45" t="str">
        <f aca="false">IF(Tasks[[#This Row],[_Pred1Text]]="","",TRIM(MID(SUBSTITUTE(SUBSTITUTE(SUBSTITUTE(UPPER(Tasks[[#This Row],[Predecessors]]),";",",")," ",""),",",REPT(" ",99)),100,99)))</f>
        <v/>
      </c>
      <c r="CC137" s="45" t="str">
        <f aca="false">IF(Tasks[[#This Row],[_Pred2Text]]="","",IFERROR(VALUE(LEFT(Tasks[[#This Row],[_Pred2Text]],MIN(FIND("F",Tasks[[#This Row],[_Pred2Text]]&amp;"F"),FIND("S",Tasks[[#This Row],[_Pred2Text]]&amp;"S"),FIND("+",Tasks[[#This Row],[_Pred2Text]]&amp;"+"),FIND("-",Tasks[[#This Row],[_Pred2Text]]&amp;"-"))-1)),""))</f>
        <v/>
      </c>
      <c r="CD13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3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37" s="45" t="str">
        <f aca="false">IF(Tasks[[#This Row],[_Pred2Text]]="","",TRIM(MID(SUBSTITUTE(SUBSTITUTE(SUBSTITUTE(UPPER(Tasks[[#This Row],[Predecessors]]),";",",")," ",""),",",REPT(" ",99)),199,99)))</f>
        <v/>
      </c>
      <c r="CG137" s="45" t="str">
        <f aca="false">IF(Tasks[[#This Row],[_Pred3Text]]="","",IFERROR(VALUE(LEFT(Tasks[[#This Row],[_Pred3Text]],MIN(FIND("F",Tasks[[#This Row],[_Pred3Text]]&amp;"F"),FIND("S",Tasks[[#This Row],[_Pred3Text]]&amp;"S"),FIND("+",Tasks[[#This Row],[_Pred3Text]]&amp;"+"),FIND("-",Tasks[[#This Row],[_Pred3Text]]&amp;"-"))-1)),""))</f>
        <v/>
      </c>
      <c r="CH13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3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37" s="45" t="str">
        <f aca="false">IF(Tasks[[#This Row],[_Pred3Text]]="","",TRIM(MID(SUBSTITUTE(SUBSTITUTE(SUBSTITUTE(UPPER(Tasks[[#This Row],[Predecessors]]),";",",")," ",""),",",REPT(" ",99)),298,99)))</f>
        <v/>
      </c>
      <c r="CK137" s="45" t="str">
        <f aca="false">IF(Tasks[[#This Row],[_Pred4Text]]="","",IFERROR(VALUE(LEFT(Tasks[[#This Row],[_Pred4Text]],MIN(FIND("F",Tasks[[#This Row],[_Pred4Text]]&amp;"F"),FIND("S",Tasks[[#This Row],[_Pred4Text]]&amp;"S"),FIND("+",Tasks[[#This Row],[_Pred4Text]]&amp;"+"),FIND("-",Tasks[[#This Row],[_Pred4Text]]&amp;"-"))-1)),""))</f>
        <v/>
      </c>
      <c r="CL13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3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37" s="45" t="str">
        <f aca="false">IF(OR(Tasks[[#This Row],[Task Name]]="",Tasks[[#This Row],[Resources]]=""),"",TRIM(MID(SUBSTITUTE(Tasks[[#This Row],[Resources]],",",REPT(" ",99)),1,99)))</f>
        <v/>
      </c>
      <c r="CO137" s="45" t="str">
        <f aca="false">IF(Tasks[[#This Row],[_Res1Text]]="","",TRIM(MID(SUBSTITUTE(Tasks[[#This Row],[Resources]],",",REPT(" ",99)),100,99)))</f>
        <v/>
      </c>
      <c r="CP137" s="45" t="str">
        <f aca="false">IF(Tasks[[#This Row],[_Res2Text]]="","",TRIM(MID(SUBSTITUTE(Tasks[[#This Row],[Resources]],",",REPT(" ",99)),199,99)))</f>
        <v/>
      </c>
      <c r="CQ137" s="45" t="str">
        <f aca="false">IF(Tasks[[#This Row],[_Res3Text]]="","",TRIM(MID(SUBSTITUTE(Tasks[[#This Row],[Resources]],",",REPT(" ",99)),298,99)))</f>
        <v/>
      </c>
      <c r="CR13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3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7" s="45" t="n">
        <f aca="false">IF(NOT(Tasks[[#This Row],[_IsLeaf]]=1),0,(Tasks[[#This Row],[_Resource1]]&lt;&gt;"")+(Tasks[[#This Row],[_Res2]]&lt;&gt;"")+(Tasks[[#This Row],[_Res3]]&lt;&gt;"")+(Tasks[[#This Row],[_Res4]]&lt;&gt;""))</f>
        <v>0</v>
      </c>
      <c r="CU13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3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7" s="45" t="n">
        <f aca="false">IF(OR(NOT(Tasks[[#This Row],[_IsLeaf]]=1),Tasks[[#This Row],[_Res2]]=""),0,IF(ISNA(MATCH(Tasks[[#This Row],[_Res2]],res_Name,0)),0,N(Tasks[[#This Row],[Duration]])*HoursPerDay*IF(Tasks[[#This Row],[_Res2Units]]="",DefaultUnits,Tasks[[#This Row],[_Res2Units]])))</f>
        <v>0</v>
      </c>
      <c r="CX137" s="45" t="n">
        <f aca="false">IF(Tasks[[#This Row],[_Res2Work]]=0,0,Tasks[[#This Row],[_Res2Work]]*IFERROR(INDEX(res_Rate,MATCH(Tasks[[#This Row],[_Res2]],res_Name,0)),0))</f>
        <v>0</v>
      </c>
      <c r="CY137" s="45" t="n">
        <f aca="false">IF(AND(AND(Tasks[[#This Row],[_IsLeaf]]=1,Tasks[[#This Row],[_LeafTotalWork]]&gt;0),Tasks[[#This Row],[_Res2Work]]&gt;0),Tasks[[#This Row],[_Res2Work]]/(Tasks[[#This Row],[_FinishWorkday]]-Tasks[[#This Row],[_StartWorkday]]+1),0)</f>
        <v>0</v>
      </c>
      <c r="CZ137" s="45" t="n">
        <f aca="false">Tasks[[#This Row],[_Res2WorkPerWD]]*MAX(0,Tasks[[#This Row],[_StartWorkday]]-1)</f>
        <v>0</v>
      </c>
      <c r="DA137" s="45" t="n">
        <f aca="false">Tasks[[#This Row],[_Res2Work]]*Tasks[[#This Row],[_LeafProgress]]</f>
        <v>0</v>
      </c>
      <c r="DB137" s="45" t="n">
        <f aca="false">IF(Tasks[[#This Row],[_LeafTotalCost]]=0,0,Tasks[[#This Row],[_LeafAC]]*Tasks[[#This Row],[_Res2Cost]]/Tasks[[#This Row],[_LeafTotalCost]])</f>
        <v>0</v>
      </c>
      <c r="DC13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3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37" s="45" t="n">
        <f aca="false">IF(OR(NOT(Tasks[[#This Row],[_IsLeaf]]=1),Tasks[[#This Row],[_Res3]]=""),0,IF(ISNA(MATCH(Tasks[[#This Row],[_Res3]],res_Name,0)),0,N(Tasks[[#This Row],[Duration]])*HoursPerDay*IF(Tasks[[#This Row],[_Res3Units]]="",DefaultUnits,Tasks[[#This Row],[_Res3Units]])))</f>
        <v>0</v>
      </c>
      <c r="DF137" s="45" t="n">
        <f aca="false">IF(Tasks[[#This Row],[_Res3Work]]=0,0,Tasks[[#This Row],[_Res3Work]]*IFERROR(INDEX(res_Rate,MATCH(Tasks[[#This Row],[_Res3]],res_Name,0)),0))</f>
        <v>0</v>
      </c>
      <c r="DG137" s="45" t="n">
        <f aca="false">IF(AND(AND(Tasks[[#This Row],[_IsLeaf]]=1,Tasks[[#This Row],[_LeafTotalWork]]&gt;0),Tasks[[#This Row],[_Res3Work]]&gt;0),Tasks[[#This Row],[_Res3Work]]/(Tasks[[#This Row],[_FinishWorkday]]-Tasks[[#This Row],[_StartWorkday]]+1),0)</f>
        <v>0</v>
      </c>
      <c r="DH137" s="45" t="n">
        <f aca="false">Tasks[[#This Row],[_Res3WorkPerWD]]*MAX(0,Tasks[[#This Row],[_StartWorkday]]-1)</f>
        <v>0</v>
      </c>
      <c r="DI137" s="45" t="n">
        <f aca="false">Tasks[[#This Row],[_Res3Work]]*Tasks[[#This Row],[_LeafProgress]]</f>
        <v>0</v>
      </c>
      <c r="DJ137" s="45" t="n">
        <f aca="false">IF(Tasks[[#This Row],[_LeafTotalCost]]=0,0,Tasks[[#This Row],[_LeafAC]]*Tasks[[#This Row],[_Res3Cost]]/Tasks[[#This Row],[_LeafTotalCost]])</f>
        <v>0</v>
      </c>
      <c r="DK13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3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37" s="45" t="n">
        <f aca="false">IF(OR(NOT(Tasks[[#This Row],[_IsLeaf]]=1),Tasks[[#This Row],[_Res4]]=""),0,IF(ISNA(MATCH(Tasks[[#This Row],[_Res4]],res_Name,0)),0,N(Tasks[[#This Row],[Duration]])*HoursPerDay*IF(Tasks[[#This Row],[_Res4Units]]="",DefaultUnits,Tasks[[#This Row],[_Res4Units]])))</f>
        <v>0</v>
      </c>
      <c r="DN137" s="45" t="n">
        <f aca="false">IF(Tasks[[#This Row],[_Res4Work]]=0,0,Tasks[[#This Row],[_Res4Work]]*IFERROR(INDEX(res_Rate,MATCH(Tasks[[#This Row],[_Res4]],res_Name,0)),0))</f>
        <v>0</v>
      </c>
      <c r="DO137" s="45" t="n">
        <f aca="false">IF(AND(AND(Tasks[[#This Row],[_IsLeaf]]=1,Tasks[[#This Row],[_LeafTotalWork]]&gt;0),Tasks[[#This Row],[_Res4Work]]&gt;0),Tasks[[#This Row],[_Res4Work]]/(Tasks[[#This Row],[_FinishWorkday]]-Tasks[[#This Row],[_StartWorkday]]+1),0)</f>
        <v>0</v>
      </c>
      <c r="DP137" s="45" t="n">
        <f aca="false">Tasks[[#This Row],[_Res4WorkPerWD]]*MAX(0,Tasks[[#This Row],[_StartWorkday]]-1)</f>
        <v>0</v>
      </c>
      <c r="DQ137" s="45" t="n">
        <f aca="false">Tasks[[#This Row],[_Res4Work]]*Tasks[[#This Row],[_LeafProgress]]</f>
        <v>0</v>
      </c>
      <c r="DR137" s="45" t="n">
        <f aca="false">IF(Tasks[[#This Row],[_LeafTotalCost]]=0,0,Tasks[[#This Row],[_LeafAC]]*Tasks[[#This Row],[_Res4Cost]]/Tasks[[#This Row],[_LeafTotalCost]])</f>
        <v>0</v>
      </c>
      <c r="DS137" s="45" t="n">
        <f aca="false">IF(ISNUMBER(Tasks[[#This Row],[% Complete]]),Tasks[[#This Row],[% Complete]],IF(Tasks[[#This Row],[Stage]]="",0,IFERROR(INDEX(stg_Pct,MATCH(Tasks[[#This Row],[Stage]],stg_Name,0)),0)))</f>
        <v>0</v>
      </c>
      <c r="DT137" s="45" t="n">
        <f aca="false">IF(NOT(Tasks[[#This Row],[_IsLeaf]]=1),0,IF(N(Tasks[[#This Row],[Actual Finish]])&gt;0,1,MIN(1,Tasks[[#This Row],[_Pct]])))</f>
        <v>0</v>
      </c>
      <c r="DU137" s="45" t="n">
        <f aca="false">IF(OR(NOT(Tasks[[#This Row],[_IsLeaf]]=1),Tasks[[#This Row],[_Resource1]]=""),0,IF(ISNA(MATCH(Tasks[[#This Row],[_Resource1]],res_Name,0)),0,N(Tasks[[#This Row],[Duration]])*HoursPerDay*IF(Tasks[[#This Row],[_Units1]]="",DefaultUnits,Tasks[[#This Row],[_Units1]])))</f>
        <v>0</v>
      </c>
      <c r="DV137" s="45" t="n">
        <f aca="false">IF(Tasks[[#This Row],[_LeafWork]]=0,0,Tasks[[#This Row],[_LeafWork]]*IFERROR(INDEX(res_Rate,MATCH(Tasks[[#This Row],[_Resource1]],res_Name,0)),0))</f>
        <v>0</v>
      </c>
      <c r="DW137" s="45" t="n">
        <f aca="false">Tasks[[#This Row],[_LeafWork]]+Tasks[[#This Row],[_Res2Work]]+Tasks[[#This Row],[_Res3Work]]+Tasks[[#This Row],[_Res4Work]]</f>
        <v>0</v>
      </c>
      <c r="DX137" s="45" t="n">
        <f aca="false">Tasks[[#This Row],[_LeafCost]]+Tasks[[#This Row],[_Res2Cost]]+Tasks[[#This Row],[_Res3Cost]]+Tasks[[#This Row],[_Res4Cost]]</f>
        <v>0</v>
      </c>
      <c r="DY137" s="45" t="n">
        <f aca="false">IF(Tasks[[#This Row],[_LeafTotalCost]]=0,Tasks[[#This Row],[_LeafAC]],Tasks[[#This Row],[_LeafAC]]*Tasks[[#This Row],[_LeafCost]]/Tasks[[#This Row],[_LeafTotalCost]])</f>
        <v>0</v>
      </c>
      <c r="DZ13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3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3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3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3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3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3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3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37" s="45" t="n">
        <f aca="false">IF(NOT(Tasks[[#This Row],[_IsLeaf]]=1),0,MAX(_xlfn.MAXIFS(Tasks[_Row],Tasks[_Pred1UID],Tasks[[#This Row],[UID]]),_xlfn.MAXIFS(Tasks[_Row],Tasks[_Pred2UID],Tasks[[#This Row],[UID]]),_xlfn.MAXIFS(Tasks[_Row],Tasks[_Pred3UID],Tasks[[#This Row],[UID]]),_xlfn.MAXIFS(Tasks[_Row],Tasks[_Pred4UID],Tasks[[#This Row],[UID]])))</f>
        <v>0</v>
      </c>
      <c r="EI13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3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37" s="74" t="str">
        <f aca="false">IF(NOT(Tasks[[#This Row],[_IsLeaf]]=1),"",IF(N(Tasks[[#This Row],[Duration]])&lt;=0,Tasks[[#This Row],[_LeafLateFinish]],WORKDAY.INTL(Tasks[[#This Row],[_LeafLateFinish]],-(Tasks[[#This Row],[Duration]]-1),WorkWeek,Holidays)))</f>
        <v/>
      </c>
      <c r="EL13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37" s="73" t="b">
        <f aca="false">AND(Tasks[[#This Row],[_IsLeaf]]=1,Tasks[[#This Row],[_LeafProgress]]&lt;1,N(Tasks[[#This Row],[_LeafTotalSlack]])&lt;=CriticalSlackDays)</f>
        <v>0</v>
      </c>
      <c r="EN137" s="45" t="n">
        <f aca="false">IF(AND(Tasks[[#This Row],[_IsLeaf]]=1,Tasks[[#This Row],[_ConstraintCode]]=1,Tasks[[#This Row],[Mode]]&lt;&gt;"Manual",N(Tasks[[#This Row],[Actual Start]])=0),MAX(0,N(Tasks[[#This Row],[Free Slack]])),0)</f>
        <v>0</v>
      </c>
      <c r="EO137" s="74" t="str">
        <f aca="false">IF(NOT(Tasks[[#This Row],[_IsLeaf]]=1),"",IF(Tasks[[#This Row],[_AlapShift]]=0,Tasks[[#This Row],[_LeafCalcStart]],WORKDAY.INTL(Tasks[[#This Row],[_LeafCalcStart]],Tasks[[#This Row],[_AlapShift]],WorkWeek,Holidays)))</f>
        <v/>
      </c>
      <c r="EP137" s="74" t="str">
        <f aca="false">IF(NOT(Tasks[[#This Row],[_IsLeaf]]=1),"",IF(Tasks[[#This Row],[_AlapShift]]=0,Tasks[[#This Row],[_LeafCalcFinish]],WORKDAY.INTL(Tasks[[#This Row],[_LeafCalcFinish]],Tasks[[#This Row],[_AlapShift]],WorkWeek,Holidays)))</f>
        <v/>
      </c>
      <c r="EQ137" s="74" t="str">
        <f aca="false">IF(NOT(Tasks[[#This Row],[_IsLeaf]]=1),"",IF(Tasks[[#This Row],[_AlapShift]]=0,Tasks[[#This Row],[_LeafFcstStart]],WORKDAY.INTL(Tasks[[#This Row],[_LeafFcstStart]],Tasks[[#This Row],[_AlapShift]],WorkWeek,Holidays)))</f>
        <v/>
      </c>
      <c r="ER137" s="74" t="str">
        <f aca="false">IF(NOT(Tasks[[#This Row],[_IsLeaf]]=1),"",IF(Tasks[[#This Row],[_AlapShift]]=0,Tasks[[#This Row],[_LeafFcstFinish]],WORKDAY.INTL(Tasks[[#This Row],[_LeafFcstFinish]],Tasks[[#This Row],[_AlapShift]],WorkWeek,Holidays)))</f>
        <v/>
      </c>
      <c r="ES137" s="74" t="str">
        <f aca="false">IF(Tasks[[#This Row],[Task Name]]="","",IF(Tasks[[#This Row],[_IsSummary]],MIN(INDEX(Tasks[_ShownCalcStart],Tasks[[#This Row],[_Row]]+1):INDEX(Tasks[_ShownCalcStart],Tasks[[#This Row],[_Row]]+Tasks[[#This Row],[_Descendants]])),Tasks[[#This Row],[_ShownCalcStart]]))</f>
        <v/>
      </c>
      <c r="ET137" s="74" t="str">
        <f aca="false">IF(Tasks[[#This Row],[Task Name]]="","",IF(Tasks[[#This Row],[_IsSummary]],MAX(INDEX(Tasks[_ShownCalcFinish],Tasks[[#This Row],[_Row]]+1):INDEX(Tasks[_ShownCalcFinish],Tasks[[#This Row],[_Row]]+Tasks[[#This Row],[_Descendants]])),Tasks[[#This Row],[_ShownCalcFinish]]))</f>
        <v/>
      </c>
      <c r="EU13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3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3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3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3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3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3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3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3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3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3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3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37" s="45" t="n">
        <f aca="false">IF(AND(Tasks[[#This Row],[_IsLeaf]]=1,Tasks[[#This Row],[_LeafTotalWork]]&gt;0),NETWORKDAYS.INTL(ProjectStart,Tasks[[#This Row],[_ShownFcstStart]],WorkWeek,Holidays),0)</f>
        <v>0</v>
      </c>
      <c r="FH137" s="45" t="n">
        <f aca="false">IF(AND(Tasks[[#This Row],[_IsLeaf]]=1,Tasks[[#This Row],[_LeafTotalWork]]&gt;0),MAX(Tasks[[#This Row],[_StartWorkday]],NETWORKDAYS.INTL(ProjectStart,Tasks[[#This Row],[_ShownFcstFinish]],WorkWeek,Holidays)),0)</f>
        <v>0</v>
      </c>
      <c r="FI137" s="45" t="n">
        <f aca="false">IF(AND(Tasks[[#This Row],[_IsLeaf]]=1,Tasks[[#This Row],[_LeafTotalWork]]&gt;0),Tasks[[#This Row],[_LeafWork]]/(Tasks[[#This Row],[_FinishWorkday]]-Tasks[[#This Row],[_StartWorkday]]+1),0)</f>
        <v>0</v>
      </c>
      <c r="FJ137" s="45" t="n">
        <f aca="false">Tasks[[#This Row],[_WorkPerWorkday]]*(Tasks[[#This Row],[_StartWorkday]]-1)</f>
        <v>-0</v>
      </c>
      <c r="FK137" s="45" t="n">
        <f aca="false">IF(Tasks[[#This Row],[_IsLeaf]]=1,MAX(N(Tasks[[#This Row],[Duration]]),0.1),0)</f>
        <v>0</v>
      </c>
      <c r="FL137" s="45" t="n">
        <f aca="false">Tasks[[#This Row],[_WeightDur]]*Tasks[[#This Row],[_LeafProgress]]</f>
        <v>0</v>
      </c>
      <c r="FM13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37" s="45" t="str">
        <f aca="false">IF(AND(Tasks[[#This Row],[_IsLeaf]]=1,N(Tasks[[#This Row],[Duration]])=0,Tasks[[#This Row],[_LeafProgress]]&lt;1),Tasks[[#This Row],[_ShownFcstFinish]]+Tasks[[#This Row],[_Row]]/100000,"")</f>
        <v/>
      </c>
      <c r="FO13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37" s="45" t="n">
        <f aca="false">IF(NOT(Tasks[[#This Row],[_IsLeaf]]=1),0,IF(Tasks[[#This Row],[Baseline Cost]]="",Tasks[[#This Row],[_LeafTotalCost]],N(Tasks[[#This Row],[Baseline Cost]])))</f>
        <v>0</v>
      </c>
      <c r="FQ137" s="45" t="n">
        <f aca="false">Tasks[[#This Row],[_LeafBudget]]*Tasks[[#This Row],[_PlannedPct]]</f>
        <v>0</v>
      </c>
      <c r="FR137" s="45" t="n">
        <f aca="false">Tasks[[#This Row],[_LeafBudget]]*Tasks[[#This Row],[_LeafProgress]]</f>
        <v>0</v>
      </c>
      <c r="FS137" s="45" t="n">
        <f aca="false">IF(NOT(Tasks[[#This Row],[_IsLeaf]]=1),0,IF(Tasks[[#This Row],[Actual Cost]]="",Tasks[[#This Row],[_LeafTotalCost]]*Tasks[[#This Row],[_LeafProgress]],N(Tasks[[#This Row],[Actual Cost]])))</f>
        <v>0</v>
      </c>
      <c r="FT137" s="45" t="str">
        <f aca="false">IF(Tasks[[#This Row],[Task Name]]="","",LEFT(Tasks[[#This Row],[WBS]],FIND(".",Tasks[[#This Row],[WBS]]&amp;".")-1))</f>
        <v/>
      </c>
      <c r="FU137" s="45" t="str">
        <f aca="false">IF(AND(Tasks[[#This Row],[Task Name]]&lt;&gt;"",Tasks[[#This Row],[_Level]]=1),Tasks[[#This Row],[_Row]],"")</f>
        <v/>
      </c>
      <c r="FV137" s="45" t="str">
        <f aca="false">IF(AND(Tasks[[#This Row],[_IsLeaf]]=1,N(Tasks[[#This Row],[Duration]])=0),Tasks[[#This Row],[Planned Finish]]+Tasks[[#This Row],[_Row]]/100000,"")</f>
        <v/>
      </c>
      <c r="FW137" s="45" t="str">
        <f aca="false">IF(AND(Tasks[[#This Row],[_IsLeaf]]=1,Tasks[[#This Row],[_LeafProgress]]&lt;1,OR(N(Tasks[[#This Row],[Finish Var]])&gt;0,Tasks[[#This Row],[Status]]="Late Start")),MAX(0,Tasks[[#This Row],[Finish Var]])+1-Tasks[[#This Row],[_Row]]/1000000,"")</f>
        <v/>
      </c>
      <c r="FX137" s="45" t="str">
        <f aca="false">IF(AND(Tasks[[#This Row],[_IsLeaf]]=1,N(Tasks[[#This Row],[Actual Start]])=0,Tasks[[#This Row],[_ShownFcstStart]]&gt;=StatusDate,Tasks[[#This Row],[_ShownFcstStart]]&lt;=LookaheadEnd),Tasks[[#This Row],[_ShownFcstStart]]+Tasks[[#This Row],[_Row]]/100000,"")</f>
        <v/>
      </c>
      <c r="FY137" s="45" t="str">
        <f aca="false">IF(AND(Tasks[[#This Row],[_IsLeaf]]=1,Tasks[[#This Row],[_LeafProgress]]&lt;1,Tasks[[#This Row],[_ShownFcstFinish]]&gt;=StatusDate,Tasks[[#This Row],[_ShownFcstFinish]]&lt;=LookaheadEnd),Tasks[[#This Row],[_ShownFcstFinish]]+Tasks[[#This Row],[_Row]]/100000,"")</f>
        <v/>
      </c>
      <c r="FZ137" s="45" t="str">
        <f aca="false">IF(Tasks[[#This Row],[_LeafCritical]],Tasks[[#This Row],[_ShownFcstStart]]+Tasks[[#This Row],[_Row]]/100000,"")</f>
        <v/>
      </c>
      <c r="GA137" s="45" t="n">
        <f aca="false">Tasks[[#This Row],[_LeafWork]]*Tasks[[#This Row],[_LeafProgress]]</f>
        <v>0</v>
      </c>
      <c r="GB137" s="74" t="str">
        <f aca="false">IF(AND(Tasks[[#This Row],[_IsLeaf]]=1,Tasks[[#This Row],[_LeafProgress]]&gt;=1),IF(N(Tasks[[#This Row],[Actual Finish]])&gt;0,Tasks[[#This Row],[Actual Finish]],Tasks[[#This Row],[_ShownFcstFinish]]),"")</f>
        <v/>
      </c>
    </row>
    <row r="138" customFormat="false" ht="15" hidden="false" customHeight="false" outlineLevel="0" collapsed="false">
      <c r="A138" s="67" t="str">
        <f aca="false">IF(Tasks[[#This Row],[Task Name]]="","",COUNTA(Tasks[[#Headers],[Task Name]]:Tasks[[#This Row],[Task Name]])-1)</f>
        <v/>
      </c>
      <c r="B138" s="21" t="n">
        <v>133</v>
      </c>
      <c r="C13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21"/>
      <c r="E138" s="22"/>
      <c r="F138" s="21"/>
      <c r="G138" s="22"/>
      <c r="H138" s="22"/>
      <c r="I138" s="22"/>
      <c r="J138" s="7"/>
      <c r="K138" s="7"/>
      <c r="L138" s="22"/>
      <c r="M138" s="58" t="str">
        <f aca="false">IF(Tasks[[#This Row],[Task Name]]="","",IF(Tasks[[#This Row],[_IsSummary]],MIN(INDEX(Tasks[_ShownFcstStart],Tasks[[#This Row],[_Row]]+1):INDEX(Tasks[_ShownFcstStart],Tasks[[#This Row],[_Row]]+Tasks[[#This Row],[_Descendants]])),Tasks[[#This Row],[_ShownFcstStart]]))</f>
        <v/>
      </c>
      <c r="N138" s="58" t="str">
        <f aca="false">IF(Tasks[[#This Row],[Task Name]]="","",IF(Tasks[[#This Row],[_IsSummary]],MAX(INDEX(Tasks[_ShownFcstFinish],Tasks[[#This Row],[_Row]]+1):INDEX(Tasks[_ShownFcstFinish],Tasks[[#This Row],[_Row]]+Tasks[[#This Row],[_Descendants]])),Tasks[[#This Row],[_ShownFcstFinish]]))</f>
        <v/>
      </c>
      <c r="O138" s="20" t="str">
        <f aca="false">IF(Tasks[[#This Row],[Task Name]]="","",IF(Tasks[[#This Row],[Progress]]&gt;=1,"Complete",IF(OR(N(Tasks[[#This Row],[Actual Start]])&gt;0,Tasks[[#This Row],[Progress]]&gt;0),IF(Tasks[[#This Row],[Finish Var]]&gt;0,"Behind","In Progress"),IF(Tasks[[#This Row],[Planned Start]]&lt;StatusDate,"Late Start","Not Started"))))</f>
        <v/>
      </c>
      <c r="P138" s="20" t="str">
        <f aca="false">IF(Tasks[[#This Row],[Task Name]]="","",IF(IF(Tasks[[#This Row],[_IsSummary]],COUNTIF(INDEX(Tasks[_LeafCritical],Tasks[[#This Row],[_Row]]+1):INDEX(Tasks[_LeafCritical],Tasks[[#This Row],[_Row]]+Tasks[[#This Row],[_Descendants]]),TRUE())&gt;0,Tasks[[#This Row],[_LeafCritical]]),"Yes",""))</f>
        <v/>
      </c>
      <c r="Q13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38" s="67" t="str">
        <f aca="false">IF(Tasks[[#This Row],[Task Name]]="","",IF(Tasks[[#This Row],[_Level]]&lt;=OutlineShowLevel,"Yes","No"))</f>
        <v/>
      </c>
      <c r="S138" s="7"/>
      <c r="T138" s="21"/>
      <c r="U138" s="22"/>
      <c r="V138" s="7"/>
      <c r="W138" s="67" t="str">
        <f aca="false">IF(Tasks[[#This Row],[Task Name]]="","",IF(Tasks[[#This Row],[Finish]]&gt;=Tasks[[#This Row],[Planned Finish]],NETWORKDAYS.INTL(Tasks[[#This Row],[Planned Finish]],Tasks[[#This Row],[Finish]],WorkWeek,Holidays)-1,1-NETWORKDAYS.INTL(Tasks[[#This Row],[Finish]],Tasks[[#This Row],[Planned Finish]],WorkWeek,Holidays)))</f>
        <v/>
      </c>
      <c r="X138" s="58" t="str">
        <f aca="false">IF(Tasks[[#This Row],[Task Name]]="","",IF(N(Tasks[[#This Row],[Baseline Start]])&gt;0,Tasks[[#This Row],[Baseline Start]],Tasks[[#This Row],[_CalcStart]]))</f>
        <v/>
      </c>
      <c r="Y138" s="58" t="str">
        <f aca="false">IF(Tasks[[#This Row],[Task Name]]="","",IF(N(Tasks[[#This Row],[Baseline Finish]])&gt;0,Tasks[[#This Row],[Baseline Finish]],Tasks[[#This Row],[_CalcFinish]]))</f>
        <v/>
      </c>
      <c r="Z138" s="67" t="str">
        <f aca="false">IF(Tasks[[#This Row],[Task Name]]="","",IF(Tasks[[#This Row],[Start]]&gt;=Tasks[[#This Row],[Planned Start]],NETWORKDAYS.INTL(Tasks[[#This Row],[Planned Start]],Tasks[[#This Row],[Start]],WorkWeek,Holidays)-1,1-NETWORKDAYS.INTL(Tasks[[#This Row],[Start]],Tasks[[#This Row],[Planned Start]],WorkWeek,Holidays)))</f>
        <v/>
      </c>
      <c r="AA138" s="58" t="str">
        <f aca="false">IF(Tasks[[#This Row],[Task Name]]="","",IF(Tasks[[#This Row],[_IsSummary]],MIN(INDEX(Tasks[_LeafLateStart],Tasks[[#This Row],[_Row]]+1):INDEX(Tasks[_LeafLateStart],Tasks[[#This Row],[_Row]]+Tasks[[#This Row],[_Descendants]])),Tasks[[#This Row],[_LeafLateStart]]))</f>
        <v/>
      </c>
      <c r="AB138" s="58" t="str">
        <f aca="false">IF(Tasks[[#This Row],[Task Name]]="","",IF(Tasks[[#This Row],[_IsSummary]],MAX(INDEX(Tasks[_LeafLateFinish],Tasks[[#This Row],[_Row]]+1):INDEX(Tasks[_LeafLateFinish],Tasks[[#This Row],[_Row]]+Tasks[[#This Row],[_Descendants]])),Tasks[[#This Row],[_LeafLateFinish]]))</f>
        <v/>
      </c>
      <c r="AC138" s="67" t="str">
        <f aca="false">IF(Tasks[[#This Row],[Task Name]]="","",IF(Tasks[[#This Row],[_IsSummary]],MIN(INDEX(Tasks[_LeafTotalSlack],Tasks[[#This Row],[_Row]]+1):INDEX(Tasks[_LeafTotalSlack],Tasks[[#This Row],[_Row]]+Tasks[[#This Row],[_Descendants]])),Tasks[[#This Row],[_LeafTotalSlack]]))</f>
        <v/>
      </c>
      <c r="AD13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3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3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38" s="60"/>
      <c r="AH13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3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38" s="69" t="str">
        <f aca="false">IF(Tasks[[#This Row],[Task Name]]="","",IF(Tasks[[#This Row],[_IsSummary]],SUM(INDEX(Tasks[_LeafTotalWork],Tasks[[#This Row],[_Row]]+1):INDEX(Tasks[_LeafTotalWork],Tasks[[#This Row],[_Row]]+Tasks[[#This Row],[_Descendants]])),Tasks[[#This Row],[_LeafTotalWork]]))</f>
        <v/>
      </c>
      <c r="AK13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38" s="70" t="str">
        <f aca="false">IF(Tasks[[#This Row],[Task Name]]="","",IF(Tasks[[#This Row],[_IsSummary]],SUM(INDEX(Tasks[_LeafTotalCost],Tasks[[#This Row],[_Row]]+1):INDEX(Tasks[_LeafTotalCost],Tasks[[#This Row],[_Row]]+Tasks[[#This Row],[_Descendants]])),Tasks[[#This Row],[_LeafTotalCost]]))</f>
        <v/>
      </c>
      <c r="AM138" s="71"/>
      <c r="AN138" s="20" t="str">
        <f aca="false">IF(OR(Tasks[[#This Row],[Task Name]]="",Tasks[[#This Row],[Baseline Duration]]=""),"",Tasks[[#This Row],[BL Source Duration]]-N(Tasks[[#This Row],[Baseline Duration]]))</f>
        <v/>
      </c>
      <c r="AO138" s="69" t="str">
        <f aca="false">IF(OR(Tasks[[#This Row],[Task Name]]="",Tasks[[#This Row],[Baseline Work]]=""),"",Tasks[[#This Row],[Work]]-N(Tasks[[#This Row],[Baseline Work]]))</f>
        <v/>
      </c>
      <c r="AP138" s="70" t="str">
        <f aca="false">IF(OR(Tasks[[#This Row],[Task Name]]="",Tasks[[#This Row],[Baseline Cost]]=""),"",Tasks[[#This Row],[Cost]]-N(Tasks[[#This Row],[Baseline Cost]]))</f>
        <v/>
      </c>
      <c r="AQ138" s="58" t="str">
        <f aca="false">IF(Tasks[[#This Row],[Task Name]]="","",Tasks[[#This Row],[Start]])</f>
        <v/>
      </c>
      <c r="AR138" s="58" t="str">
        <f aca="false">IF(Tasks[[#This Row],[Task Name]]="","",Tasks[[#This Row],[Finish]])</f>
        <v/>
      </c>
      <c r="AS138" s="67" t="str">
        <f aca="false">IF(Tasks[[#This Row],[Task Name]]="","",IF(Tasks[[#This Row],[_IsSummary]],NETWORKDAYS.INTL(Tasks[[#This Row],[Start]],Tasks[[#This Row],[Finish]],WorkWeek,Holidays),N(Tasks[[#This Row],[Duration]])))</f>
        <v/>
      </c>
      <c r="AT138" s="69" t="str">
        <f aca="false">IF(Tasks[[#This Row],[Task Name]]="","",Tasks[[#This Row],[Work]])</f>
        <v/>
      </c>
      <c r="AU138" s="70" t="str">
        <f aca="false">IF(Tasks[[#This Row],[Task Name]]="","",Tasks[[#This Row],[Cost]])</f>
        <v/>
      </c>
      <c r="AV138" s="7"/>
      <c r="AW138" s="7"/>
      <c r="AX138" s="21"/>
      <c r="AY138" s="72"/>
      <c r="AZ138" s="71"/>
      <c r="BA138" s="70" t="str">
        <f aca="false">IF(Tasks[[#This Row],[Task Name]]="","",IF(Tasks[[#This Row],[_IsSummary]],SUM(INDEX(Tasks[_LeafEV],Tasks[[#This Row],[_Row]]+1):INDEX(Tasks[_LeafEV],Tasks[[#This Row],[_Row]]+Tasks[[#This Row],[_Descendants]])),Tasks[[#This Row],[_LeafEV]]))</f>
        <v/>
      </c>
      <c r="BB138" s="70" t="str">
        <f aca="false">IF(Tasks[[#This Row],[Task Name]]="","",IF(Tasks[[#This Row],[_IsSummary]],SUM(INDEX(Tasks[_LeafBudget],Tasks[[#This Row],[_Row]]+1):INDEX(Tasks[_LeafBudget],Tasks[[#This Row],[_Row]]+Tasks[[#This Row],[_Descendants]])),Tasks[[#This Row],[_LeafBudget]]))</f>
        <v/>
      </c>
      <c r="BC138" s="70" t="str">
        <f aca="false">IF(Tasks[[#This Row],[Task Name]]="","",IF(Tasks[[#This Row],[_IsSummary]],SUM(INDEX(Tasks[_LeafPV],Tasks[[#This Row],[_Row]]+1):INDEX(Tasks[_LeafPV],Tasks[[#This Row],[_Row]]+Tasks[[#This Row],[_Descendants]])),Tasks[[#This Row],[_LeafPV]]))</f>
        <v/>
      </c>
      <c r="BD138" s="70" t="str">
        <f aca="false">IF(Tasks[[#This Row],[Task Name]]="","",IF(Tasks[[#This Row],[_IsSummary]],SUM(INDEX(Tasks[_LeafAC],Tasks[[#This Row],[_Row]]+1):INDEX(Tasks[_LeafAC],Tasks[[#This Row],[_Row]]+Tasks[[#This Row],[_Descendants]])),Tasks[[#This Row],[_LeafAC]]))</f>
        <v/>
      </c>
      <c r="BE138" s="45" t="str">
        <f aca="false">IF(Tasks[[#This Row],[Task Name]]="","",MAX(1,N(Tasks[[#This Row],[Level]])))</f>
        <v/>
      </c>
      <c r="BF138" s="45" t="n">
        <f aca="false">ROW()-ROW(Tasks[[#Headers],[ID]])</f>
        <v>133</v>
      </c>
      <c r="BG138" s="45" t="n">
        <f aca="false">IF(OR(Tasks[[#This Row],[Task Name]]="",Tasks[[#This Row],[_Level]]&lt;=1),0,IFERROR(LOOKUP(2,1/(Tasks[[#Headers],[_Level]]:Tasks[[#This Row],[_Level]]=Tasks[[#This Row],[_Level]]-1),ROW(Tasks[[#Headers],[_Level]]:Tasks[[#This Row],[_Level]])),0))</f>
        <v>0</v>
      </c>
      <c r="BH138" s="45" t="n">
        <f aca="false">IFERROR(N(INDEX(Tasks[_Level],Tasks[[#This Row],[_Row]]+1)),0)</f>
        <v>0</v>
      </c>
      <c r="BI138" s="73" t="b">
        <f aca="false">AND(Tasks[[#This Row],[Task Name]]&lt;&gt;"",Tasks[[#This Row],[_NextLevel]]&gt;Tasks[[#This Row],[_Level]])</f>
        <v>0</v>
      </c>
      <c r="BJ138" s="45" t="n">
        <f aca="false">IF(Tasks[[#This Row],[_IsSummary]],COUNTIF(Tasks[WBS],Tasks[[#This Row],[WBS]]&amp;".*"),0)</f>
        <v>0</v>
      </c>
      <c r="BK138" s="45" t="n">
        <f aca="false">IF(AND(Tasks[[#This Row],[Task Name]]&lt;&gt;"",NOT(Tasks[[#This Row],[_IsSummary]])),1,0)</f>
        <v>0</v>
      </c>
      <c r="BL138" s="45" t="n">
        <f aca="false">IF(N(Tasks[[#This Row],[_Pred1UID]])=0,0,IFERROR(MATCH(Tasks[[#This Row],[_Pred1UID]],Tasks[UID],0),-1))</f>
        <v>0</v>
      </c>
      <c r="BM138" s="45" t="n">
        <f aca="false">IF(N(Tasks[[#This Row],[_Pred2UID]])=0,0,IFERROR(MATCH(Tasks[[#This Row],[_Pred2UID]],Tasks[UID],0),-1))</f>
        <v>0</v>
      </c>
      <c r="BN138" s="45" t="n">
        <f aca="false">IF(N(Tasks[[#This Row],[_Pred3UID]])=0,0,IFERROR(MATCH(Tasks[[#This Row],[_Pred3UID]],Tasks[UID],0),-1))</f>
        <v>0</v>
      </c>
      <c r="BO138" s="45" t="n">
        <f aca="false">IF(N(Tasks[[#This Row],[_Pred4UID]])=0,0,IFERROR(MATCH(Tasks[[#This Row],[_Pred4UID]],Tasks[UID],0),-1))</f>
        <v>0</v>
      </c>
      <c r="BP13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3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38" s="74" t="n">
        <f aca="false">IF(OR(Tasks[[#This Row],[_ConstraintCode]]=2,Tasks[[#This Row],[_ConstraintCode]]=3,Tasks[[#This Row],[_ConstraintCode]]=4,Tasks[[#This Row],[_ConstraintCode]]=6),Tasks[[#This Row],[_ConstraintStart]],0)</f>
        <v>0</v>
      </c>
      <c r="BS138" s="74" t="n">
        <f aca="false">IF(OR(Tasks[[#This Row],[_ConstraintCode]]=2,Tasks[[#This Row],[_ConstraintCode]]=3,Tasks[[#This Row],[_ConstraintCode]]=5,Tasks[[#This Row],[_ConstraintCode]]=7),Tasks[[#This Row],[_ConstraintStart]],2958465)</f>
        <v>2958465</v>
      </c>
      <c r="BT13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38" s="74" t="str">
        <f aca="false">IF(NOT(Tasks[[#This Row],[_IsLeaf]]=1),"",IF(N(Tasks[[#This Row],[Duration]])&lt;=0,Tasks[[#This Row],[_LeafCalcStart]],WORKDAY.INTL(Tasks[[#This Row],[_LeafCalcStart]],Tasks[[#This Row],[Duration]]-1,WorkWeek,Holidays)))</f>
        <v/>
      </c>
      <c r="BV13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3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38" s="45" t="str">
        <f aca="false">IF(Tasks[[#This Row],[Predecessors]]="","",TRIM(MID(SUBSTITUTE(SUBSTITUTE(SUBSTITUTE(UPPER(Tasks[[#This Row],[Predecessors]]),";",",")," ",""),",",REPT(" ",99)),1,99)))</f>
        <v/>
      </c>
      <c r="BY138" s="45" t="str">
        <f aca="false">IF(Tasks[[#This Row],[_Pred1Text]]="","",IFERROR(VALUE(LEFT(Tasks[[#This Row],[_Pred1Text]],MIN(FIND("F",Tasks[[#This Row],[_Pred1Text]]&amp;"F"),FIND("S",Tasks[[#This Row],[_Pred1Text]]&amp;"S"),FIND("+",Tasks[[#This Row],[_Pred1Text]]&amp;"+"),FIND("-",Tasks[[#This Row],[_Pred1Text]]&amp;"-"))-1)),""))</f>
        <v/>
      </c>
      <c r="BZ13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3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38" s="45" t="str">
        <f aca="false">IF(Tasks[[#This Row],[_Pred1Text]]="","",TRIM(MID(SUBSTITUTE(SUBSTITUTE(SUBSTITUTE(UPPER(Tasks[[#This Row],[Predecessors]]),";",",")," ",""),",",REPT(" ",99)),100,99)))</f>
        <v/>
      </c>
      <c r="CC138" s="45" t="str">
        <f aca="false">IF(Tasks[[#This Row],[_Pred2Text]]="","",IFERROR(VALUE(LEFT(Tasks[[#This Row],[_Pred2Text]],MIN(FIND("F",Tasks[[#This Row],[_Pred2Text]]&amp;"F"),FIND("S",Tasks[[#This Row],[_Pred2Text]]&amp;"S"),FIND("+",Tasks[[#This Row],[_Pred2Text]]&amp;"+"),FIND("-",Tasks[[#This Row],[_Pred2Text]]&amp;"-"))-1)),""))</f>
        <v/>
      </c>
      <c r="CD13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3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38" s="45" t="str">
        <f aca="false">IF(Tasks[[#This Row],[_Pred2Text]]="","",TRIM(MID(SUBSTITUTE(SUBSTITUTE(SUBSTITUTE(UPPER(Tasks[[#This Row],[Predecessors]]),";",",")," ",""),",",REPT(" ",99)),199,99)))</f>
        <v/>
      </c>
      <c r="CG138" s="45" t="str">
        <f aca="false">IF(Tasks[[#This Row],[_Pred3Text]]="","",IFERROR(VALUE(LEFT(Tasks[[#This Row],[_Pred3Text]],MIN(FIND("F",Tasks[[#This Row],[_Pred3Text]]&amp;"F"),FIND("S",Tasks[[#This Row],[_Pred3Text]]&amp;"S"),FIND("+",Tasks[[#This Row],[_Pred3Text]]&amp;"+"),FIND("-",Tasks[[#This Row],[_Pred3Text]]&amp;"-"))-1)),""))</f>
        <v/>
      </c>
      <c r="CH13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3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38" s="45" t="str">
        <f aca="false">IF(Tasks[[#This Row],[_Pred3Text]]="","",TRIM(MID(SUBSTITUTE(SUBSTITUTE(SUBSTITUTE(UPPER(Tasks[[#This Row],[Predecessors]]),";",",")," ",""),",",REPT(" ",99)),298,99)))</f>
        <v/>
      </c>
      <c r="CK138" s="45" t="str">
        <f aca="false">IF(Tasks[[#This Row],[_Pred4Text]]="","",IFERROR(VALUE(LEFT(Tasks[[#This Row],[_Pred4Text]],MIN(FIND("F",Tasks[[#This Row],[_Pred4Text]]&amp;"F"),FIND("S",Tasks[[#This Row],[_Pred4Text]]&amp;"S"),FIND("+",Tasks[[#This Row],[_Pred4Text]]&amp;"+"),FIND("-",Tasks[[#This Row],[_Pred4Text]]&amp;"-"))-1)),""))</f>
        <v/>
      </c>
      <c r="CL13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3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38" s="45" t="str">
        <f aca="false">IF(OR(Tasks[[#This Row],[Task Name]]="",Tasks[[#This Row],[Resources]]=""),"",TRIM(MID(SUBSTITUTE(Tasks[[#This Row],[Resources]],",",REPT(" ",99)),1,99)))</f>
        <v/>
      </c>
      <c r="CO138" s="45" t="str">
        <f aca="false">IF(Tasks[[#This Row],[_Res1Text]]="","",TRIM(MID(SUBSTITUTE(Tasks[[#This Row],[Resources]],",",REPT(" ",99)),100,99)))</f>
        <v/>
      </c>
      <c r="CP138" s="45" t="str">
        <f aca="false">IF(Tasks[[#This Row],[_Res2Text]]="","",TRIM(MID(SUBSTITUTE(Tasks[[#This Row],[Resources]],",",REPT(" ",99)),199,99)))</f>
        <v/>
      </c>
      <c r="CQ138" s="45" t="str">
        <f aca="false">IF(Tasks[[#This Row],[_Res3Text]]="","",TRIM(MID(SUBSTITUTE(Tasks[[#This Row],[Resources]],",",REPT(" ",99)),298,99)))</f>
        <v/>
      </c>
      <c r="CR13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3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8" s="45" t="n">
        <f aca="false">IF(NOT(Tasks[[#This Row],[_IsLeaf]]=1),0,(Tasks[[#This Row],[_Resource1]]&lt;&gt;"")+(Tasks[[#This Row],[_Res2]]&lt;&gt;"")+(Tasks[[#This Row],[_Res3]]&lt;&gt;"")+(Tasks[[#This Row],[_Res4]]&lt;&gt;""))</f>
        <v>0</v>
      </c>
      <c r="CU13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3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8" s="45" t="n">
        <f aca="false">IF(OR(NOT(Tasks[[#This Row],[_IsLeaf]]=1),Tasks[[#This Row],[_Res2]]=""),0,IF(ISNA(MATCH(Tasks[[#This Row],[_Res2]],res_Name,0)),0,N(Tasks[[#This Row],[Duration]])*HoursPerDay*IF(Tasks[[#This Row],[_Res2Units]]="",DefaultUnits,Tasks[[#This Row],[_Res2Units]])))</f>
        <v>0</v>
      </c>
      <c r="CX138" s="45" t="n">
        <f aca="false">IF(Tasks[[#This Row],[_Res2Work]]=0,0,Tasks[[#This Row],[_Res2Work]]*IFERROR(INDEX(res_Rate,MATCH(Tasks[[#This Row],[_Res2]],res_Name,0)),0))</f>
        <v>0</v>
      </c>
      <c r="CY138" s="45" t="n">
        <f aca="false">IF(AND(AND(Tasks[[#This Row],[_IsLeaf]]=1,Tasks[[#This Row],[_LeafTotalWork]]&gt;0),Tasks[[#This Row],[_Res2Work]]&gt;0),Tasks[[#This Row],[_Res2Work]]/(Tasks[[#This Row],[_FinishWorkday]]-Tasks[[#This Row],[_StartWorkday]]+1),0)</f>
        <v>0</v>
      </c>
      <c r="CZ138" s="45" t="n">
        <f aca="false">Tasks[[#This Row],[_Res2WorkPerWD]]*MAX(0,Tasks[[#This Row],[_StartWorkday]]-1)</f>
        <v>0</v>
      </c>
      <c r="DA138" s="45" t="n">
        <f aca="false">Tasks[[#This Row],[_Res2Work]]*Tasks[[#This Row],[_LeafProgress]]</f>
        <v>0</v>
      </c>
      <c r="DB138" s="45" t="n">
        <f aca="false">IF(Tasks[[#This Row],[_LeafTotalCost]]=0,0,Tasks[[#This Row],[_LeafAC]]*Tasks[[#This Row],[_Res2Cost]]/Tasks[[#This Row],[_LeafTotalCost]])</f>
        <v>0</v>
      </c>
      <c r="DC13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3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38" s="45" t="n">
        <f aca="false">IF(OR(NOT(Tasks[[#This Row],[_IsLeaf]]=1),Tasks[[#This Row],[_Res3]]=""),0,IF(ISNA(MATCH(Tasks[[#This Row],[_Res3]],res_Name,0)),0,N(Tasks[[#This Row],[Duration]])*HoursPerDay*IF(Tasks[[#This Row],[_Res3Units]]="",DefaultUnits,Tasks[[#This Row],[_Res3Units]])))</f>
        <v>0</v>
      </c>
      <c r="DF138" s="45" t="n">
        <f aca="false">IF(Tasks[[#This Row],[_Res3Work]]=0,0,Tasks[[#This Row],[_Res3Work]]*IFERROR(INDEX(res_Rate,MATCH(Tasks[[#This Row],[_Res3]],res_Name,0)),0))</f>
        <v>0</v>
      </c>
      <c r="DG138" s="45" t="n">
        <f aca="false">IF(AND(AND(Tasks[[#This Row],[_IsLeaf]]=1,Tasks[[#This Row],[_LeafTotalWork]]&gt;0),Tasks[[#This Row],[_Res3Work]]&gt;0),Tasks[[#This Row],[_Res3Work]]/(Tasks[[#This Row],[_FinishWorkday]]-Tasks[[#This Row],[_StartWorkday]]+1),0)</f>
        <v>0</v>
      </c>
      <c r="DH138" s="45" t="n">
        <f aca="false">Tasks[[#This Row],[_Res3WorkPerWD]]*MAX(0,Tasks[[#This Row],[_StartWorkday]]-1)</f>
        <v>0</v>
      </c>
      <c r="DI138" s="45" t="n">
        <f aca="false">Tasks[[#This Row],[_Res3Work]]*Tasks[[#This Row],[_LeafProgress]]</f>
        <v>0</v>
      </c>
      <c r="DJ138" s="45" t="n">
        <f aca="false">IF(Tasks[[#This Row],[_LeafTotalCost]]=0,0,Tasks[[#This Row],[_LeafAC]]*Tasks[[#This Row],[_Res3Cost]]/Tasks[[#This Row],[_LeafTotalCost]])</f>
        <v>0</v>
      </c>
      <c r="DK13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3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38" s="45" t="n">
        <f aca="false">IF(OR(NOT(Tasks[[#This Row],[_IsLeaf]]=1),Tasks[[#This Row],[_Res4]]=""),0,IF(ISNA(MATCH(Tasks[[#This Row],[_Res4]],res_Name,0)),0,N(Tasks[[#This Row],[Duration]])*HoursPerDay*IF(Tasks[[#This Row],[_Res4Units]]="",DefaultUnits,Tasks[[#This Row],[_Res4Units]])))</f>
        <v>0</v>
      </c>
      <c r="DN138" s="45" t="n">
        <f aca="false">IF(Tasks[[#This Row],[_Res4Work]]=0,0,Tasks[[#This Row],[_Res4Work]]*IFERROR(INDEX(res_Rate,MATCH(Tasks[[#This Row],[_Res4]],res_Name,0)),0))</f>
        <v>0</v>
      </c>
      <c r="DO138" s="45" t="n">
        <f aca="false">IF(AND(AND(Tasks[[#This Row],[_IsLeaf]]=1,Tasks[[#This Row],[_LeafTotalWork]]&gt;0),Tasks[[#This Row],[_Res4Work]]&gt;0),Tasks[[#This Row],[_Res4Work]]/(Tasks[[#This Row],[_FinishWorkday]]-Tasks[[#This Row],[_StartWorkday]]+1),0)</f>
        <v>0</v>
      </c>
      <c r="DP138" s="45" t="n">
        <f aca="false">Tasks[[#This Row],[_Res4WorkPerWD]]*MAX(0,Tasks[[#This Row],[_StartWorkday]]-1)</f>
        <v>0</v>
      </c>
      <c r="DQ138" s="45" t="n">
        <f aca="false">Tasks[[#This Row],[_Res4Work]]*Tasks[[#This Row],[_LeafProgress]]</f>
        <v>0</v>
      </c>
      <c r="DR138" s="45" t="n">
        <f aca="false">IF(Tasks[[#This Row],[_LeafTotalCost]]=0,0,Tasks[[#This Row],[_LeafAC]]*Tasks[[#This Row],[_Res4Cost]]/Tasks[[#This Row],[_LeafTotalCost]])</f>
        <v>0</v>
      </c>
      <c r="DS138" s="45" t="n">
        <f aca="false">IF(ISNUMBER(Tasks[[#This Row],[% Complete]]),Tasks[[#This Row],[% Complete]],IF(Tasks[[#This Row],[Stage]]="",0,IFERROR(INDEX(stg_Pct,MATCH(Tasks[[#This Row],[Stage]],stg_Name,0)),0)))</f>
        <v>0</v>
      </c>
      <c r="DT138" s="45" t="n">
        <f aca="false">IF(NOT(Tasks[[#This Row],[_IsLeaf]]=1),0,IF(N(Tasks[[#This Row],[Actual Finish]])&gt;0,1,MIN(1,Tasks[[#This Row],[_Pct]])))</f>
        <v>0</v>
      </c>
      <c r="DU138" s="45" t="n">
        <f aca="false">IF(OR(NOT(Tasks[[#This Row],[_IsLeaf]]=1),Tasks[[#This Row],[_Resource1]]=""),0,IF(ISNA(MATCH(Tasks[[#This Row],[_Resource1]],res_Name,0)),0,N(Tasks[[#This Row],[Duration]])*HoursPerDay*IF(Tasks[[#This Row],[_Units1]]="",DefaultUnits,Tasks[[#This Row],[_Units1]])))</f>
        <v>0</v>
      </c>
      <c r="DV138" s="45" t="n">
        <f aca="false">IF(Tasks[[#This Row],[_LeafWork]]=0,0,Tasks[[#This Row],[_LeafWork]]*IFERROR(INDEX(res_Rate,MATCH(Tasks[[#This Row],[_Resource1]],res_Name,0)),0))</f>
        <v>0</v>
      </c>
      <c r="DW138" s="45" t="n">
        <f aca="false">Tasks[[#This Row],[_LeafWork]]+Tasks[[#This Row],[_Res2Work]]+Tasks[[#This Row],[_Res3Work]]+Tasks[[#This Row],[_Res4Work]]</f>
        <v>0</v>
      </c>
      <c r="DX138" s="45" t="n">
        <f aca="false">Tasks[[#This Row],[_LeafCost]]+Tasks[[#This Row],[_Res2Cost]]+Tasks[[#This Row],[_Res3Cost]]+Tasks[[#This Row],[_Res4Cost]]</f>
        <v>0</v>
      </c>
      <c r="DY138" s="45" t="n">
        <f aca="false">IF(Tasks[[#This Row],[_LeafTotalCost]]=0,Tasks[[#This Row],[_LeafAC]],Tasks[[#This Row],[_LeafAC]]*Tasks[[#This Row],[_LeafCost]]/Tasks[[#This Row],[_LeafTotalCost]])</f>
        <v>0</v>
      </c>
      <c r="DZ13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3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3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3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3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3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3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3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38" s="45" t="n">
        <f aca="false">IF(NOT(Tasks[[#This Row],[_IsLeaf]]=1),0,MAX(_xlfn.MAXIFS(Tasks[_Row],Tasks[_Pred1UID],Tasks[[#This Row],[UID]]),_xlfn.MAXIFS(Tasks[_Row],Tasks[_Pred2UID],Tasks[[#This Row],[UID]]),_xlfn.MAXIFS(Tasks[_Row],Tasks[_Pred3UID],Tasks[[#This Row],[UID]]),_xlfn.MAXIFS(Tasks[_Row],Tasks[_Pred4UID],Tasks[[#This Row],[UID]])))</f>
        <v>0</v>
      </c>
      <c r="EI13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3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38" s="74" t="str">
        <f aca="false">IF(NOT(Tasks[[#This Row],[_IsLeaf]]=1),"",IF(N(Tasks[[#This Row],[Duration]])&lt;=0,Tasks[[#This Row],[_LeafLateFinish]],WORKDAY.INTL(Tasks[[#This Row],[_LeafLateFinish]],-(Tasks[[#This Row],[Duration]]-1),WorkWeek,Holidays)))</f>
        <v/>
      </c>
      <c r="EL13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38" s="73" t="b">
        <f aca="false">AND(Tasks[[#This Row],[_IsLeaf]]=1,Tasks[[#This Row],[_LeafProgress]]&lt;1,N(Tasks[[#This Row],[_LeafTotalSlack]])&lt;=CriticalSlackDays)</f>
        <v>0</v>
      </c>
      <c r="EN138" s="45" t="n">
        <f aca="false">IF(AND(Tasks[[#This Row],[_IsLeaf]]=1,Tasks[[#This Row],[_ConstraintCode]]=1,Tasks[[#This Row],[Mode]]&lt;&gt;"Manual",N(Tasks[[#This Row],[Actual Start]])=0),MAX(0,N(Tasks[[#This Row],[Free Slack]])),0)</f>
        <v>0</v>
      </c>
      <c r="EO138" s="74" t="str">
        <f aca="false">IF(NOT(Tasks[[#This Row],[_IsLeaf]]=1),"",IF(Tasks[[#This Row],[_AlapShift]]=0,Tasks[[#This Row],[_LeafCalcStart]],WORKDAY.INTL(Tasks[[#This Row],[_LeafCalcStart]],Tasks[[#This Row],[_AlapShift]],WorkWeek,Holidays)))</f>
        <v/>
      </c>
      <c r="EP138" s="74" t="str">
        <f aca="false">IF(NOT(Tasks[[#This Row],[_IsLeaf]]=1),"",IF(Tasks[[#This Row],[_AlapShift]]=0,Tasks[[#This Row],[_LeafCalcFinish]],WORKDAY.INTL(Tasks[[#This Row],[_LeafCalcFinish]],Tasks[[#This Row],[_AlapShift]],WorkWeek,Holidays)))</f>
        <v/>
      </c>
      <c r="EQ138" s="74" t="str">
        <f aca="false">IF(NOT(Tasks[[#This Row],[_IsLeaf]]=1),"",IF(Tasks[[#This Row],[_AlapShift]]=0,Tasks[[#This Row],[_LeafFcstStart]],WORKDAY.INTL(Tasks[[#This Row],[_LeafFcstStart]],Tasks[[#This Row],[_AlapShift]],WorkWeek,Holidays)))</f>
        <v/>
      </c>
      <c r="ER138" s="74" t="str">
        <f aca="false">IF(NOT(Tasks[[#This Row],[_IsLeaf]]=1),"",IF(Tasks[[#This Row],[_AlapShift]]=0,Tasks[[#This Row],[_LeafFcstFinish]],WORKDAY.INTL(Tasks[[#This Row],[_LeafFcstFinish]],Tasks[[#This Row],[_AlapShift]],WorkWeek,Holidays)))</f>
        <v/>
      </c>
      <c r="ES138" s="74" t="str">
        <f aca="false">IF(Tasks[[#This Row],[Task Name]]="","",IF(Tasks[[#This Row],[_IsSummary]],MIN(INDEX(Tasks[_ShownCalcStart],Tasks[[#This Row],[_Row]]+1):INDEX(Tasks[_ShownCalcStart],Tasks[[#This Row],[_Row]]+Tasks[[#This Row],[_Descendants]])),Tasks[[#This Row],[_ShownCalcStart]]))</f>
        <v/>
      </c>
      <c r="ET138" s="74" t="str">
        <f aca="false">IF(Tasks[[#This Row],[Task Name]]="","",IF(Tasks[[#This Row],[_IsSummary]],MAX(INDEX(Tasks[_ShownCalcFinish],Tasks[[#This Row],[_Row]]+1):INDEX(Tasks[_ShownCalcFinish],Tasks[[#This Row],[_Row]]+Tasks[[#This Row],[_Descendants]])),Tasks[[#This Row],[_ShownCalcFinish]]))</f>
        <v/>
      </c>
      <c r="EU13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3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3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3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3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3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3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3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3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3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3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3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38" s="45" t="n">
        <f aca="false">IF(AND(Tasks[[#This Row],[_IsLeaf]]=1,Tasks[[#This Row],[_LeafTotalWork]]&gt;0),NETWORKDAYS.INTL(ProjectStart,Tasks[[#This Row],[_ShownFcstStart]],WorkWeek,Holidays),0)</f>
        <v>0</v>
      </c>
      <c r="FH138" s="45" t="n">
        <f aca="false">IF(AND(Tasks[[#This Row],[_IsLeaf]]=1,Tasks[[#This Row],[_LeafTotalWork]]&gt;0),MAX(Tasks[[#This Row],[_StartWorkday]],NETWORKDAYS.INTL(ProjectStart,Tasks[[#This Row],[_ShownFcstFinish]],WorkWeek,Holidays)),0)</f>
        <v>0</v>
      </c>
      <c r="FI138" s="45" t="n">
        <f aca="false">IF(AND(Tasks[[#This Row],[_IsLeaf]]=1,Tasks[[#This Row],[_LeafTotalWork]]&gt;0),Tasks[[#This Row],[_LeafWork]]/(Tasks[[#This Row],[_FinishWorkday]]-Tasks[[#This Row],[_StartWorkday]]+1),0)</f>
        <v>0</v>
      </c>
      <c r="FJ138" s="45" t="n">
        <f aca="false">Tasks[[#This Row],[_WorkPerWorkday]]*(Tasks[[#This Row],[_StartWorkday]]-1)</f>
        <v>-0</v>
      </c>
      <c r="FK138" s="45" t="n">
        <f aca="false">IF(Tasks[[#This Row],[_IsLeaf]]=1,MAX(N(Tasks[[#This Row],[Duration]]),0.1),0)</f>
        <v>0</v>
      </c>
      <c r="FL138" s="45" t="n">
        <f aca="false">Tasks[[#This Row],[_WeightDur]]*Tasks[[#This Row],[_LeafProgress]]</f>
        <v>0</v>
      </c>
      <c r="FM13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38" s="45" t="str">
        <f aca="false">IF(AND(Tasks[[#This Row],[_IsLeaf]]=1,N(Tasks[[#This Row],[Duration]])=0,Tasks[[#This Row],[_LeafProgress]]&lt;1),Tasks[[#This Row],[_ShownFcstFinish]]+Tasks[[#This Row],[_Row]]/100000,"")</f>
        <v/>
      </c>
      <c r="FO13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38" s="45" t="n">
        <f aca="false">IF(NOT(Tasks[[#This Row],[_IsLeaf]]=1),0,IF(Tasks[[#This Row],[Baseline Cost]]="",Tasks[[#This Row],[_LeafTotalCost]],N(Tasks[[#This Row],[Baseline Cost]])))</f>
        <v>0</v>
      </c>
      <c r="FQ138" s="45" t="n">
        <f aca="false">Tasks[[#This Row],[_LeafBudget]]*Tasks[[#This Row],[_PlannedPct]]</f>
        <v>0</v>
      </c>
      <c r="FR138" s="45" t="n">
        <f aca="false">Tasks[[#This Row],[_LeafBudget]]*Tasks[[#This Row],[_LeafProgress]]</f>
        <v>0</v>
      </c>
      <c r="FS138" s="45" t="n">
        <f aca="false">IF(NOT(Tasks[[#This Row],[_IsLeaf]]=1),0,IF(Tasks[[#This Row],[Actual Cost]]="",Tasks[[#This Row],[_LeafTotalCost]]*Tasks[[#This Row],[_LeafProgress]],N(Tasks[[#This Row],[Actual Cost]])))</f>
        <v>0</v>
      </c>
      <c r="FT138" s="45" t="str">
        <f aca="false">IF(Tasks[[#This Row],[Task Name]]="","",LEFT(Tasks[[#This Row],[WBS]],FIND(".",Tasks[[#This Row],[WBS]]&amp;".")-1))</f>
        <v/>
      </c>
      <c r="FU138" s="45" t="str">
        <f aca="false">IF(AND(Tasks[[#This Row],[Task Name]]&lt;&gt;"",Tasks[[#This Row],[_Level]]=1),Tasks[[#This Row],[_Row]],"")</f>
        <v/>
      </c>
      <c r="FV138" s="45" t="str">
        <f aca="false">IF(AND(Tasks[[#This Row],[_IsLeaf]]=1,N(Tasks[[#This Row],[Duration]])=0),Tasks[[#This Row],[Planned Finish]]+Tasks[[#This Row],[_Row]]/100000,"")</f>
        <v/>
      </c>
      <c r="FW138" s="45" t="str">
        <f aca="false">IF(AND(Tasks[[#This Row],[_IsLeaf]]=1,Tasks[[#This Row],[_LeafProgress]]&lt;1,OR(N(Tasks[[#This Row],[Finish Var]])&gt;0,Tasks[[#This Row],[Status]]="Late Start")),MAX(0,Tasks[[#This Row],[Finish Var]])+1-Tasks[[#This Row],[_Row]]/1000000,"")</f>
        <v/>
      </c>
      <c r="FX138" s="45" t="str">
        <f aca="false">IF(AND(Tasks[[#This Row],[_IsLeaf]]=1,N(Tasks[[#This Row],[Actual Start]])=0,Tasks[[#This Row],[_ShownFcstStart]]&gt;=StatusDate,Tasks[[#This Row],[_ShownFcstStart]]&lt;=LookaheadEnd),Tasks[[#This Row],[_ShownFcstStart]]+Tasks[[#This Row],[_Row]]/100000,"")</f>
        <v/>
      </c>
      <c r="FY138" s="45" t="str">
        <f aca="false">IF(AND(Tasks[[#This Row],[_IsLeaf]]=1,Tasks[[#This Row],[_LeafProgress]]&lt;1,Tasks[[#This Row],[_ShownFcstFinish]]&gt;=StatusDate,Tasks[[#This Row],[_ShownFcstFinish]]&lt;=LookaheadEnd),Tasks[[#This Row],[_ShownFcstFinish]]+Tasks[[#This Row],[_Row]]/100000,"")</f>
        <v/>
      </c>
      <c r="FZ138" s="45" t="str">
        <f aca="false">IF(Tasks[[#This Row],[_LeafCritical]],Tasks[[#This Row],[_ShownFcstStart]]+Tasks[[#This Row],[_Row]]/100000,"")</f>
        <v/>
      </c>
      <c r="GA138" s="45" t="n">
        <f aca="false">Tasks[[#This Row],[_LeafWork]]*Tasks[[#This Row],[_LeafProgress]]</f>
        <v>0</v>
      </c>
      <c r="GB138" s="74" t="str">
        <f aca="false">IF(AND(Tasks[[#This Row],[_IsLeaf]]=1,Tasks[[#This Row],[_LeafProgress]]&gt;=1),IF(N(Tasks[[#This Row],[Actual Finish]])&gt;0,Tasks[[#This Row],[Actual Finish]],Tasks[[#This Row],[_ShownFcstFinish]]),"")</f>
        <v/>
      </c>
    </row>
    <row r="139" customFormat="false" ht="15" hidden="false" customHeight="false" outlineLevel="0" collapsed="false">
      <c r="A139" s="67" t="str">
        <f aca="false">IF(Tasks[[#This Row],[Task Name]]="","",COUNTA(Tasks[[#Headers],[Task Name]]:Tasks[[#This Row],[Task Name]])-1)</f>
        <v/>
      </c>
      <c r="B139" s="21" t="n">
        <v>134</v>
      </c>
      <c r="C13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21"/>
      <c r="E139" s="22"/>
      <c r="F139" s="21"/>
      <c r="G139" s="22"/>
      <c r="H139" s="22"/>
      <c r="I139" s="22"/>
      <c r="J139" s="7"/>
      <c r="K139" s="7"/>
      <c r="L139" s="22"/>
      <c r="M139" s="58" t="str">
        <f aca="false">IF(Tasks[[#This Row],[Task Name]]="","",IF(Tasks[[#This Row],[_IsSummary]],MIN(INDEX(Tasks[_ShownFcstStart],Tasks[[#This Row],[_Row]]+1):INDEX(Tasks[_ShownFcstStart],Tasks[[#This Row],[_Row]]+Tasks[[#This Row],[_Descendants]])),Tasks[[#This Row],[_ShownFcstStart]]))</f>
        <v/>
      </c>
      <c r="N139" s="58" t="str">
        <f aca="false">IF(Tasks[[#This Row],[Task Name]]="","",IF(Tasks[[#This Row],[_IsSummary]],MAX(INDEX(Tasks[_ShownFcstFinish],Tasks[[#This Row],[_Row]]+1):INDEX(Tasks[_ShownFcstFinish],Tasks[[#This Row],[_Row]]+Tasks[[#This Row],[_Descendants]])),Tasks[[#This Row],[_ShownFcstFinish]]))</f>
        <v/>
      </c>
      <c r="O139" s="20" t="str">
        <f aca="false">IF(Tasks[[#This Row],[Task Name]]="","",IF(Tasks[[#This Row],[Progress]]&gt;=1,"Complete",IF(OR(N(Tasks[[#This Row],[Actual Start]])&gt;0,Tasks[[#This Row],[Progress]]&gt;0),IF(Tasks[[#This Row],[Finish Var]]&gt;0,"Behind","In Progress"),IF(Tasks[[#This Row],[Planned Start]]&lt;StatusDate,"Late Start","Not Started"))))</f>
        <v/>
      </c>
      <c r="P139" s="20" t="str">
        <f aca="false">IF(Tasks[[#This Row],[Task Name]]="","",IF(IF(Tasks[[#This Row],[_IsSummary]],COUNTIF(INDEX(Tasks[_LeafCritical],Tasks[[#This Row],[_Row]]+1):INDEX(Tasks[_LeafCritical],Tasks[[#This Row],[_Row]]+Tasks[[#This Row],[_Descendants]]),TRUE())&gt;0,Tasks[[#This Row],[_LeafCritical]]),"Yes",""))</f>
        <v/>
      </c>
      <c r="Q13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39" s="67" t="str">
        <f aca="false">IF(Tasks[[#This Row],[Task Name]]="","",IF(Tasks[[#This Row],[_Level]]&lt;=OutlineShowLevel,"Yes","No"))</f>
        <v/>
      </c>
      <c r="S139" s="7"/>
      <c r="T139" s="21"/>
      <c r="U139" s="22"/>
      <c r="V139" s="7"/>
      <c r="W139" s="67" t="str">
        <f aca="false">IF(Tasks[[#This Row],[Task Name]]="","",IF(Tasks[[#This Row],[Finish]]&gt;=Tasks[[#This Row],[Planned Finish]],NETWORKDAYS.INTL(Tasks[[#This Row],[Planned Finish]],Tasks[[#This Row],[Finish]],WorkWeek,Holidays)-1,1-NETWORKDAYS.INTL(Tasks[[#This Row],[Finish]],Tasks[[#This Row],[Planned Finish]],WorkWeek,Holidays)))</f>
        <v/>
      </c>
      <c r="X139" s="58" t="str">
        <f aca="false">IF(Tasks[[#This Row],[Task Name]]="","",IF(N(Tasks[[#This Row],[Baseline Start]])&gt;0,Tasks[[#This Row],[Baseline Start]],Tasks[[#This Row],[_CalcStart]]))</f>
        <v/>
      </c>
      <c r="Y139" s="58" t="str">
        <f aca="false">IF(Tasks[[#This Row],[Task Name]]="","",IF(N(Tasks[[#This Row],[Baseline Finish]])&gt;0,Tasks[[#This Row],[Baseline Finish]],Tasks[[#This Row],[_CalcFinish]]))</f>
        <v/>
      </c>
      <c r="Z139" s="67" t="str">
        <f aca="false">IF(Tasks[[#This Row],[Task Name]]="","",IF(Tasks[[#This Row],[Start]]&gt;=Tasks[[#This Row],[Planned Start]],NETWORKDAYS.INTL(Tasks[[#This Row],[Planned Start]],Tasks[[#This Row],[Start]],WorkWeek,Holidays)-1,1-NETWORKDAYS.INTL(Tasks[[#This Row],[Start]],Tasks[[#This Row],[Planned Start]],WorkWeek,Holidays)))</f>
        <v/>
      </c>
      <c r="AA139" s="58" t="str">
        <f aca="false">IF(Tasks[[#This Row],[Task Name]]="","",IF(Tasks[[#This Row],[_IsSummary]],MIN(INDEX(Tasks[_LeafLateStart],Tasks[[#This Row],[_Row]]+1):INDEX(Tasks[_LeafLateStart],Tasks[[#This Row],[_Row]]+Tasks[[#This Row],[_Descendants]])),Tasks[[#This Row],[_LeafLateStart]]))</f>
        <v/>
      </c>
      <c r="AB139" s="58" t="str">
        <f aca="false">IF(Tasks[[#This Row],[Task Name]]="","",IF(Tasks[[#This Row],[_IsSummary]],MAX(INDEX(Tasks[_LeafLateFinish],Tasks[[#This Row],[_Row]]+1):INDEX(Tasks[_LeafLateFinish],Tasks[[#This Row],[_Row]]+Tasks[[#This Row],[_Descendants]])),Tasks[[#This Row],[_LeafLateFinish]]))</f>
        <v/>
      </c>
      <c r="AC139" s="67" t="str">
        <f aca="false">IF(Tasks[[#This Row],[Task Name]]="","",IF(Tasks[[#This Row],[_IsSummary]],MIN(INDEX(Tasks[_LeafTotalSlack],Tasks[[#This Row],[_Row]]+1):INDEX(Tasks[_LeafTotalSlack],Tasks[[#This Row],[_Row]]+Tasks[[#This Row],[_Descendants]])),Tasks[[#This Row],[_LeafTotalSlack]]))</f>
        <v/>
      </c>
      <c r="AD13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3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3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39" s="60"/>
      <c r="AH13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3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39" s="69" t="str">
        <f aca="false">IF(Tasks[[#This Row],[Task Name]]="","",IF(Tasks[[#This Row],[_IsSummary]],SUM(INDEX(Tasks[_LeafTotalWork],Tasks[[#This Row],[_Row]]+1):INDEX(Tasks[_LeafTotalWork],Tasks[[#This Row],[_Row]]+Tasks[[#This Row],[_Descendants]])),Tasks[[#This Row],[_LeafTotalWork]]))</f>
        <v/>
      </c>
      <c r="AK13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39" s="70" t="str">
        <f aca="false">IF(Tasks[[#This Row],[Task Name]]="","",IF(Tasks[[#This Row],[_IsSummary]],SUM(INDEX(Tasks[_LeafTotalCost],Tasks[[#This Row],[_Row]]+1):INDEX(Tasks[_LeafTotalCost],Tasks[[#This Row],[_Row]]+Tasks[[#This Row],[_Descendants]])),Tasks[[#This Row],[_LeafTotalCost]]))</f>
        <v/>
      </c>
      <c r="AM139" s="71"/>
      <c r="AN139" s="20" t="str">
        <f aca="false">IF(OR(Tasks[[#This Row],[Task Name]]="",Tasks[[#This Row],[Baseline Duration]]=""),"",Tasks[[#This Row],[BL Source Duration]]-N(Tasks[[#This Row],[Baseline Duration]]))</f>
        <v/>
      </c>
      <c r="AO139" s="69" t="str">
        <f aca="false">IF(OR(Tasks[[#This Row],[Task Name]]="",Tasks[[#This Row],[Baseline Work]]=""),"",Tasks[[#This Row],[Work]]-N(Tasks[[#This Row],[Baseline Work]]))</f>
        <v/>
      </c>
      <c r="AP139" s="70" t="str">
        <f aca="false">IF(OR(Tasks[[#This Row],[Task Name]]="",Tasks[[#This Row],[Baseline Cost]]=""),"",Tasks[[#This Row],[Cost]]-N(Tasks[[#This Row],[Baseline Cost]]))</f>
        <v/>
      </c>
      <c r="AQ139" s="58" t="str">
        <f aca="false">IF(Tasks[[#This Row],[Task Name]]="","",Tasks[[#This Row],[Start]])</f>
        <v/>
      </c>
      <c r="AR139" s="58" t="str">
        <f aca="false">IF(Tasks[[#This Row],[Task Name]]="","",Tasks[[#This Row],[Finish]])</f>
        <v/>
      </c>
      <c r="AS139" s="67" t="str">
        <f aca="false">IF(Tasks[[#This Row],[Task Name]]="","",IF(Tasks[[#This Row],[_IsSummary]],NETWORKDAYS.INTL(Tasks[[#This Row],[Start]],Tasks[[#This Row],[Finish]],WorkWeek,Holidays),N(Tasks[[#This Row],[Duration]])))</f>
        <v/>
      </c>
      <c r="AT139" s="69" t="str">
        <f aca="false">IF(Tasks[[#This Row],[Task Name]]="","",Tasks[[#This Row],[Work]])</f>
        <v/>
      </c>
      <c r="AU139" s="70" t="str">
        <f aca="false">IF(Tasks[[#This Row],[Task Name]]="","",Tasks[[#This Row],[Cost]])</f>
        <v/>
      </c>
      <c r="AV139" s="7"/>
      <c r="AW139" s="7"/>
      <c r="AX139" s="21"/>
      <c r="AY139" s="72"/>
      <c r="AZ139" s="71"/>
      <c r="BA139" s="70" t="str">
        <f aca="false">IF(Tasks[[#This Row],[Task Name]]="","",IF(Tasks[[#This Row],[_IsSummary]],SUM(INDEX(Tasks[_LeafEV],Tasks[[#This Row],[_Row]]+1):INDEX(Tasks[_LeafEV],Tasks[[#This Row],[_Row]]+Tasks[[#This Row],[_Descendants]])),Tasks[[#This Row],[_LeafEV]]))</f>
        <v/>
      </c>
      <c r="BB139" s="70" t="str">
        <f aca="false">IF(Tasks[[#This Row],[Task Name]]="","",IF(Tasks[[#This Row],[_IsSummary]],SUM(INDEX(Tasks[_LeafBudget],Tasks[[#This Row],[_Row]]+1):INDEX(Tasks[_LeafBudget],Tasks[[#This Row],[_Row]]+Tasks[[#This Row],[_Descendants]])),Tasks[[#This Row],[_LeafBudget]]))</f>
        <v/>
      </c>
      <c r="BC139" s="70" t="str">
        <f aca="false">IF(Tasks[[#This Row],[Task Name]]="","",IF(Tasks[[#This Row],[_IsSummary]],SUM(INDEX(Tasks[_LeafPV],Tasks[[#This Row],[_Row]]+1):INDEX(Tasks[_LeafPV],Tasks[[#This Row],[_Row]]+Tasks[[#This Row],[_Descendants]])),Tasks[[#This Row],[_LeafPV]]))</f>
        <v/>
      </c>
      <c r="BD139" s="70" t="str">
        <f aca="false">IF(Tasks[[#This Row],[Task Name]]="","",IF(Tasks[[#This Row],[_IsSummary]],SUM(INDEX(Tasks[_LeafAC],Tasks[[#This Row],[_Row]]+1):INDEX(Tasks[_LeafAC],Tasks[[#This Row],[_Row]]+Tasks[[#This Row],[_Descendants]])),Tasks[[#This Row],[_LeafAC]]))</f>
        <v/>
      </c>
      <c r="BE139" s="45" t="str">
        <f aca="false">IF(Tasks[[#This Row],[Task Name]]="","",MAX(1,N(Tasks[[#This Row],[Level]])))</f>
        <v/>
      </c>
      <c r="BF139" s="45" t="n">
        <f aca="false">ROW()-ROW(Tasks[[#Headers],[ID]])</f>
        <v>134</v>
      </c>
      <c r="BG139" s="45" t="n">
        <f aca="false">IF(OR(Tasks[[#This Row],[Task Name]]="",Tasks[[#This Row],[_Level]]&lt;=1),0,IFERROR(LOOKUP(2,1/(Tasks[[#Headers],[_Level]]:Tasks[[#This Row],[_Level]]=Tasks[[#This Row],[_Level]]-1),ROW(Tasks[[#Headers],[_Level]]:Tasks[[#This Row],[_Level]])),0))</f>
        <v>0</v>
      </c>
      <c r="BH139" s="45" t="n">
        <f aca="false">IFERROR(N(INDEX(Tasks[_Level],Tasks[[#This Row],[_Row]]+1)),0)</f>
        <v>0</v>
      </c>
      <c r="BI139" s="73" t="b">
        <f aca="false">AND(Tasks[[#This Row],[Task Name]]&lt;&gt;"",Tasks[[#This Row],[_NextLevel]]&gt;Tasks[[#This Row],[_Level]])</f>
        <v>0</v>
      </c>
      <c r="BJ139" s="45" t="n">
        <f aca="false">IF(Tasks[[#This Row],[_IsSummary]],COUNTIF(Tasks[WBS],Tasks[[#This Row],[WBS]]&amp;".*"),0)</f>
        <v>0</v>
      </c>
      <c r="BK139" s="45" t="n">
        <f aca="false">IF(AND(Tasks[[#This Row],[Task Name]]&lt;&gt;"",NOT(Tasks[[#This Row],[_IsSummary]])),1,0)</f>
        <v>0</v>
      </c>
      <c r="BL139" s="45" t="n">
        <f aca="false">IF(N(Tasks[[#This Row],[_Pred1UID]])=0,0,IFERROR(MATCH(Tasks[[#This Row],[_Pred1UID]],Tasks[UID],0),-1))</f>
        <v>0</v>
      </c>
      <c r="BM139" s="45" t="n">
        <f aca="false">IF(N(Tasks[[#This Row],[_Pred2UID]])=0,0,IFERROR(MATCH(Tasks[[#This Row],[_Pred2UID]],Tasks[UID],0),-1))</f>
        <v>0</v>
      </c>
      <c r="BN139" s="45" t="n">
        <f aca="false">IF(N(Tasks[[#This Row],[_Pred3UID]])=0,0,IFERROR(MATCH(Tasks[[#This Row],[_Pred3UID]],Tasks[UID],0),-1))</f>
        <v>0</v>
      </c>
      <c r="BO139" s="45" t="n">
        <f aca="false">IF(N(Tasks[[#This Row],[_Pred4UID]])=0,0,IFERROR(MATCH(Tasks[[#This Row],[_Pred4UID]],Tasks[UID],0),-1))</f>
        <v>0</v>
      </c>
      <c r="BP13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3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39" s="74" t="n">
        <f aca="false">IF(OR(Tasks[[#This Row],[_ConstraintCode]]=2,Tasks[[#This Row],[_ConstraintCode]]=3,Tasks[[#This Row],[_ConstraintCode]]=4,Tasks[[#This Row],[_ConstraintCode]]=6),Tasks[[#This Row],[_ConstraintStart]],0)</f>
        <v>0</v>
      </c>
      <c r="BS139" s="74" t="n">
        <f aca="false">IF(OR(Tasks[[#This Row],[_ConstraintCode]]=2,Tasks[[#This Row],[_ConstraintCode]]=3,Tasks[[#This Row],[_ConstraintCode]]=5,Tasks[[#This Row],[_ConstraintCode]]=7),Tasks[[#This Row],[_ConstraintStart]],2958465)</f>
        <v>2958465</v>
      </c>
      <c r="BT13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39" s="74" t="str">
        <f aca="false">IF(NOT(Tasks[[#This Row],[_IsLeaf]]=1),"",IF(N(Tasks[[#This Row],[Duration]])&lt;=0,Tasks[[#This Row],[_LeafCalcStart]],WORKDAY.INTL(Tasks[[#This Row],[_LeafCalcStart]],Tasks[[#This Row],[Duration]]-1,WorkWeek,Holidays)))</f>
        <v/>
      </c>
      <c r="BV13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3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39" s="45" t="str">
        <f aca="false">IF(Tasks[[#This Row],[Predecessors]]="","",TRIM(MID(SUBSTITUTE(SUBSTITUTE(SUBSTITUTE(UPPER(Tasks[[#This Row],[Predecessors]]),";",",")," ",""),",",REPT(" ",99)),1,99)))</f>
        <v/>
      </c>
      <c r="BY139" s="45" t="str">
        <f aca="false">IF(Tasks[[#This Row],[_Pred1Text]]="","",IFERROR(VALUE(LEFT(Tasks[[#This Row],[_Pred1Text]],MIN(FIND("F",Tasks[[#This Row],[_Pred1Text]]&amp;"F"),FIND("S",Tasks[[#This Row],[_Pred1Text]]&amp;"S"),FIND("+",Tasks[[#This Row],[_Pred1Text]]&amp;"+"),FIND("-",Tasks[[#This Row],[_Pred1Text]]&amp;"-"))-1)),""))</f>
        <v/>
      </c>
      <c r="BZ13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3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39" s="45" t="str">
        <f aca="false">IF(Tasks[[#This Row],[_Pred1Text]]="","",TRIM(MID(SUBSTITUTE(SUBSTITUTE(SUBSTITUTE(UPPER(Tasks[[#This Row],[Predecessors]]),";",",")," ",""),",",REPT(" ",99)),100,99)))</f>
        <v/>
      </c>
      <c r="CC139" s="45" t="str">
        <f aca="false">IF(Tasks[[#This Row],[_Pred2Text]]="","",IFERROR(VALUE(LEFT(Tasks[[#This Row],[_Pred2Text]],MIN(FIND("F",Tasks[[#This Row],[_Pred2Text]]&amp;"F"),FIND("S",Tasks[[#This Row],[_Pred2Text]]&amp;"S"),FIND("+",Tasks[[#This Row],[_Pred2Text]]&amp;"+"),FIND("-",Tasks[[#This Row],[_Pred2Text]]&amp;"-"))-1)),""))</f>
        <v/>
      </c>
      <c r="CD13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3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39" s="45" t="str">
        <f aca="false">IF(Tasks[[#This Row],[_Pred2Text]]="","",TRIM(MID(SUBSTITUTE(SUBSTITUTE(SUBSTITUTE(UPPER(Tasks[[#This Row],[Predecessors]]),";",",")," ",""),",",REPT(" ",99)),199,99)))</f>
        <v/>
      </c>
      <c r="CG139" s="45" t="str">
        <f aca="false">IF(Tasks[[#This Row],[_Pred3Text]]="","",IFERROR(VALUE(LEFT(Tasks[[#This Row],[_Pred3Text]],MIN(FIND("F",Tasks[[#This Row],[_Pred3Text]]&amp;"F"),FIND("S",Tasks[[#This Row],[_Pred3Text]]&amp;"S"),FIND("+",Tasks[[#This Row],[_Pred3Text]]&amp;"+"),FIND("-",Tasks[[#This Row],[_Pred3Text]]&amp;"-"))-1)),""))</f>
        <v/>
      </c>
      <c r="CH13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3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39" s="45" t="str">
        <f aca="false">IF(Tasks[[#This Row],[_Pred3Text]]="","",TRIM(MID(SUBSTITUTE(SUBSTITUTE(SUBSTITUTE(UPPER(Tasks[[#This Row],[Predecessors]]),";",",")," ",""),",",REPT(" ",99)),298,99)))</f>
        <v/>
      </c>
      <c r="CK139" s="45" t="str">
        <f aca="false">IF(Tasks[[#This Row],[_Pred4Text]]="","",IFERROR(VALUE(LEFT(Tasks[[#This Row],[_Pred4Text]],MIN(FIND("F",Tasks[[#This Row],[_Pred4Text]]&amp;"F"),FIND("S",Tasks[[#This Row],[_Pred4Text]]&amp;"S"),FIND("+",Tasks[[#This Row],[_Pred4Text]]&amp;"+"),FIND("-",Tasks[[#This Row],[_Pred4Text]]&amp;"-"))-1)),""))</f>
        <v/>
      </c>
      <c r="CL13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3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39" s="45" t="str">
        <f aca="false">IF(OR(Tasks[[#This Row],[Task Name]]="",Tasks[[#This Row],[Resources]]=""),"",TRIM(MID(SUBSTITUTE(Tasks[[#This Row],[Resources]],",",REPT(" ",99)),1,99)))</f>
        <v/>
      </c>
      <c r="CO139" s="45" t="str">
        <f aca="false">IF(Tasks[[#This Row],[_Res1Text]]="","",TRIM(MID(SUBSTITUTE(Tasks[[#This Row],[Resources]],",",REPT(" ",99)),100,99)))</f>
        <v/>
      </c>
      <c r="CP139" s="45" t="str">
        <f aca="false">IF(Tasks[[#This Row],[_Res2Text]]="","",TRIM(MID(SUBSTITUTE(Tasks[[#This Row],[Resources]],",",REPT(" ",99)),199,99)))</f>
        <v/>
      </c>
      <c r="CQ139" s="45" t="str">
        <f aca="false">IF(Tasks[[#This Row],[_Res3Text]]="","",TRIM(MID(SUBSTITUTE(Tasks[[#This Row],[Resources]],",",REPT(" ",99)),298,99)))</f>
        <v/>
      </c>
      <c r="CR13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3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9" s="45" t="n">
        <f aca="false">IF(NOT(Tasks[[#This Row],[_IsLeaf]]=1),0,(Tasks[[#This Row],[_Resource1]]&lt;&gt;"")+(Tasks[[#This Row],[_Res2]]&lt;&gt;"")+(Tasks[[#This Row],[_Res3]]&lt;&gt;"")+(Tasks[[#This Row],[_Res4]]&lt;&gt;""))</f>
        <v>0</v>
      </c>
      <c r="CU13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3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9" s="45" t="n">
        <f aca="false">IF(OR(NOT(Tasks[[#This Row],[_IsLeaf]]=1),Tasks[[#This Row],[_Res2]]=""),0,IF(ISNA(MATCH(Tasks[[#This Row],[_Res2]],res_Name,0)),0,N(Tasks[[#This Row],[Duration]])*HoursPerDay*IF(Tasks[[#This Row],[_Res2Units]]="",DefaultUnits,Tasks[[#This Row],[_Res2Units]])))</f>
        <v>0</v>
      </c>
      <c r="CX139" s="45" t="n">
        <f aca="false">IF(Tasks[[#This Row],[_Res2Work]]=0,0,Tasks[[#This Row],[_Res2Work]]*IFERROR(INDEX(res_Rate,MATCH(Tasks[[#This Row],[_Res2]],res_Name,0)),0))</f>
        <v>0</v>
      </c>
      <c r="CY139" s="45" t="n">
        <f aca="false">IF(AND(AND(Tasks[[#This Row],[_IsLeaf]]=1,Tasks[[#This Row],[_LeafTotalWork]]&gt;0),Tasks[[#This Row],[_Res2Work]]&gt;0),Tasks[[#This Row],[_Res2Work]]/(Tasks[[#This Row],[_FinishWorkday]]-Tasks[[#This Row],[_StartWorkday]]+1),0)</f>
        <v>0</v>
      </c>
      <c r="CZ139" s="45" t="n">
        <f aca="false">Tasks[[#This Row],[_Res2WorkPerWD]]*MAX(0,Tasks[[#This Row],[_StartWorkday]]-1)</f>
        <v>0</v>
      </c>
      <c r="DA139" s="45" t="n">
        <f aca="false">Tasks[[#This Row],[_Res2Work]]*Tasks[[#This Row],[_LeafProgress]]</f>
        <v>0</v>
      </c>
      <c r="DB139" s="45" t="n">
        <f aca="false">IF(Tasks[[#This Row],[_LeafTotalCost]]=0,0,Tasks[[#This Row],[_LeafAC]]*Tasks[[#This Row],[_Res2Cost]]/Tasks[[#This Row],[_LeafTotalCost]])</f>
        <v>0</v>
      </c>
      <c r="DC13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3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39" s="45" t="n">
        <f aca="false">IF(OR(NOT(Tasks[[#This Row],[_IsLeaf]]=1),Tasks[[#This Row],[_Res3]]=""),0,IF(ISNA(MATCH(Tasks[[#This Row],[_Res3]],res_Name,0)),0,N(Tasks[[#This Row],[Duration]])*HoursPerDay*IF(Tasks[[#This Row],[_Res3Units]]="",DefaultUnits,Tasks[[#This Row],[_Res3Units]])))</f>
        <v>0</v>
      </c>
      <c r="DF139" s="45" t="n">
        <f aca="false">IF(Tasks[[#This Row],[_Res3Work]]=0,0,Tasks[[#This Row],[_Res3Work]]*IFERROR(INDEX(res_Rate,MATCH(Tasks[[#This Row],[_Res3]],res_Name,0)),0))</f>
        <v>0</v>
      </c>
      <c r="DG139" s="45" t="n">
        <f aca="false">IF(AND(AND(Tasks[[#This Row],[_IsLeaf]]=1,Tasks[[#This Row],[_LeafTotalWork]]&gt;0),Tasks[[#This Row],[_Res3Work]]&gt;0),Tasks[[#This Row],[_Res3Work]]/(Tasks[[#This Row],[_FinishWorkday]]-Tasks[[#This Row],[_StartWorkday]]+1),0)</f>
        <v>0</v>
      </c>
      <c r="DH139" s="45" t="n">
        <f aca="false">Tasks[[#This Row],[_Res3WorkPerWD]]*MAX(0,Tasks[[#This Row],[_StartWorkday]]-1)</f>
        <v>0</v>
      </c>
      <c r="DI139" s="45" t="n">
        <f aca="false">Tasks[[#This Row],[_Res3Work]]*Tasks[[#This Row],[_LeafProgress]]</f>
        <v>0</v>
      </c>
      <c r="DJ139" s="45" t="n">
        <f aca="false">IF(Tasks[[#This Row],[_LeafTotalCost]]=0,0,Tasks[[#This Row],[_LeafAC]]*Tasks[[#This Row],[_Res3Cost]]/Tasks[[#This Row],[_LeafTotalCost]])</f>
        <v>0</v>
      </c>
      <c r="DK13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3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39" s="45" t="n">
        <f aca="false">IF(OR(NOT(Tasks[[#This Row],[_IsLeaf]]=1),Tasks[[#This Row],[_Res4]]=""),0,IF(ISNA(MATCH(Tasks[[#This Row],[_Res4]],res_Name,0)),0,N(Tasks[[#This Row],[Duration]])*HoursPerDay*IF(Tasks[[#This Row],[_Res4Units]]="",DefaultUnits,Tasks[[#This Row],[_Res4Units]])))</f>
        <v>0</v>
      </c>
      <c r="DN139" s="45" t="n">
        <f aca="false">IF(Tasks[[#This Row],[_Res4Work]]=0,0,Tasks[[#This Row],[_Res4Work]]*IFERROR(INDEX(res_Rate,MATCH(Tasks[[#This Row],[_Res4]],res_Name,0)),0))</f>
        <v>0</v>
      </c>
      <c r="DO139" s="45" t="n">
        <f aca="false">IF(AND(AND(Tasks[[#This Row],[_IsLeaf]]=1,Tasks[[#This Row],[_LeafTotalWork]]&gt;0),Tasks[[#This Row],[_Res4Work]]&gt;0),Tasks[[#This Row],[_Res4Work]]/(Tasks[[#This Row],[_FinishWorkday]]-Tasks[[#This Row],[_StartWorkday]]+1),0)</f>
        <v>0</v>
      </c>
      <c r="DP139" s="45" t="n">
        <f aca="false">Tasks[[#This Row],[_Res4WorkPerWD]]*MAX(0,Tasks[[#This Row],[_StartWorkday]]-1)</f>
        <v>0</v>
      </c>
      <c r="DQ139" s="45" t="n">
        <f aca="false">Tasks[[#This Row],[_Res4Work]]*Tasks[[#This Row],[_LeafProgress]]</f>
        <v>0</v>
      </c>
      <c r="DR139" s="45" t="n">
        <f aca="false">IF(Tasks[[#This Row],[_LeafTotalCost]]=0,0,Tasks[[#This Row],[_LeafAC]]*Tasks[[#This Row],[_Res4Cost]]/Tasks[[#This Row],[_LeafTotalCost]])</f>
        <v>0</v>
      </c>
      <c r="DS139" s="45" t="n">
        <f aca="false">IF(ISNUMBER(Tasks[[#This Row],[% Complete]]),Tasks[[#This Row],[% Complete]],IF(Tasks[[#This Row],[Stage]]="",0,IFERROR(INDEX(stg_Pct,MATCH(Tasks[[#This Row],[Stage]],stg_Name,0)),0)))</f>
        <v>0</v>
      </c>
      <c r="DT139" s="45" t="n">
        <f aca="false">IF(NOT(Tasks[[#This Row],[_IsLeaf]]=1),0,IF(N(Tasks[[#This Row],[Actual Finish]])&gt;0,1,MIN(1,Tasks[[#This Row],[_Pct]])))</f>
        <v>0</v>
      </c>
      <c r="DU139" s="45" t="n">
        <f aca="false">IF(OR(NOT(Tasks[[#This Row],[_IsLeaf]]=1),Tasks[[#This Row],[_Resource1]]=""),0,IF(ISNA(MATCH(Tasks[[#This Row],[_Resource1]],res_Name,0)),0,N(Tasks[[#This Row],[Duration]])*HoursPerDay*IF(Tasks[[#This Row],[_Units1]]="",DefaultUnits,Tasks[[#This Row],[_Units1]])))</f>
        <v>0</v>
      </c>
      <c r="DV139" s="45" t="n">
        <f aca="false">IF(Tasks[[#This Row],[_LeafWork]]=0,0,Tasks[[#This Row],[_LeafWork]]*IFERROR(INDEX(res_Rate,MATCH(Tasks[[#This Row],[_Resource1]],res_Name,0)),0))</f>
        <v>0</v>
      </c>
      <c r="DW139" s="45" t="n">
        <f aca="false">Tasks[[#This Row],[_LeafWork]]+Tasks[[#This Row],[_Res2Work]]+Tasks[[#This Row],[_Res3Work]]+Tasks[[#This Row],[_Res4Work]]</f>
        <v>0</v>
      </c>
      <c r="DX139" s="45" t="n">
        <f aca="false">Tasks[[#This Row],[_LeafCost]]+Tasks[[#This Row],[_Res2Cost]]+Tasks[[#This Row],[_Res3Cost]]+Tasks[[#This Row],[_Res4Cost]]</f>
        <v>0</v>
      </c>
      <c r="DY139" s="45" t="n">
        <f aca="false">IF(Tasks[[#This Row],[_LeafTotalCost]]=0,Tasks[[#This Row],[_LeafAC]],Tasks[[#This Row],[_LeafAC]]*Tasks[[#This Row],[_LeafCost]]/Tasks[[#This Row],[_LeafTotalCost]])</f>
        <v>0</v>
      </c>
      <c r="DZ13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3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3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3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3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3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3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3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39" s="45" t="n">
        <f aca="false">IF(NOT(Tasks[[#This Row],[_IsLeaf]]=1),0,MAX(_xlfn.MAXIFS(Tasks[_Row],Tasks[_Pred1UID],Tasks[[#This Row],[UID]]),_xlfn.MAXIFS(Tasks[_Row],Tasks[_Pred2UID],Tasks[[#This Row],[UID]]),_xlfn.MAXIFS(Tasks[_Row],Tasks[_Pred3UID],Tasks[[#This Row],[UID]]),_xlfn.MAXIFS(Tasks[_Row],Tasks[_Pred4UID],Tasks[[#This Row],[UID]])))</f>
        <v>0</v>
      </c>
      <c r="EI13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3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39" s="74" t="str">
        <f aca="false">IF(NOT(Tasks[[#This Row],[_IsLeaf]]=1),"",IF(N(Tasks[[#This Row],[Duration]])&lt;=0,Tasks[[#This Row],[_LeafLateFinish]],WORKDAY.INTL(Tasks[[#This Row],[_LeafLateFinish]],-(Tasks[[#This Row],[Duration]]-1),WorkWeek,Holidays)))</f>
        <v/>
      </c>
      <c r="EL13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39" s="73" t="b">
        <f aca="false">AND(Tasks[[#This Row],[_IsLeaf]]=1,Tasks[[#This Row],[_LeafProgress]]&lt;1,N(Tasks[[#This Row],[_LeafTotalSlack]])&lt;=CriticalSlackDays)</f>
        <v>0</v>
      </c>
      <c r="EN139" s="45" t="n">
        <f aca="false">IF(AND(Tasks[[#This Row],[_IsLeaf]]=1,Tasks[[#This Row],[_ConstraintCode]]=1,Tasks[[#This Row],[Mode]]&lt;&gt;"Manual",N(Tasks[[#This Row],[Actual Start]])=0),MAX(0,N(Tasks[[#This Row],[Free Slack]])),0)</f>
        <v>0</v>
      </c>
      <c r="EO139" s="74" t="str">
        <f aca="false">IF(NOT(Tasks[[#This Row],[_IsLeaf]]=1),"",IF(Tasks[[#This Row],[_AlapShift]]=0,Tasks[[#This Row],[_LeafCalcStart]],WORKDAY.INTL(Tasks[[#This Row],[_LeafCalcStart]],Tasks[[#This Row],[_AlapShift]],WorkWeek,Holidays)))</f>
        <v/>
      </c>
      <c r="EP139" s="74" t="str">
        <f aca="false">IF(NOT(Tasks[[#This Row],[_IsLeaf]]=1),"",IF(Tasks[[#This Row],[_AlapShift]]=0,Tasks[[#This Row],[_LeafCalcFinish]],WORKDAY.INTL(Tasks[[#This Row],[_LeafCalcFinish]],Tasks[[#This Row],[_AlapShift]],WorkWeek,Holidays)))</f>
        <v/>
      </c>
      <c r="EQ139" s="74" t="str">
        <f aca="false">IF(NOT(Tasks[[#This Row],[_IsLeaf]]=1),"",IF(Tasks[[#This Row],[_AlapShift]]=0,Tasks[[#This Row],[_LeafFcstStart]],WORKDAY.INTL(Tasks[[#This Row],[_LeafFcstStart]],Tasks[[#This Row],[_AlapShift]],WorkWeek,Holidays)))</f>
        <v/>
      </c>
      <c r="ER139" s="74" t="str">
        <f aca="false">IF(NOT(Tasks[[#This Row],[_IsLeaf]]=1),"",IF(Tasks[[#This Row],[_AlapShift]]=0,Tasks[[#This Row],[_LeafFcstFinish]],WORKDAY.INTL(Tasks[[#This Row],[_LeafFcstFinish]],Tasks[[#This Row],[_AlapShift]],WorkWeek,Holidays)))</f>
        <v/>
      </c>
      <c r="ES139" s="74" t="str">
        <f aca="false">IF(Tasks[[#This Row],[Task Name]]="","",IF(Tasks[[#This Row],[_IsSummary]],MIN(INDEX(Tasks[_ShownCalcStart],Tasks[[#This Row],[_Row]]+1):INDEX(Tasks[_ShownCalcStart],Tasks[[#This Row],[_Row]]+Tasks[[#This Row],[_Descendants]])),Tasks[[#This Row],[_ShownCalcStart]]))</f>
        <v/>
      </c>
      <c r="ET139" s="74" t="str">
        <f aca="false">IF(Tasks[[#This Row],[Task Name]]="","",IF(Tasks[[#This Row],[_IsSummary]],MAX(INDEX(Tasks[_ShownCalcFinish],Tasks[[#This Row],[_Row]]+1):INDEX(Tasks[_ShownCalcFinish],Tasks[[#This Row],[_Row]]+Tasks[[#This Row],[_Descendants]])),Tasks[[#This Row],[_ShownCalcFinish]]))</f>
        <v/>
      </c>
      <c r="EU13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3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3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3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3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3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3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3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3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3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3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3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39" s="45" t="n">
        <f aca="false">IF(AND(Tasks[[#This Row],[_IsLeaf]]=1,Tasks[[#This Row],[_LeafTotalWork]]&gt;0),NETWORKDAYS.INTL(ProjectStart,Tasks[[#This Row],[_ShownFcstStart]],WorkWeek,Holidays),0)</f>
        <v>0</v>
      </c>
      <c r="FH139" s="45" t="n">
        <f aca="false">IF(AND(Tasks[[#This Row],[_IsLeaf]]=1,Tasks[[#This Row],[_LeafTotalWork]]&gt;0),MAX(Tasks[[#This Row],[_StartWorkday]],NETWORKDAYS.INTL(ProjectStart,Tasks[[#This Row],[_ShownFcstFinish]],WorkWeek,Holidays)),0)</f>
        <v>0</v>
      </c>
      <c r="FI139" s="45" t="n">
        <f aca="false">IF(AND(Tasks[[#This Row],[_IsLeaf]]=1,Tasks[[#This Row],[_LeafTotalWork]]&gt;0),Tasks[[#This Row],[_LeafWork]]/(Tasks[[#This Row],[_FinishWorkday]]-Tasks[[#This Row],[_StartWorkday]]+1),0)</f>
        <v>0</v>
      </c>
      <c r="FJ139" s="45" t="n">
        <f aca="false">Tasks[[#This Row],[_WorkPerWorkday]]*(Tasks[[#This Row],[_StartWorkday]]-1)</f>
        <v>-0</v>
      </c>
      <c r="FK139" s="45" t="n">
        <f aca="false">IF(Tasks[[#This Row],[_IsLeaf]]=1,MAX(N(Tasks[[#This Row],[Duration]]),0.1),0)</f>
        <v>0</v>
      </c>
      <c r="FL139" s="45" t="n">
        <f aca="false">Tasks[[#This Row],[_WeightDur]]*Tasks[[#This Row],[_LeafProgress]]</f>
        <v>0</v>
      </c>
      <c r="FM13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39" s="45" t="str">
        <f aca="false">IF(AND(Tasks[[#This Row],[_IsLeaf]]=1,N(Tasks[[#This Row],[Duration]])=0,Tasks[[#This Row],[_LeafProgress]]&lt;1),Tasks[[#This Row],[_ShownFcstFinish]]+Tasks[[#This Row],[_Row]]/100000,"")</f>
        <v/>
      </c>
      <c r="FO13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39" s="45" t="n">
        <f aca="false">IF(NOT(Tasks[[#This Row],[_IsLeaf]]=1),0,IF(Tasks[[#This Row],[Baseline Cost]]="",Tasks[[#This Row],[_LeafTotalCost]],N(Tasks[[#This Row],[Baseline Cost]])))</f>
        <v>0</v>
      </c>
      <c r="FQ139" s="45" t="n">
        <f aca="false">Tasks[[#This Row],[_LeafBudget]]*Tasks[[#This Row],[_PlannedPct]]</f>
        <v>0</v>
      </c>
      <c r="FR139" s="45" t="n">
        <f aca="false">Tasks[[#This Row],[_LeafBudget]]*Tasks[[#This Row],[_LeafProgress]]</f>
        <v>0</v>
      </c>
      <c r="FS139" s="45" t="n">
        <f aca="false">IF(NOT(Tasks[[#This Row],[_IsLeaf]]=1),0,IF(Tasks[[#This Row],[Actual Cost]]="",Tasks[[#This Row],[_LeafTotalCost]]*Tasks[[#This Row],[_LeafProgress]],N(Tasks[[#This Row],[Actual Cost]])))</f>
        <v>0</v>
      </c>
      <c r="FT139" s="45" t="str">
        <f aca="false">IF(Tasks[[#This Row],[Task Name]]="","",LEFT(Tasks[[#This Row],[WBS]],FIND(".",Tasks[[#This Row],[WBS]]&amp;".")-1))</f>
        <v/>
      </c>
      <c r="FU139" s="45" t="str">
        <f aca="false">IF(AND(Tasks[[#This Row],[Task Name]]&lt;&gt;"",Tasks[[#This Row],[_Level]]=1),Tasks[[#This Row],[_Row]],"")</f>
        <v/>
      </c>
      <c r="FV139" s="45" t="str">
        <f aca="false">IF(AND(Tasks[[#This Row],[_IsLeaf]]=1,N(Tasks[[#This Row],[Duration]])=0),Tasks[[#This Row],[Planned Finish]]+Tasks[[#This Row],[_Row]]/100000,"")</f>
        <v/>
      </c>
      <c r="FW139" s="45" t="str">
        <f aca="false">IF(AND(Tasks[[#This Row],[_IsLeaf]]=1,Tasks[[#This Row],[_LeafProgress]]&lt;1,OR(N(Tasks[[#This Row],[Finish Var]])&gt;0,Tasks[[#This Row],[Status]]="Late Start")),MAX(0,Tasks[[#This Row],[Finish Var]])+1-Tasks[[#This Row],[_Row]]/1000000,"")</f>
        <v/>
      </c>
      <c r="FX139" s="45" t="str">
        <f aca="false">IF(AND(Tasks[[#This Row],[_IsLeaf]]=1,N(Tasks[[#This Row],[Actual Start]])=0,Tasks[[#This Row],[_ShownFcstStart]]&gt;=StatusDate,Tasks[[#This Row],[_ShownFcstStart]]&lt;=LookaheadEnd),Tasks[[#This Row],[_ShownFcstStart]]+Tasks[[#This Row],[_Row]]/100000,"")</f>
        <v/>
      </c>
      <c r="FY139" s="45" t="str">
        <f aca="false">IF(AND(Tasks[[#This Row],[_IsLeaf]]=1,Tasks[[#This Row],[_LeafProgress]]&lt;1,Tasks[[#This Row],[_ShownFcstFinish]]&gt;=StatusDate,Tasks[[#This Row],[_ShownFcstFinish]]&lt;=LookaheadEnd),Tasks[[#This Row],[_ShownFcstFinish]]+Tasks[[#This Row],[_Row]]/100000,"")</f>
        <v/>
      </c>
      <c r="FZ139" s="45" t="str">
        <f aca="false">IF(Tasks[[#This Row],[_LeafCritical]],Tasks[[#This Row],[_ShownFcstStart]]+Tasks[[#This Row],[_Row]]/100000,"")</f>
        <v/>
      </c>
      <c r="GA139" s="45" t="n">
        <f aca="false">Tasks[[#This Row],[_LeafWork]]*Tasks[[#This Row],[_LeafProgress]]</f>
        <v>0</v>
      </c>
      <c r="GB139" s="74" t="str">
        <f aca="false">IF(AND(Tasks[[#This Row],[_IsLeaf]]=1,Tasks[[#This Row],[_LeafProgress]]&gt;=1),IF(N(Tasks[[#This Row],[Actual Finish]])&gt;0,Tasks[[#This Row],[Actual Finish]],Tasks[[#This Row],[_ShownFcstFinish]]),"")</f>
        <v/>
      </c>
    </row>
    <row r="140" customFormat="false" ht="15" hidden="false" customHeight="false" outlineLevel="0" collapsed="false">
      <c r="A140" s="67" t="str">
        <f aca="false">IF(Tasks[[#This Row],[Task Name]]="","",COUNTA(Tasks[[#Headers],[Task Name]]:Tasks[[#This Row],[Task Name]])-1)</f>
        <v/>
      </c>
      <c r="B140" s="21" t="n">
        <v>135</v>
      </c>
      <c r="C14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21"/>
      <c r="E140" s="22"/>
      <c r="F140" s="21"/>
      <c r="G140" s="22"/>
      <c r="H140" s="22"/>
      <c r="I140" s="22"/>
      <c r="J140" s="7"/>
      <c r="K140" s="7"/>
      <c r="L140" s="22"/>
      <c r="M140" s="58" t="str">
        <f aca="false">IF(Tasks[[#This Row],[Task Name]]="","",IF(Tasks[[#This Row],[_IsSummary]],MIN(INDEX(Tasks[_ShownFcstStart],Tasks[[#This Row],[_Row]]+1):INDEX(Tasks[_ShownFcstStart],Tasks[[#This Row],[_Row]]+Tasks[[#This Row],[_Descendants]])),Tasks[[#This Row],[_ShownFcstStart]]))</f>
        <v/>
      </c>
      <c r="N140" s="58" t="str">
        <f aca="false">IF(Tasks[[#This Row],[Task Name]]="","",IF(Tasks[[#This Row],[_IsSummary]],MAX(INDEX(Tasks[_ShownFcstFinish],Tasks[[#This Row],[_Row]]+1):INDEX(Tasks[_ShownFcstFinish],Tasks[[#This Row],[_Row]]+Tasks[[#This Row],[_Descendants]])),Tasks[[#This Row],[_ShownFcstFinish]]))</f>
        <v/>
      </c>
      <c r="O140" s="20" t="str">
        <f aca="false">IF(Tasks[[#This Row],[Task Name]]="","",IF(Tasks[[#This Row],[Progress]]&gt;=1,"Complete",IF(OR(N(Tasks[[#This Row],[Actual Start]])&gt;0,Tasks[[#This Row],[Progress]]&gt;0),IF(Tasks[[#This Row],[Finish Var]]&gt;0,"Behind","In Progress"),IF(Tasks[[#This Row],[Planned Start]]&lt;StatusDate,"Late Start","Not Started"))))</f>
        <v/>
      </c>
      <c r="P140" s="20" t="str">
        <f aca="false">IF(Tasks[[#This Row],[Task Name]]="","",IF(IF(Tasks[[#This Row],[_IsSummary]],COUNTIF(INDEX(Tasks[_LeafCritical],Tasks[[#This Row],[_Row]]+1):INDEX(Tasks[_LeafCritical],Tasks[[#This Row],[_Row]]+Tasks[[#This Row],[_Descendants]]),TRUE())&gt;0,Tasks[[#This Row],[_LeafCritical]]),"Yes",""))</f>
        <v/>
      </c>
      <c r="Q14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40" s="67" t="str">
        <f aca="false">IF(Tasks[[#This Row],[Task Name]]="","",IF(Tasks[[#This Row],[_Level]]&lt;=OutlineShowLevel,"Yes","No"))</f>
        <v/>
      </c>
      <c r="S140" s="7"/>
      <c r="T140" s="21"/>
      <c r="U140" s="22"/>
      <c r="V140" s="7"/>
      <c r="W140" s="67" t="str">
        <f aca="false">IF(Tasks[[#This Row],[Task Name]]="","",IF(Tasks[[#This Row],[Finish]]&gt;=Tasks[[#This Row],[Planned Finish]],NETWORKDAYS.INTL(Tasks[[#This Row],[Planned Finish]],Tasks[[#This Row],[Finish]],WorkWeek,Holidays)-1,1-NETWORKDAYS.INTL(Tasks[[#This Row],[Finish]],Tasks[[#This Row],[Planned Finish]],WorkWeek,Holidays)))</f>
        <v/>
      </c>
      <c r="X140" s="58" t="str">
        <f aca="false">IF(Tasks[[#This Row],[Task Name]]="","",IF(N(Tasks[[#This Row],[Baseline Start]])&gt;0,Tasks[[#This Row],[Baseline Start]],Tasks[[#This Row],[_CalcStart]]))</f>
        <v/>
      </c>
      <c r="Y140" s="58" t="str">
        <f aca="false">IF(Tasks[[#This Row],[Task Name]]="","",IF(N(Tasks[[#This Row],[Baseline Finish]])&gt;0,Tasks[[#This Row],[Baseline Finish]],Tasks[[#This Row],[_CalcFinish]]))</f>
        <v/>
      </c>
      <c r="Z140" s="67" t="str">
        <f aca="false">IF(Tasks[[#This Row],[Task Name]]="","",IF(Tasks[[#This Row],[Start]]&gt;=Tasks[[#This Row],[Planned Start]],NETWORKDAYS.INTL(Tasks[[#This Row],[Planned Start]],Tasks[[#This Row],[Start]],WorkWeek,Holidays)-1,1-NETWORKDAYS.INTL(Tasks[[#This Row],[Start]],Tasks[[#This Row],[Planned Start]],WorkWeek,Holidays)))</f>
        <v/>
      </c>
      <c r="AA140" s="58" t="str">
        <f aca="false">IF(Tasks[[#This Row],[Task Name]]="","",IF(Tasks[[#This Row],[_IsSummary]],MIN(INDEX(Tasks[_LeafLateStart],Tasks[[#This Row],[_Row]]+1):INDEX(Tasks[_LeafLateStart],Tasks[[#This Row],[_Row]]+Tasks[[#This Row],[_Descendants]])),Tasks[[#This Row],[_LeafLateStart]]))</f>
        <v/>
      </c>
      <c r="AB140" s="58" t="str">
        <f aca="false">IF(Tasks[[#This Row],[Task Name]]="","",IF(Tasks[[#This Row],[_IsSummary]],MAX(INDEX(Tasks[_LeafLateFinish],Tasks[[#This Row],[_Row]]+1):INDEX(Tasks[_LeafLateFinish],Tasks[[#This Row],[_Row]]+Tasks[[#This Row],[_Descendants]])),Tasks[[#This Row],[_LeafLateFinish]]))</f>
        <v/>
      </c>
      <c r="AC140" s="67" t="str">
        <f aca="false">IF(Tasks[[#This Row],[Task Name]]="","",IF(Tasks[[#This Row],[_IsSummary]],MIN(INDEX(Tasks[_LeafTotalSlack],Tasks[[#This Row],[_Row]]+1):INDEX(Tasks[_LeafTotalSlack],Tasks[[#This Row],[_Row]]+Tasks[[#This Row],[_Descendants]])),Tasks[[#This Row],[_LeafTotalSlack]]))</f>
        <v/>
      </c>
      <c r="AD14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4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4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40" s="60"/>
      <c r="AH14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4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40" s="69" t="str">
        <f aca="false">IF(Tasks[[#This Row],[Task Name]]="","",IF(Tasks[[#This Row],[_IsSummary]],SUM(INDEX(Tasks[_LeafTotalWork],Tasks[[#This Row],[_Row]]+1):INDEX(Tasks[_LeafTotalWork],Tasks[[#This Row],[_Row]]+Tasks[[#This Row],[_Descendants]])),Tasks[[#This Row],[_LeafTotalWork]]))</f>
        <v/>
      </c>
      <c r="AK14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40" s="70" t="str">
        <f aca="false">IF(Tasks[[#This Row],[Task Name]]="","",IF(Tasks[[#This Row],[_IsSummary]],SUM(INDEX(Tasks[_LeafTotalCost],Tasks[[#This Row],[_Row]]+1):INDEX(Tasks[_LeafTotalCost],Tasks[[#This Row],[_Row]]+Tasks[[#This Row],[_Descendants]])),Tasks[[#This Row],[_LeafTotalCost]]))</f>
        <v/>
      </c>
      <c r="AM140" s="71"/>
      <c r="AN140" s="20" t="str">
        <f aca="false">IF(OR(Tasks[[#This Row],[Task Name]]="",Tasks[[#This Row],[Baseline Duration]]=""),"",Tasks[[#This Row],[BL Source Duration]]-N(Tasks[[#This Row],[Baseline Duration]]))</f>
        <v/>
      </c>
      <c r="AO140" s="69" t="str">
        <f aca="false">IF(OR(Tasks[[#This Row],[Task Name]]="",Tasks[[#This Row],[Baseline Work]]=""),"",Tasks[[#This Row],[Work]]-N(Tasks[[#This Row],[Baseline Work]]))</f>
        <v/>
      </c>
      <c r="AP140" s="70" t="str">
        <f aca="false">IF(OR(Tasks[[#This Row],[Task Name]]="",Tasks[[#This Row],[Baseline Cost]]=""),"",Tasks[[#This Row],[Cost]]-N(Tasks[[#This Row],[Baseline Cost]]))</f>
        <v/>
      </c>
      <c r="AQ140" s="58" t="str">
        <f aca="false">IF(Tasks[[#This Row],[Task Name]]="","",Tasks[[#This Row],[Start]])</f>
        <v/>
      </c>
      <c r="AR140" s="58" t="str">
        <f aca="false">IF(Tasks[[#This Row],[Task Name]]="","",Tasks[[#This Row],[Finish]])</f>
        <v/>
      </c>
      <c r="AS140" s="67" t="str">
        <f aca="false">IF(Tasks[[#This Row],[Task Name]]="","",IF(Tasks[[#This Row],[_IsSummary]],NETWORKDAYS.INTL(Tasks[[#This Row],[Start]],Tasks[[#This Row],[Finish]],WorkWeek,Holidays),N(Tasks[[#This Row],[Duration]])))</f>
        <v/>
      </c>
      <c r="AT140" s="69" t="str">
        <f aca="false">IF(Tasks[[#This Row],[Task Name]]="","",Tasks[[#This Row],[Work]])</f>
        <v/>
      </c>
      <c r="AU140" s="70" t="str">
        <f aca="false">IF(Tasks[[#This Row],[Task Name]]="","",Tasks[[#This Row],[Cost]])</f>
        <v/>
      </c>
      <c r="AV140" s="7"/>
      <c r="AW140" s="7"/>
      <c r="AX140" s="21"/>
      <c r="AY140" s="72"/>
      <c r="AZ140" s="71"/>
      <c r="BA140" s="70" t="str">
        <f aca="false">IF(Tasks[[#This Row],[Task Name]]="","",IF(Tasks[[#This Row],[_IsSummary]],SUM(INDEX(Tasks[_LeafEV],Tasks[[#This Row],[_Row]]+1):INDEX(Tasks[_LeafEV],Tasks[[#This Row],[_Row]]+Tasks[[#This Row],[_Descendants]])),Tasks[[#This Row],[_LeafEV]]))</f>
        <v/>
      </c>
      <c r="BB140" s="70" t="str">
        <f aca="false">IF(Tasks[[#This Row],[Task Name]]="","",IF(Tasks[[#This Row],[_IsSummary]],SUM(INDEX(Tasks[_LeafBudget],Tasks[[#This Row],[_Row]]+1):INDEX(Tasks[_LeafBudget],Tasks[[#This Row],[_Row]]+Tasks[[#This Row],[_Descendants]])),Tasks[[#This Row],[_LeafBudget]]))</f>
        <v/>
      </c>
      <c r="BC140" s="70" t="str">
        <f aca="false">IF(Tasks[[#This Row],[Task Name]]="","",IF(Tasks[[#This Row],[_IsSummary]],SUM(INDEX(Tasks[_LeafPV],Tasks[[#This Row],[_Row]]+1):INDEX(Tasks[_LeafPV],Tasks[[#This Row],[_Row]]+Tasks[[#This Row],[_Descendants]])),Tasks[[#This Row],[_LeafPV]]))</f>
        <v/>
      </c>
      <c r="BD140" s="70" t="str">
        <f aca="false">IF(Tasks[[#This Row],[Task Name]]="","",IF(Tasks[[#This Row],[_IsSummary]],SUM(INDEX(Tasks[_LeafAC],Tasks[[#This Row],[_Row]]+1):INDEX(Tasks[_LeafAC],Tasks[[#This Row],[_Row]]+Tasks[[#This Row],[_Descendants]])),Tasks[[#This Row],[_LeafAC]]))</f>
        <v/>
      </c>
      <c r="BE140" s="45" t="str">
        <f aca="false">IF(Tasks[[#This Row],[Task Name]]="","",MAX(1,N(Tasks[[#This Row],[Level]])))</f>
        <v/>
      </c>
      <c r="BF140" s="45" t="n">
        <f aca="false">ROW()-ROW(Tasks[[#Headers],[ID]])</f>
        <v>135</v>
      </c>
      <c r="BG140" s="45" t="n">
        <f aca="false">IF(OR(Tasks[[#This Row],[Task Name]]="",Tasks[[#This Row],[_Level]]&lt;=1),0,IFERROR(LOOKUP(2,1/(Tasks[[#Headers],[_Level]]:Tasks[[#This Row],[_Level]]=Tasks[[#This Row],[_Level]]-1),ROW(Tasks[[#Headers],[_Level]]:Tasks[[#This Row],[_Level]])),0))</f>
        <v>0</v>
      </c>
      <c r="BH140" s="45" t="n">
        <f aca="false">IFERROR(N(INDEX(Tasks[_Level],Tasks[[#This Row],[_Row]]+1)),0)</f>
        <v>0</v>
      </c>
      <c r="BI140" s="73" t="b">
        <f aca="false">AND(Tasks[[#This Row],[Task Name]]&lt;&gt;"",Tasks[[#This Row],[_NextLevel]]&gt;Tasks[[#This Row],[_Level]])</f>
        <v>0</v>
      </c>
      <c r="BJ140" s="45" t="n">
        <f aca="false">IF(Tasks[[#This Row],[_IsSummary]],COUNTIF(Tasks[WBS],Tasks[[#This Row],[WBS]]&amp;".*"),0)</f>
        <v>0</v>
      </c>
      <c r="BK140" s="45" t="n">
        <f aca="false">IF(AND(Tasks[[#This Row],[Task Name]]&lt;&gt;"",NOT(Tasks[[#This Row],[_IsSummary]])),1,0)</f>
        <v>0</v>
      </c>
      <c r="BL140" s="45" t="n">
        <f aca="false">IF(N(Tasks[[#This Row],[_Pred1UID]])=0,0,IFERROR(MATCH(Tasks[[#This Row],[_Pred1UID]],Tasks[UID],0),-1))</f>
        <v>0</v>
      </c>
      <c r="BM140" s="45" t="n">
        <f aca="false">IF(N(Tasks[[#This Row],[_Pred2UID]])=0,0,IFERROR(MATCH(Tasks[[#This Row],[_Pred2UID]],Tasks[UID],0),-1))</f>
        <v>0</v>
      </c>
      <c r="BN140" s="45" t="n">
        <f aca="false">IF(N(Tasks[[#This Row],[_Pred3UID]])=0,0,IFERROR(MATCH(Tasks[[#This Row],[_Pred3UID]],Tasks[UID],0),-1))</f>
        <v>0</v>
      </c>
      <c r="BO140" s="45" t="n">
        <f aca="false">IF(N(Tasks[[#This Row],[_Pred4UID]])=0,0,IFERROR(MATCH(Tasks[[#This Row],[_Pred4UID]],Tasks[UID],0),-1))</f>
        <v>0</v>
      </c>
      <c r="BP14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4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40" s="74" t="n">
        <f aca="false">IF(OR(Tasks[[#This Row],[_ConstraintCode]]=2,Tasks[[#This Row],[_ConstraintCode]]=3,Tasks[[#This Row],[_ConstraintCode]]=4,Tasks[[#This Row],[_ConstraintCode]]=6),Tasks[[#This Row],[_ConstraintStart]],0)</f>
        <v>0</v>
      </c>
      <c r="BS140" s="74" t="n">
        <f aca="false">IF(OR(Tasks[[#This Row],[_ConstraintCode]]=2,Tasks[[#This Row],[_ConstraintCode]]=3,Tasks[[#This Row],[_ConstraintCode]]=5,Tasks[[#This Row],[_ConstraintCode]]=7),Tasks[[#This Row],[_ConstraintStart]],2958465)</f>
        <v>2958465</v>
      </c>
      <c r="BT14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40" s="74" t="str">
        <f aca="false">IF(NOT(Tasks[[#This Row],[_IsLeaf]]=1),"",IF(N(Tasks[[#This Row],[Duration]])&lt;=0,Tasks[[#This Row],[_LeafCalcStart]],WORKDAY.INTL(Tasks[[#This Row],[_LeafCalcStart]],Tasks[[#This Row],[Duration]]-1,WorkWeek,Holidays)))</f>
        <v/>
      </c>
      <c r="BV14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4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40" s="45" t="str">
        <f aca="false">IF(Tasks[[#This Row],[Predecessors]]="","",TRIM(MID(SUBSTITUTE(SUBSTITUTE(SUBSTITUTE(UPPER(Tasks[[#This Row],[Predecessors]]),";",",")," ",""),",",REPT(" ",99)),1,99)))</f>
        <v/>
      </c>
      <c r="BY140" s="45" t="str">
        <f aca="false">IF(Tasks[[#This Row],[_Pred1Text]]="","",IFERROR(VALUE(LEFT(Tasks[[#This Row],[_Pred1Text]],MIN(FIND("F",Tasks[[#This Row],[_Pred1Text]]&amp;"F"),FIND("S",Tasks[[#This Row],[_Pred1Text]]&amp;"S"),FIND("+",Tasks[[#This Row],[_Pred1Text]]&amp;"+"),FIND("-",Tasks[[#This Row],[_Pred1Text]]&amp;"-"))-1)),""))</f>
        <v/>
      </c>
      <c r="BZ14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4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40" s="45" t="str">
        <f aca="false">IF(Tasks[[#This Row],[_Pred1Text]]="","",TRIM(MID(SUBSTITUTE(SUBSTITUTE(SUBSTITUTE(UPPER(Tasks[[#This Row],[Predecessors]]),";",",")," ",""),",",REPT(" ",99)),100,99)))</f>
        <v/>
      </c>
      <c r="CC140" s="45" t="str">
        <f aca="false">IF(Tasks[[#This Row],[_Pred2Text]]="","",IFERROR(VALUE(LEFT(Tasks[[#This Row],[_Pred2Text]],MIN(FIND("F",Tasks[[#This Row],[_Pred2Text]]&amp;"F"),FIND("S",Tasks[[#This Row],[_Pred2Text]]&amp;"S"),FIND("+",Tasks[[#This Row],[_Pred2Text]]&amp;"+"),FIND("-",Tasks[[#This Row],[_Pred2Text]]&amp;"-"))-1)),""))</f>
        <v/>
      </c>
      <c r="CD14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4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40" s="45" t="str">
        <f aca="false">IF(Tasks[[#This Row],[_Pred2Text]]="","",TRIM(MID(SUBSTITUTE(SUBSTITUTE(SUBSTITUTE(UPPER(Tasks[[#This Row],[Predecessors]]),";",",")," ",""),",",REPT(" ",99)),199,99)))</f>
        <v/>
      </c>
      <c r="CG140" s="45" t="str">
        <f aca="false">IF(Tasks[[#This Row],[_Pred3Text]]="","",IFERROR(VALUE(LEFT(Tasks[[#This Row],[_Pred3Text]],MIN(FIND("F",Tasks[[#This Row],[_Pred3Text]]&amp;"F"),FIND("S",Tasks[[#This Row],[_Pred3Text]]&amp;"S"),FIND("+",Tasks[[#This Row],[_Pred3Text]]&amp;"+"),FIND("-",Tasks[[#This Row],[_Pred3Text]]&amp;"-"))-1)),""))</f>
        <v/>
      </c>
      <c r="CH14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4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40" s="45" t="str">
        <f aca="false">IF(Tasks[[#This Row],[_Pred3Text]]="","",TRIM(MID(SUBSTITUTE(SUBSTITUTE(SUBSTITUTE(UPPER(Tasks[[#This Row],[Predecessors]]),";",",")," ",""),",",REPT(" ",99)),298,99)))</f>
        <v/>
      </c>
      <c r="CK140" s="45" t="str">
        <f aca="false">IF(Tasks[[#This Row],[_Pred4Text]]="","",IFERROR(VALUE(LEFT(Tasks[[#This Row],[_Pred4Text]],MIN(FIND("F",Tasks[[#This Row],[_Pred4Text]]&amp;"F"),FIND("S",Tasks[[#This Row],[_Pred4Text]]&amp;"S"),FIND("+",Tasks[[#This Row],[_Pred4Text]]&amp;"+"),FIND("-",Tasks[[#This Row],[_Pred4Text]]&amp;"-"))-1)),""))</f>
        <v/>
      </c>
      <c r="CL14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4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40" s="45" t="str">
        <f aca="false">IF(OR(Tasks[[#This Row],[Task Name]]="",Tasks[[#This Row],[Resources]]=""),"",TRIM(MID(SUBSTITUTE(Tasks[[#This Row],[Resources]],",",REPT(" ",99)),1,99)))</f>
        <v/>
      </c>
      <c r="CO140" s="45" t="str">
        <f aca="false">IF(Tasks[[#This Row],[_Res1Text]]="","",TRIM(MID(SUBSTITUTE(Tasks[[#This Row],[Resources]],",",REPT(" ",99)),100,99)))</f>
        <v/>
      </c>
      <c r="CP140" s="45" t="str">
        <f aca="false">IF(Tasks[[#This Row],[_Res2Text]]="","",TRIM(MID(SUBSTITUTE(Tasks[[#This Row],[Resources]],",",REPT(" ",99)),199,99)))</f>
        <v/>
      </c>
      <c r="CQ140" s="45" t="str">
        <f aca="false">IF(Tasks[[#This Row],[_Res3Text]]="","",TRIM(MID(SUBSTITUTE(Tasks[[#This Row],[Resources]],",",REPT(" ",99)),298,99)))</f>
        <v/>
      </c>
      <c r="CR14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4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0" s="45" t="n">
        <f aca="false">IF(NOT(Tasks[[#This Row],[_IsLeaf]]=1),0,(Tasks[[#This Row],[_Resource1]]&lt;&gt;"")+(Tasks[[#This Row],[_Res2]]&lt;&gt;"")+(Tasks[[#This Row],[_Res3]]&lt;&gt;"")+(Tasks[[#This Row],[_Res4]]&lt;&gt;""))</f>
        <v>0</v>
      </c>
      <c r="CU14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4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0" s="45" t="n">
        <f aca="false">IF(OR(NOT(Tasks[[#This Row],[_IsLeaf]]=1),Tasks[[#This Row],[_Res2]]=""),0,IF(ISNA(MATCH(Tasks[[#This Row],[_Res2]],res_Name,0)),0,N(Tasks[[#This Row],[Duration]])*HoursPerDay*IF(Tasks[[#This Row],[_Res2Units]]="",DefaultUnits,Tasks[[#This Row],[_Res2Units]])))</f>
        <v>0</v>
      </c>
      <c r="CX140" s="45" t="n">
        <f aca="false">IF(Tasks[[#This Row],[_Res2Work]]=0,0,Tasks[[#This Row],[_Res2Work]]*IFERROR(INDEX(res_Rate,MATCH(Tasks[[#This Row],[_Res2]],res_Name,0)),0))</f>
        <v>0</v>
      </c>
      <c r="CY140" s="45" t="n">
        <f aca="false">IF(AND(AND(Tasks[[#This Row],[_IsLeaf]]=1,Tasks[[#This Row],[_LeafTotalWork]]&gt;0),Tasks[[#This Row],[_Res2Work]]&gt;0),Tasks[[#This Row],[_Res2Work]]/(Tasks[[#This Row],[_FinishWorkday]]-Tasks[[#This Row],[_StartWorkday]]+1),0)</f>
        <v>0</v>
      </c>
      <c r="CZ140" s="45" t="n">
        <f aca="false">Tasks[[#This Row],[_Res2WorkPerWD]]*MAX(0,Tasks[[#This Row],[_StartWorkday]]-1)</f>
        <v>0</v>
      </c>
      <c r="DA140" s="45" t="n">
        <f aca="false">Tasks[[#This Row],[_Res2Work]]*Tasks[[#This Row],[_LeafProgress]]</f>
        <v>0</v>
      </c>
      <c r="DB140" s="45" t="n">
        <f aca="false">IF(Tasks[[#This Row],[_LeafTotalCost]]=0,0,Tasks[[#This Row],[_LeafAC]]*Tasks[[#This Row],[_Res2Cost]]/Tasks[[#This Row],[_LeafTotalCost]])</f>
        <v>0</v>
      </c>
      <c r="DC14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4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40" s="45" t="n">
        <f aca="false">IF(OR(NOT(Tasks[[#This Row],[_IsLeaf]]=1),Tasks[[#This Row],[_Res3]]=""),0,IF(ISNA(MATCH(Tasks[[#This Row],[_Res3]],res_Name,0)),0,N(Tasks[[#This Row],[Duration]])*HoursPerDay*IF(Tasks[[#This Row],[_Res3Units]]="",DefaultUnits,Tasks[[#This Row],[_Res3Units]])))</f>
        <v>0</v>
      </c>
      <c r="DF140" s="45" t="n">
        <f aca="false">IF(Tasks[[#This Row],[_Res3Work]]=0,0,Tasks[[#This Row],[_Res3Work]]*IFERROR(INDEX(res_Rate,MATCH(Tasks[[#This Row],[_Res3]],res_Name,0)),0))</f>
        <v>0</v>
      </c>
      <c r="DG140" s="45" t="n">
        <f aca="false">IF(AND(AND(Tasks[[#This Row],[_IsLeaf]]=1,Tasks[[#This Row],[_LeafTotalWork]]&gt;0),Tasks[[#This Row],[_Res3Work]]&gt;0),Tasks[[#This Row],[_Res3Work]]/(Tasks[[#This Row],[_FinishWorkday]]-Tasks[[#This Row],[_StartWorkday]]+1),0)</f>
        <v>0</v>
      </c>
      <c r="DH140" s="45" t="n">
        <f aca="false">Tasks[[#This Row],[_Res3WorkPerWD]]*MAX(0,Tasks[[#This Row],[_StartWorkday]]-1)</f>
        <v>0</v>
      </c>
      <c r="DI140" s="45" t="n">
        <f aca="false">Tasks[[#This Row],[_Res3Work]]*Tasks[[#This Row],[_LeafProgress]]</f>
        <v>0</v>
      </c>
      <c r="DJ140" s="45" t="n">
        <f aca="false">IF(Tasks[[#This Row],[_LeafTotalCost]]=0,0,Tasks[[#This Row],[_LeafAC]]*Tasks[[#This Row],[_Res3Cost]]/Tasks[[#This Row],[_LeafTotalCost]])</f>
        <v>0</v>
      </c>
      <c r="DK14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4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40" s="45" t="n">
        <f aca="false">IF(OR(NOT(Tasks[[#This Row],[_IsLeaf]]=1),Tasks[[#This Row],[_Res4]]=""),0,IF(ISNA(MATCH(Tasks[[#This Row],[_Res4]],res_Name,0)),0,N(Tasks[[#This Row],[Duration]])*HoursPerDay*IF(Tasks[[#This Row],[_Res4Units]]="",DefaultUnits,Tasks[[#This Row],[_Res4Units]])))</f>
        <v>0</v>
      </c>
      <c r="DN140" s="45" t="n">
        <f aca="false">IF(Tasks[[#This Row],[_Res4Work]]=0,0,Tasks[[#This Row],[_Res4Work]]*IFERROR(INDEX(res_Rate,MATCH(Tasks[[#This Row],[_Res4]],res_Name,0)),0))</f>
        <v>0</v>
      </c>
      <c r="DO140" s="45" t="n">
        <f aca="false">IF(AND(AND(Tasks[[#This Row],[_IsLeaf]]=1,Tasks[[#This Row],[_LeafTotalWork]]&gt;0),Tasks[[#This Row],[_Res4Work]]&gt;0),Tasks[[#This Row],[_Res4Work]]/(Tasks[[#This Row],[_FinishWorkday]]-Tasks[[#This Row],[_StartWorkday]]+1),0)</f>
        <v>0</v>
      </c>
      <c r="DP140" s="45" t="n">
        <f aca="false">Tasks[[#This Row],[_Res4WorkPerWD]]*MAX(0,Tasks[[#This Row],[_StartWorkday]]-1)</f>
        <v>0</v>
      </c>
      <c r="DQ140" s="45" t="n">
        <f aca="false">Tasks[[#This Row],[_Res4Work]]*Tasks[[#This Row],[_LeafProgress]]</f>
        <v>0</v>
      </c>
      <c r="DR140" s="45" t="n">
        <f aca="false">IF(Tasks[[#This Row],[_LeafTotalCost]]=0,0,Tasks[[#This Row],[_LeafAC]]*Tasks[[#This Row],[_Res4Cost]]/Tasks[[#This Row],[_LeafTotalCost]])</f>
        <v>0</v>
      </c>
      <c r="DS140" s="45" t="n">
        <f aca="false">IF(ISNUMBER(Tasks[[#This Row],[% Complete]]),Tasks[[#This Row],[% Complete]],IF(Tasks[[#This Row],[Stage]]="",0,IFERROR(INDEX(stg_Pct,MATCH(Tasks[[#This Row],[Stage]],stg_Name,0)),0)))</f>
        <v>0</v>
      </c>
      <c r="DT140" s="45" t="n">
        <f aca="false">IF(NOT(Tasks[[#This Row],[_IsLeaf]]=1),0,IF(N(Tasks[[#This Row],[Actual Finish]])&gt;0,1,MIN(1,Tasks[[#This Row],[_Pct]])))</f>
        <v>0</v>
      </c>
      <c r="DU140" s="45" t="n">
        <f aca="false">IF(OR(NOT(Tasks[[#This Row],[_IsLeaf]]=1),Tasks[[#This Row],[_Resource1]]=""),0,IF(ISNA(MATCH(Tasks[[#This Row],[_Resource1]],res_Name,0)),0,N(Tasks[[#This Row],[Duration]])*HoursPerDay*IF(Tasks[[#This Row],[_Units1]]="",DefaultUnits,Tasks[[#This Row],[_Units1]])))</f>
        <v>0</v>
      </c>
      <c r="DV140" s="45" t="n">
        <f aca="false">IF(Tasks[[#This Row],[_LeafWork]]=0,0,Tasks[[#This Row],[_LeafWork]]*IFERROR(INDEX(res_Rate,MATCH(Tasks[[#This Row],[_Resource1]],res_Name,0)),0))</f>
        <v>0</v>
      </c>
      <c r="DW140" s="45" t="n">
        <f aca="false">Tasks[[#This Row],[_LeafWork]]+Tasks[[#This Row],[_Res2Work]]+Tasks[[#This Row],[_Res3Work]]+Tasks[[#This Row],[_Res4Work]]</f>
        <v>0</v>
      </c>
      <c r="DX140" s="45" t="n">
        <f aca="false">Tasks[[#This Row],[_LeafCost]]+Tasks[[#This Row],[_Res2Cost]]+Tasks[[#This Row],[_Res3Cost]]+Tasks[[#This Row],[_Res4Cost]]</f>
        <v>0</v>
      </c>
      <c r="DY140" s="45" t="n">
        <f aca="false">IF(Tasks[[#This Row],[_LeafTotalCost]]=0,Tasks[[#This Row],[_LeafAC]],Tasks[[#This Row],[_LeafAC]]*Tasks[[#This Row],[_LeafCost]]/Tasks[[#This Row],[_LeafTotalCost]])</f>
        <v>0</v>
      </c>
      <c r="DZ14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4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4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4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4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4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4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4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40" s="45" t="n">
        <f aca="false">IF(NOT(Tasks[[#This Row],[_IsLeaf]]=1),0,MAX(_xlfn.MAXIFS(Tasks[_Row],Tasks[_Pred1UID],Tasks[[#This Row],[UID]]),_xlfn.MAXIFS(Tasks[_Row],Tasks[_Pred2UID],Tasks[[#This Row],[UID]]),_xlfn.MAXIFS(Tasks[_Row],Tasks[_Pred3UID],Tasks[[#This Row],[UID]]),_xlfn.MAXIFS(Tasks[_Row],Tasks[_Pred4UID],Tasks[[#This Row],[UID]])))</f>
        <v>0</v>
      </c>
      <c r="EI14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4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40" s="74" t="str">
        <f aca="false">IF(NOT(Tasks[[#This Row],[_IsLeaf]]=1),"",IF(N(Tasks[[#This Row],[Duration]])&lt;=0,Tasks[[#This Row],[_LeafLateFinish]],WORKDAY.INTL(Tasks[[#This Row],[_LeafLateFinish]],-(Tasks[[#This Row],[Duration]]-1),WorkWeek,Holidays)))</f>
        <v/>
      </c>
      <c r="EL14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40" s="73" t="b">
        <f aca="false">AND(Tasks[[#This Row],[_IsLeaf]]=1,Tasks[[#This Row],[_LeafProgress]]&lt;1,N(Tasks[[#This Row],[_LeafTotalSlack]])&lt;=CriticalSlackDays)</f>
        <v>0</v>
      </c>
      <c r="EN140" s="45" t="n">
        <f aca="false">IF(AND(Tasks[[#This Row],[_IsLeaf]]=1,Tasks[[#This Row],[_ConstraintCode]]=1,Tasks[[#This Row],[Mode]]&lt;&gt;"Manual",N(Tasks[[#This Row],[Actual Start]])=0),MAX(0,N(Tasks[[#This Row],[Free Slack]])),0)</f>
        <v>0</v>
      </c>
      <c r="EO140" s="74" t="str">
        <f aca="false">IF(NOT(Tasks[[#This Row],[_IsLeaf]]=1),"",IF(Tasks[[#This Row],[_AlapShift]]=0,Tasks[[#This Row],[_LeafCalcStart]],WORKDAY.INTL(Tasks[[#This Row],[_LeafCalcStart]],Tasks[[#This Row],[_AlapShift]],WorkWeek,Holidays)))</f>
        <v/>
      </c>
      <c r="EP140" s="74" t="str">
        <f aca="false">IF(NOT(Tasks[[#This Row],[_IsLeaf]]=1),"",IF(Tasks[[#This Row],[_AlapShift]]=0,Tasks[[#This Row],[_LeafCalcFinish]],WORKDAY.INTL(Tasks[[#This Row],[_LeafCalcFinish]],Tasks[[#This Row],[_AlapShift]],WorkWeek,Holidays)))</f>
        <v/>
      </c>
      <c r="EQ140" s="74" t="str">
        <f aca="false">IF(NOT(Tasks[[#This Row],[_IsLeaf]]=1),"",IF(Tasks[[#This Row],[_AlapShift]]=0,Tasks[[#This Row],[_LeafFcstStart]],WORKDAY.INTL(Tasks[[#This Row],[_LeafFcstStart]],Tasks[[#This Row],[_AlapShift]],WorkWeek,Holidays)))</f>
        <v/>
      </c>
      <c r="ER140" s="74" t="str">
        <f aca="false">IF(NOT(Tasks[[#This Row],[_IsLeaf]]=1),"",IF(Tasks[[#This Row],[_AlapShift]]=0,Tasks[[#This Row],[_LeafFcstFinish]],WORKDAY.INTL(Tasks[[#This Row],[_LeafFcstFinish]],Tasks[[#This Row],[_AlapShift]],WorkWeek,Holidays)))</f>
        <v/>
      </c>
      <c r="ES140" s="74" t="str">
        <f aca="false">IF(Tasks[[#This Row],[Task Name]]="","",IF(Tasks[[#This Row],[_IsSummary]],MIN(INDEX(Tasks[_ShownCalcStart],Tasks[[#This Row],[_Row]]+1):INDEX(Tasks[_ShownCalcStart],Tasks[[#This Row],[_Row]]+Tasks[[#This Row],[_Descendants]])),Tasks[[#This Row],[_ShownCalcStart]]))</f>
        <v/>
      </c>
      <c r="ET140" s="74" t="str">
        <f aca="false">IF(Tasks[[#This Row],[Task Name]]="","",IF(Tasks[[#This Row],[_IsSummary]],MAX(INDEX(Tasks[_ShownCalcFinish],Tasks[[#This Row],[_Row]]+1):INDEX(Tasks[_ShownCalcFinish],Tasks[[#This Row],[_Row]]+Tasks[[#This Row],[_Descendants]])),Tasks[[#This Row],[_ShownCalcFinish]]))</f>
        <v/>
      </c>
      <c r="EU14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4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4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4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4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4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4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4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4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4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4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4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40" s="45" t="n">
        <f aca="false">IF(AND(Tasks[[#This Row],[_IsLeaf]]=1,Tasks[[#This Row],[_LeafTotalWork]]&gt;0),NETWORKDAYS.INTL(ProjectStart,Tasks[[#This Row],[_ShownFcstStart]],WorkWeek,Holidays),0)</f>
        <v>0</v>
      </c>
      <c r="FH140" s="45" t="n">
        <f aca="false">IF(AND(Tasks[[#This Row],[_IsLeaf]]=1,Tasks[[#This Row],[_LeafTotalWork]]&gt;0),MAX(Tasks[[#This Row],[_StartWorkday]],NETWORKDAYS.INTL(ProjectStart,Tasks[[#This Row],[_ShownFcstFinish]],WorkWeek,Holidays)),0)</f>
        <v>0</v>
      </c>
      <c r="FI140" s="45" t="n">
        <f aca="false">IF(AND(Tasks[[#This Row],[_IsLeaf]]=1,Tasks[[#This Row],[_LeafTotalWork]]&gt;0),Tasks[[#This Row],[_LeafWork]]/(Tasks[[#This Row],[_FinishWorkday]]-Tasks[[#This Row],[_StartWorkday]]+1),0)</f>
        <v>0</v>
      </c>
      <c r="FJ140" s="45" t="n">
        <f aca="false">Tasks[[#This Row],[_WorkPerWorkday]]*(Tasks[[#This Row],[_StartWorkday]]-1)</f>
        <v>-0</v>
      </c>
      <c r="FK140" s="45" t="n">
        <f aca="false">IF(Tasks[[#This Row],[_IsLeaf]]=1,MAX(N(Tasks[[#This Row],[Duration]]),0.1),0)</f>
        <v>0</v>
      </c>
      <c r="FL140" s="45" t="n">
        <f aca="false">Tasks[[#This Row],[_WeightDur]]*Tasks[[#This Row],[_LeafProgress]]</f>
        <v>0</v>
      </c>
      <c r="FM14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40" s="45" t="str">
        <f aca="false">IF(AND(Tasks[[#This Row],[_IsLeaf]]=1,N(Tasks[[#This Row],[Duration]])=0,Tasks[[#This Row],[_LeafProgress]]&lt;1),Tasks[[#This Row],[_ShownFcstFinish]]+Tasks[[#This Row],[_Row]]/100000,"")</f>
        <v/>
      </c>
      <c r="FO14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40" s="45" t="n">
        <f aca="false">IF(NOT(Tasks[[#This Row],[_IsLeaf]]=1),0,IF(Tasks[[#This Row],[Baseline Cost]]="",Tasks[[#This Row],[_LeafTotalCost]],N(Tasks[[#This Row],[Baseline Cost]])))</f>
        <v>0</v>
      </c>
      <c r="FQ140" s="45" t="n">
        <f aca="false">Tasks[[#This Row],[_LeafBudget]]*Tasks[[#This Row],[_PlannedPct]]</f>
        <v>0</v>
      </c>
      <c r="FR140" s="45" t="n">
        <f aca="false">Tasks[[#This Row],[_LeafBudget]]*Tasks[[#This Row],[_LeafProgress]]</f>
        <v>0</v>
      </c>
      <c r="FS140" s="45" t="n">
        <f aca="false">IF(NOT(Tasks[[#This Row],[_IsLeaf]]=1),0,IF(Tasks[[#This Row],[Actual Cost]]="",Tasks[[#This Row],[_LeafTotalCost]]*Tasks[[#This Row],[_LeafProgress]],N(Tasks[[#This Row],[Actual Cost]])))</f>
        <v>0</v>
      </c>
      <c r="FT140" s="45" t="str">
        <f aca="false">IF(Tasks[[#This Row],[Task Name]]="","",LEFT(Tasks[[#This Row],[WBS]],FIND(".",Tasks[[#This Row],[WBS]]&amp;".")-1))</f>
        <v/>
      </c>
      <c r="FU140" s="45" t="str">
        <f aca="false">IF(AND(Tasks[[#This Row],[Task Name]]&lt;&gt;"",Tasks[[#This Row],[_Level]]=1),Tasks[[#This Row],[_Row]],"")</f>
        <v/>
      </c>
      <c r="FV140" s="45" t="str">
        <f aca="false">IF(AND(Tasks[[#This Row],[_IsLeaf]]=1,N(Tasks[[#This Row],[Duration]])=0),Tasks[[#This Row],[Planned Finish]]+Tasks[[#This Row],[_Row]]/100000,"")</f>
        <v/>
      </c>
      <c r="FW140" s="45" t="str">
        <f aca="false">IF(AND(Tasks[[#This Row],[_IsLeaf]]=1,Tasks[[#This Row],[_LeafProgress]]&lt;1,OR(N(Tasks[[#This Row],[Finish Var]])&gt;0,Tasks[[#This Row],[Status]]="Late Start")),MAX(0,Tasks[[#This Row],[Finish Var]])+1-Tasks[[#This Row],[_Row]]/1000000,"")</f>
        <v/>
      </c>
      <c r="FX140" s="45" t="str">
        <f aca="false">IF(AND(Tasks[[#This Row],[_IsLeaf]]=1,N(Tasks[[#This Row],[Actual Start]])=0,Tasks[[#This Row],[_ShownFcstStart]]&gt;=StatusDate,Tasks[[#This Row],[_ShownFcstStart]]&lt;=LookaheadEnd),Tasks[[#This Row],[_ShownFcstStart]]+Tasks[[#This Row],[_Row]]/100000,"")</f>
        <v/>
      </c>
      <c r="FY140" s="45" t="str">
        <f aca="false">IF(AND(Tasks[[#This Row],[_IsLeaf]]=1,Tasks[[#This Row],[_LeafProgress]]&lt;1,Tasks[[#This Row],[_ShownFcstFinish]]&gt;=StatusDate,Tasks[[#This Row],[_ShownFcstFinish]]&lt;=LookaheadEnd),Tasks[[#This Row],[_ShownFcstFinish]]+Tasks[[#This Row],[_Row]]/100000,"")</f>
        <v/>
      </c>
      <c r="FZ140" s="45" t="str">
        <f aca="false">IF(Tasks[[#This Row],[_LeafCritical]],Tasks[[#This Row],[_ShownFcstStart]]+Tasks[[#This Row],[_Row]]/100000,"")</f>
        <v/>
      </c>
      <c r="GA140" s="45" t="n">
        <f aca="false">Tasks[[#This Row],[_LeafWork]]*Tasks[[#This Row],[_LeafProgress]]</f>
        <v>0</v>
      </c>
      <c r="GB140" s="74" t="str">
        <f aca="false">IF(AND(Tasks[[#This Row],[_IsLeaf]]=1,Tasks[[#This Row],[_LeafProgress]]&gt;=1),IF(N(Tasks[[#This Row],[Actual Finish]])&gt;0,Tasks[[#This Row],[Actual Finish]],Tasks[[#This Row],[_ShownFcstFinish]]),"")</f>
        <v/>
      </c>
    </row>
    <row r="141" customFormat="false" ht="15" hidden="false" customHeight="false" outlineLevel="0" collapsed="false">
      <c r="A141" s="67" t="str">
        <f aca="false">IF(Tasks[[#This Row],[Task Name]]="","",COUNTA(Tasks[[#Headers],[Task Name]]:Tasks[[#This Row],[Task Name]])-1)</f>
        <v/>
      </c>
      <c r="B141" s="21" t="n">
        <v>136</v>
      </c>
      <c r="C14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21"/>
      <c r="E141" s="22"/>
      <c r="F141" s="21"/>
      <c r="G141" s="22"/>
      <c r="H141" s="22"/>
      <c r="I141" s="22"/>
      <c r="J141" s="7"/>
      <c r="K141" s="7"/>
      <c r="L141" s="22"/>
      <c r="M141" s="58" t="str">
        <f aca="false">IF(Tasks[[#This Row],[Task Name]]="","",IF(Tasks[[#This Row],[_IsSummary]],MIN(INDEX(Tasks[_ShownFcstStart],Tasks[[#This Row],[_Row]]+1):INDEX(Tasks[_ShownFcstStart],Tasks[[#This Row],[_Row]]+Tasks[[#This Row],[_Descendants]])),Tasks[[#This Row],[_ShownFcstStart]]))</f>
        <v/>
      </c>
      <c r="N141" s="58" t="str">
        <f aca="false">IF(Tasks[[#This Row],[Task Name]]="","",IF(Tasks[[#This Row],[_IsSummary]],MAX(INDEX(Tasks[_ShownFcstFinish],Tasks[[#This Row],[_Row]]+1):INDEX(Tasks[_ShownFcstFinish],Tasks[[#This Row],[_Row]]+Tasks[[#This Row],[_Descendants]])),Tasks[[#This Row],[_ShownFcstFinish]]))</f>
        <v/>
      </c>
      <c r="O141" s="20" t="str">
        <f aca="false">IF(Tasks[[#This Row],[Task Name]]="","",IF(Tasks[[#This Row],[Progress]]&gt;=1,"Complete",IF(OR(N(Tasks[[#This Row],[Actual Start]])&gt;0,Tasks[[#This Row],[Progress]]&gt;0),IF(Tasks[[#This Row],[Finish Var]]&gt;0,"Behind","In Progress"),IF(Tasks[[#This Row],[Planned Start]]&lt;StatusDate,"Late Start","Not Started"))))</f>
        <v/>
      </c>
      <c r="P141" s="20" t="str">
        <f aca="false">IF(Tasks[[#This Row],[Task Name]]="","",IF(IF(Tasks[[#This Row],[_IsSummary]],COUNTIF(INDEX(Tasks[_LeafCritical],Tasks[[#This Row],[_Row]]+1):INDEX(Tasks[_LeafCritical],Tasks[[#This Row],[_Row]]+Tasks[[#This Row],[_Descendants]]),TRUE())&gt;0,Tasks[[#This Row],[_LeafCritical]]),"Yes",""))</f>
        <v/>
      </c>
      <c r="Q14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41" s="67" t="str">
        <f aca="false">IF(Tasks[[#This Row],[Task Name]]="","",IF(Tasks[[#This Row],[_Level]]&lt;=OutlineShowLevel,"Yes","No"))</f>
        <v/>
      </c>
      <c r="S141" s="7"/>
      <c r="T141" s="21"/>
      <c r="U141" s="22"/>
      <c r="V141" s="7"/>
      <c r="W141" s="67" t="str">
        <f aca="false">IF(Tasks[[#This Row],[Task Name]]="","",IF(Tasks[[#This Row],[Finish]]&gt;=Tasks[[#This Row],[Planned Finish]],NETWORKDAYS.INTL(Tasks[[#This Row],[Planned Finish]],Tasks[[#This Row],[Finish]],WorkWeek,Holidays)-1,1-NETWORKDAYS.INTL(Tasks[[#This Row],[Finish]],Tasks[[#This Row],[Planned Finish]],WorkWeek,Holidays)))</f>
        <v/>
      </c>
      <c r="X141" s="58" t="str">
        <f aca="false">IF(Tasks[[#This Row],[Task Name]]="","",IF(N(Tasks[[#This Row],[Baseline Start]])&gt;0,Tasks[[#This Row],[Baseline Start]],Tasks[[#This Row],[_CalcStart]]))</f>
        <v/>
      </c>
      <c r="Y141" s="58" t="str">
        <f aca="false">IF(Tasks[[#This Row],[Task Name]]="","",IF(N(Tasks[[#This Row],[Baseline Finish]])&gt;0,Tasks[[#This Row],[Baseline Finish]],Tasks[[#This Row],[_CalcFinish]]))</f>
        <v/>
      </c>
      <c r="Z141" s="67" t="str">
        <f aca="false">IF(Tasks[[#This Row],[Task Name]]="","",IF(Tasks[[#This Row],[Start]]&gt;=Tasks[[#This Row],[Planned Start]],NETWORKDAYS.INTL(Tasks[[#This Row],[Planned Start]],Tasks[[#This Row],[Start]],WorkWeek,Holidays)-1,1-NETWORKDAYS.INTL(Tasks[[#This Row],[Start]],Tasks[[#This Row],[Planned Start]],WorkWeek,Holidays)))</f>
        <v/>
      </c>
      <c r="AA141" s="58" t="str">
        <f aca="false">IF(Tasks[[#This Row],[Task Name]]="","",IF(Tasks[[#This Row],[_IsSummary]],MIN(INDEX(Tasks[_LeafLateStart],Tasks[[#This Row],[_Row]]+1):INDEX(Tasks[_LeafLateStart],Tasks[[#This Row],[_Row]]+Tasks[[#This Row],[_Descendants]])),Tasks[[#This Row],[_LeafLateStart]]))</f>
        <v/>
      </c>
      <c r="AB141" s="58" t="str">
        <f aca="false">IF(Tasks[[#This Row],[Task Name]]="","",IF(Tasks[[#This Row],[_IsSummary]],MAX(INDEX(Tasks[_LeafLateFinish],Tasks[[#This Row],[_Row]]+1):INDEX(Tasks[_LeafLateFinish],Tasks[[#This Row],[_Row]]+Tasks[[#This Row],[_Descendants]])),Tasks[[#This Row],[_LeafLateFinish]]))</f>
        <v/>
      </c>
      <c r="AC141" s="67" t="str">
        <f aca="false">IF(Tasks[[#This Row],[Task Name]]="","",IF(Tasks[[#This Row],[_IsSummary]],MIN(INDEX(Tasks[_LeafTotalSlack],Tasks[[#This Row],[_Row]]+1):INDEX(Tasks[_LeafTotalSlack],Tasks[[#This Row],[_Row]]+Tasks[[#This Row],[_Descendants]])),Tasks[[#This Row],[_LeafTotalSlack]]))</f>
        <v/>
      </c>
      <c r="AD14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4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4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41" s="60"/>
      <c r="AH14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4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41" s="69" t="str">
        <f aca="false">IF(Tasks[[#This Row],[Task Name]]="","",IF(Tasks[[#This Row],[_IsSummary]],SUM(INDEX(Tasks[_LeafTotalWork],Tasks[[#This Row],[_Row]]+1):INDEX(Tasks[_LeafTotalWork],Tasks[[#This Row],[_Row]]+Tasks[[#This Row],[_Descendants]])),Tasks[[#This Row],[_LeafTotalWork]]))</f>
        <v/>
      </c>
      <c r="AK14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41" s="70" t="str">
        <f aca="false">IF(Tasks[[#This Row],[Task Name]]="","",IF(Tasks[[#This Row],[_IsSummary]],SUM(INDEX(Tasks[_LeafTotalCost],Tasks[[#This Row],[_Row]]+1):INDEX(Tasks[_LeafTotalCost],Tasks[[#This Row],[_Row]]+Tasks[[#This Row],[_Descendants]])),Tasks[[#This Row],[_LeafTotalCost]]))</f>
        <v/>
      </c>
      <c r="AM141" s="71"/>
      <c r="AN141" s="20" t="str">
        <f aca="false">IF(OR(Tasks[[#This Row],[Task Name]]="",Tasks[[#This Row],[Baseline Duration]]=""),"",Tasks[[#This Row],[BL Source Duration]]-N(Tasks[[#This Row],[Baseline Duration]]))</f>
        <v/>
      </c>
      <c r="AO141" s="69" t="str">
        <f aca="false">IF(OR(Tasks[[#This Row],[Task Name]]="",Tasks[[#This Row],[Baseline Work]]=""),"",Tasks[[#This Row],[Work]]-N(Tasks[[#This Row],[Baseline Work]]))</f>
        <v/>
      </c>
      <c r="AP141" s="70" t="str">
        <f aca="false">IF(OR(Tasks[[#This Row],[Task Name]]="",Tasks[[#This Row],[Baseline Cost]]=""),"",Tasks[[#This Row],[Cost]]-N(Tasks[[#This Row],[Baseline Cost]]))</f>
        <v/>
      </c>
      <c r="AQ141" s="58" t="str">
        <f aca="false">IF(Tasks[[#This Row],[Task Name]]="","",Tasks[[#This Row],[Start]])</f>
        <v/>
      </c>
      <c r="AR141" s="58" t="str">
        <f aca="false">IF(Tasks[[#This Row],[Task Name]]="","",Tasks[[#This Row],[Finish]])</f>
        <v/>
      </c>
      <c r="AS141" s="67" t="str">
        <f aca="false">IF(Tasks[[#This Row],[Task Name]]="","",IF(Tasks[[#This Row],[_IsSummary]],NETWORKDAYS.INTL(Tasks[[#This Row],[Start]],Tasks[[#This Row],[Finish]],WorkWeek,Holidays),N(Tasks[[#This Row],[Duration]])))</f>
        <v/>
      </c>
      <c r="AT141" s="69" t="str">
        <f aca="false">IF(Tasks[[#This Row],[Task Name]]="","",Tasks[[#This Row],[Work]])</f>
        <v/>
      </c>
      <c r="AU141" s="70" t="str">
        <f aca="false">IF(Tasks[[#This Row],[Task Name]]="","",Tasks[[#This Row],[Cost]])</f>
        <v/>
      </c>
      <c r="AV141" s="7"/>
      <c r="AW141" s="7"/>
      <c r="AX141" s="21"/>
      <c r="AY141" s="72"/>
      <c r="AZ141" s="71"/>
      <c r="BA141" s="70" t="str">
        <f aca="false">IF(Tasks[[#This Row],[Task Name]]="","",IF(Tasks[[#This Row],[_IsSummary]],SUM(INDEX(Tasks[_LeafEV],Tasks[[#This Row],[_Row]]+1):INDEX(Tasks[_LeafEV],Tasks[[#This Row],[_Row]]+Tasks[[#This Row],[_Descendants]])),Tasks[[#This Row],[_LeafEV]]))</f>
        <v/>
      </c>
      <c r="BB141" s="70" t="str">
        <f aca="false">IF(Tasks[[#This Row],[Task Name]]="","",IF(Tasks[[#This Row],[_IsSummary]],SUM(INDEX(Tasks[_LeafBudget],Tasks[[#This Row],[_Row]]+1):INDEX(Tasks[_LeafBudget],Tasks[[#This Row],[_Row]]+Tasks[[#This Row],[_Descendants]])),Tasks[[#This Row],[_LeafBudget]]))</f>
        <v/>
      </c>
      <c r="BC141" s="70" t="str">
        <f aca="false">IF(Tasks[[#This Row],[Task Name]]="","",IF(Tasks[[#This Row],[_IsSummary]],SUM(INDEX(Tasks[_LeafPV],Tasks[[#This Row],[_Row]]+1):INDEX(Tasks[_LeafPV],Tasks[[#This Row],[_Row]]+Tasks[[#This Row],[_Descendants]])),Tasks[[#This Row],[_LeafPV]]))</f>
        <v/>
      </c>
      <c r="BD141" s="70" t="str">
        <f aca="false">IF(Tasks[[#This Row],[Task Name]]="","",IF(Tasks[[#This Row],[_IsSummary]],SUM(INDEX(Tasks[_LeafAC],Tasks[[#This Row],[_Row]]+1):INDEX(Tasks[_LeafAC],Tasks[[#This Row],[_Row]]+Tasks[[#This Row],[_Descendants]])),Tasks[[#This Row],[_LeafAC]]))</f>
        <v/>
      </c>
      <c r="BE141" s="45" t="str">
        <f aca="false">IF(Tasks[[#This Row],[Task Name]]="","",MAX(1,N(Tasks[[#This Row],[Level]])))</f>
        <v/>
      </c>
      <c r="BF141" s="45" t="n">
        <f aca="false">ROW()-ROW(Tasks[[#Headers],[ID]])</f>
        <v>136</v>
      </c>
      <c r="BG141" s="45" t="n">
        <f aca="false">IF(OR(Tasks[[#This Row],[Task Name]]="",Tasks[[#This Row],[_Level]]&lt;=1),0,IFERROR(LOOKUP(2,1/(Tasks[[#Headers],[_Level]]:Tasks[[#This Row],[_Level]]=Tasks[[#This Row],[_Level]]-1),ROW(Tasks[[#Headers],[_Level]]:Tasks[[#This Row],[_Level]])),0))</f>
        <v>0</v>
      </c>
      <c r="BH141" s="45" t="n">
        <f aca="false">IFERROR(N(INDEX(Tasks[_Level],Tasks[[#This Row],[_Row]]+1)),0)</f>
        <v>0</v>
      </c>
      <c r="BI141" s="73" t="b">
        <f aca="false">AND(Tasks[[#This Row],[Task Name]]&lt;&gt;"",Tasks[[#This Row],[_NextLevel]]&gt;Tasks[[#This Row],[_Level]])</f>
        <v>0</v>
      </c>
      <c r="BJ141" s="45" t="n">
        <f aca="false">IF(Tasks[[#This Row],[_IsSummary]],COUNTIF(Tasks[WBS],Tasks[[#This Row],[WBS]]&amp;".*"),0)</f>
        <v>0</v>
      </c>
      <c r="BK141" s="45" t="n">
        <f aca="false">IF(AND(Tasks[[#This Row],[Task Name]]&lt;&gt;"",NOT(Tasks[[#This Row],[_IsSummary]])),1,0)</f>
        <v>0</v>
      </c>
      <c r="BL141" s="45" t="n">
        <f aca="false">IF(N(Tasks[[#This Row],[_Pred1UID]])=0,0,IFERROR(MATCH(Tasks[[#This Row],[_Pred1UID]],Tasks[UID],0),-1))</f>
        <v>0</v>
      </c>
      <c r="BM141" s="45" t="n">
        <f aca="false">IF(N(Tasks[[#This Row],[_Pred2UID]])=0,0,IFERROR(MATCH(Tasks[[#This Row],[_Pred2UID]],Tasks[UID],0),-1))</f>
        <v>0</v>
      </c>
      <c r="BN141" s="45" t="n">
        <f aca="false">IF(N(Tasks[[#This Row],[_Pred3UID]])=0,0,IFERROR(MATCH(Tasks[[#This Row],[_Pred3UID]],Tasks[UID],0),-1))</f>
        <v>0</v>
      </c>
      <c r="BO141" s="45" t="n">
        <f aca="false">IF(N(Tasks[[#This Row],[_Pred4UID]])=0,0,IFERROR(MATCH(Tasks[[#This Row],[_Pred4UID]],Tasks[UID],0),-1))</f>
        <v>0</v>
      </c>
      <c r="BP14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4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41" s="74" t="n">
        <f aca="false">IF(OR(Tasks[[#This Row],[_ConstraintCode]]=2,Tasks[[#This Row],[_ConstraintCode]]=3,Tasks[[#This Row],[_ConstraintCode]]=4,Tasks[[#This Row],[_ConstraintCode]]=6),Tasks[[#This Row],[_ConstraintStart]],0)</f>
        <v>0</v>
      </c>
      <c r="BS141" s="74" t="n">
        <f aca="false">IF(OR(Tasks[[#This Row],[_ConstraintCode]]=2,Tasks[[#This Row],[_ConstraintCode]]=3,Tasks[[#This Row],[_ConstraintCode]]=5,Tasks[[#This Row],[_ConstraintCode]]=7),Tasks[[#This Row],[_ConstraintStart]],2958465)</f>
        <v>2958465</v>
      </c>
      <c r="BT14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41" s="74" t="str">
        <f aca="false">IF(NOT(Tasks[[#This Row],[_IsLeaf]]=1),"",IF(N(Tasks[[#This Row],[Duration]])&lt;=0,Tasks[[#This Row],[_LeafCalcStart]],WORKDAY.INTL(Tasks[[#This Row],[_LeafCalcStart]],Tasks[[#This Row],[Duration]]-1,WorkWeek,Holidays)))</f>
        <v/>
      </c>
      <c r="BV14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4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41" s="45" t="str">
        <f aca="false">IF(Tasks[[#This Row],[Predecessors]]="","",TRIM(MID(SUBSTITUTE(SUBSTITUTE(SUBSTITUTE(UPPER(Tasks[[#This Row],[Predecessors]]),";",",")," ",""),",",REPT(" ",99)),1,99)))</f>
        <v/>
      </c>
      <c r="BY141" s="45" t="str">
        <f aca="false">IF(Tasks[[#This Row],[_Pred1Text]]="","",IFERROR(VALUE(LEFT(Tasks[[#This Row],[_Pred1Text]],MIN(FIND("F",Tasks[[#This Row],[_Pred1Text]]&amp;"F"),FIND("S",Tasks[[#This Row],[_Pred1Text]]&amp;"S"),FIND("+",Tasks[[#This Row],[_Pred1Text]]&amp;"+"),FIND("-",Tasks[[#This Row],[_Pred1Text]]&amp;"-"))-1)),""))</f>
        <v/>
      </c>
      <c r="BZ14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4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41" s="45" t="str">
        <f aca="false">IF(Tasks[[#This Row],[_Pred1Text]]="","",TRIM(MID(SUBSTITUTE(SUBSTITUTE(SUBSTITUTE(UPPER(Tasks[[#This Row],[Predecessors]]),";",",")," ",""),",",REPT(" ",99)),100,99)))</f>
        <v/>
      </c>
      <c r="CC141" s="45" t="str">
        <f aca="false">IF(Tasks[[#This Row],[_Pred2Text]]="","",IFERROR(VALUE(LEFT(Tasks[[#This Row],[_Pred2Text]],MIN(FIND("F",Tasks[[#This Row],[_Pred2Text]]&amp;"F"),FIND("S",Tasks[[#This Row],[_Pred2Text]]&amp;"S"),FIND("+",Tasks[[#This Row],[_Pred2Text]]&amp;"+"),FIND("-",Tasks[[#This Row],[_Pred2Text]]&amp;"-"))-1)),""))</f>
        <v/>
      </c>
      <c r="CD14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4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41" s="45" t="str">
        <f aca="false">IF(Tasks[[#This Row],[_Pred2Text]]="","",TRIM(MID(SUBSTITUTE(SUBSTITUTE(SUBSTITUTE(UPPER(Tasks[[#This Row],[Predecessors]]),";",",")," ",""),",",REPT(" ",99)),199,99)))</f>
        <v/>
      </c>
      <c r="CG141" s="45" t="str">
        <f aca="false">IF(Tasks[[#This Row],[_Pred3Text]]="","",IFERROR(VALUE(LEFT(Tasks[[#This Row],[_Pred3Text]],MIN(FIND("F",Tasks[[#This Row],[_Pred3Text]]&amp;"F"),FIND("S",Tasks[[#This Row],[_Pred3Text]]&amp;"S"),FIND("+",Tasks[[#This Row],[_Pred3Text]]&amp;"+"),FIND("-",Tasks[[#This Row],[_Pred3Text]]&amp;"-"))-1)),""))</f>
        <v/>
      </c>
      <c r="CH14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4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41" s="45" t="str">
        <f aca="false">IF(Tasks[[#This Row],[_Pred3Text]]="","",TRIM(MID(SUBSTITUTE(SUBSTITUTE(SUBSTITUTE(UPPER(Tasks[[#This Row],[Predecessors]]),";",",")," ",""),",",REPT(" ",99)),298,99)))</f>
        <v/>
      </c>
      <c r="CK141" s="45" t="str">
        <f aca="false">IF(Tasks[[#This Row],[_Pred4Text]]="","",IFERROR(VALUE(LEFT(Tasks[[#This Row],[_Pred4Text]],MIN(FIND("F",Tasks[[#This Row],[_Pred4Text]]&amp;"F"),FIND("S",Tasks[[#This Row],[_Pred4Text]]&amp;"S"),FIND("+",Tasks[[#This Row],[_Pred4Text]]&amp;"+"),FIND("-",Tasks[[#This Row],[_Pred4Text]]&amp;"-"))-1)),""))</f>
        <v/>
      </c>
      <c r="CL14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4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41" s="45" t="str">
        <f aca="false">IF(OR(Tasks[[#This Row],[Task Name]]="",Tasks[[#This Row],[Resources]]=""),"",TRIM(MID(SUBSTITUTE(Tasks[[#This Row],[Resources]],",",REPT(" ",99)),1,99)))</f>
        <v/>
      </c>
      <c r="CO141" s="45" t="str">
        <f aca="false">IF(Tasks[[#This Row],[_Res1Text]]="","",TRIM(MID(SUBSTITUTE(Tasks[[#This Row],[Resources]],",",REPT(" ",99)),100,99)))</f>
        <v/>
      </c>
      <c r="CP141" s="45" t="str">
        <f aca="false">IF(Tasks[[#This Row],[_Res2Text]]="","",TRIM(MID(SUBSTITUTE(Tasks[[#This Row],[Resources]],",",REPT(" ",99)),199,99)))</f>
        <v/>
      </c>
      <c r="CQ141" s="45" t="str">
        <f aca="false">IF(Tasks[[#This Row],[_Res3Text]]="","",TRIM(MID(SUBSTITUTE(Tasks[[#This Row],[Resources]],",",REPT(" ",99)),298,99)))</f>
        <v/>
      </c>
      <c r="CR14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4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1" s="45" t="n">
        <f aca="false">IF(NOT(Tasks[[#This Row],[_IsLeaf]]=1),0,(Tasks[[#This Row],[_Resource1]]&lt;&gt;"")+(Tasks[[#This Row],[_Res2]]&lt;&gt;"")+(Tasks[[#This Row],[_Res3]]&lt;&gt;"")+(Tasks[[#This Row],[_Res4]]&lt;&gt;""))</f>
        <v>0</v>
      </c>
      <c r="CU14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4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1" s="45" t="n">
        <f aca="false">IF(OR(NOT(Tasks[[#This Row],[_IsLeaf]]=1),Tasks[[#This Row],[_Res2]]=""),0,IF(ISNA(MATCH(Tasks[[#This Row],[_Res2]],res_Name,0)),0,N(Tasks[[#This Row],[Duration]])*HoursPerDay*IF(Tasks[[#This Row],[_Res2Units]]="",DefaultUnits,Tasks[[#This Row],[_Res2Units]])))</f>
        <v>0</v>
      </c>
      <c r="CX141" s="45" t="n">
        <f aca="false">IF(Tasks[[#This Row],[_Res2Work]]=0,0,Tasks[[#This Row],[_Res2Work]]*IFERROR(INDEX(res_Rate,MATCH(Tasks[[#This Row],[_Res2]],res_Name,0)),0))</f>
        <v>0</v>
      </c>
      <c r="CY141" s="45" t="n">
        <f aca="false">IF(AND(AND(Tasks[[#This Row],[_IsLeaf]]=1,Tasks[[#This Row],[_LeafTotalWork]]&gt;0),Tasks[[#This Row],[_Res2Work]]&gt;0),Tasks[[#This Row],[_Res2Work]]/(Tasks[[#This Row],[_FinishWorkday]]-Tasks[[#This Row],[_StartWorkday]]+1),0)</f>
        <v>0</v>
      </c>
      <c r="CZ141" s="45" t="n">
        <f aca="false">Tasks[[#This Row],[_Res2WorkPerWD]]*MAX(0,Tasks[[#This Row],[_StartWorkday]]-1)</f>
        <v>0</v>
      </c>
      <c r="DA141" s="45" t="n">
        <f aca="false">Tasks[[#This Row],[_Res2Work]]*Tasks[[#This Row],[_LeafProgress]]</f>
        <v>0</v>
      </c>
      <c r="DB141" s="45" t="n">
        <f aca="false">IF(Tasks[[#This Row],[_LeafTotalCost]]=0,0,Tasks[[#This Row],[_LeafAC]]*Tasks[[#This Row],[_Res2Cost]]/Tasks[[#This Row],[_LeafTotalCost]])</f>
        <v>0</v>
      </c>
      <c r="DC14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4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41" s="45" t="n">
        <f aca="false">IF(OR(NOT(Tasks[[#This Row],[_IsLeaf]]=1),Tasks[[#This Row],[_Res3]]=""),0,IF(ISNA(MATCH(Tasks[[#This Row],[_Res3]],res_Name,0)),0,N(Tasks[[#This Row],[Duration]])*HoursPerDay*IF(Tasks[[#This Row],[_Res3Units]]="",DefaultUnits,Tasks[[#This Row],[_Res3Units]])))</f>
        <v>0</v>
      </c>
      <c r="DF141" s="45" t="n">
        <f aca="false">IF(Tasks[[#This Row],[_Res3Work]]=0,0,Tasks[[#This Row],[_Res3Work]]*IFERROR(INDEX(res_Rate,MATCH(Tasks[[#This Row],[_Res3]],res_Name,0)),0))</f>
        <v>0</v>
      </c>
      <c r="DG141" s="45" t="n">
        <f aca="false">IF(AND(AND(Tasks[[#This Row],[_IsLeaf]]=1,Tasks[[#This Row],[_LeafTotalWork]]&gt;0),Tasks[[#This Row],[_Res3Work]]&gt;0),Tasks[[#This Row],[_Res3Work]]/(Tasks[[#This Row],[_FinishWorkday]]-Tasks[[#This Row],[_StartWorkday]]+1),0)</f>
        <v>0</v>
      </c>
      <c r="DH141" s="45" t="n">
        <f aca="false">Tasks[[#This Row],[_Res3WorkPerWD]]*MAX(0,Tasks[[#This Row],[_StartWorkday]]-1)</f>
        <v>0</v>
      </c>
      <c r="DI141" s="45" t="n">
        <f aca="false">Tasks[[#This Row],[_Res3Work]]*Tasks[[#This Row],[_LeafProgress]]</f>
        <v>0</v>
      </c>
      <c r="DJ141" s="45" t="n">
        <f aca="false">IF(Tasks[[#This Row],[_LeafTotalCost]]=0,0,Tasks[[#This Row],[_LeafAC]]*Tasks[[#This Row],[_Res3Cost]]/Tasks[[#This Row],[_LeafTotalCost]])</f>
        <v>0</v>
      </c>
      <c r="DK14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4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41" s="45" t="n">
        <f aca="false">IF(OR(NOT(Tasks[[#This Row],[_IsLeaf]]=1),Tasks[[#This Row],[_Res4]]=""),0,IF(ISNA(MATCH(Tasks[[#This Row],[_Res4]],res_Name,0)),0,N(Tasks[[#This Row],[Duration]])*HoursPerDay*IF(Tasks[[#This Row],[_Res4Units]]="",DefaultUnits,Tasks[[#This Row],[_Res4Units]])))</f>
        <v>0</v>
      </c>
      <c r="DN141" s="45" t="n">
        <f aca="false">IF(Tasks[[#This Row],[_Res4Work]]=0,0,Tasks[[#This Row],[_Res4Work]]*IFERROR(INDEX(res_Rate,MATCH(Tasks[[#This Row],[_Res4]],res_Name,0)),0))</f>
        <v>0</v>
      </c>
      <c r="DO141" s="45" t="n">
        <f aca="false">IF(AND(AND(Tasks[[#This Row],[_IsLeaf]]=1,Tasks[[#This Row],[_LeafTotalWork]]&gt;0),Tasks[[#This Row],[_Res4Work]]&gt;0),Tasks[[#This Row],[_Res4Work]]/(Tasks[[#This Row],[_FinishWorkday]]-Tasks[[#This Row],[_StartWorkday]]+1),0)</f>
        <v>0</v>
      </c>
      <c r="DP141" s="45" t="n">
        <f aca="false">Tasks[[#This Row],[_Res4WorkPerWD]]*MAX(0,Tasks[[#This Row],[_StartWorkday]]-1)</f>
        <v>0</v>
      </c>
      <c r="DQ141" s="45" t="n">
        <f aca="false">Tasks[[#This Row],[_Res4Work]]*Tasks[[#This Row],[_LeafProgress]]</f>
        <v>0</v>
      </c>
      <c r="DR141" s="45" t="n">
        <f aca="false">IF(Tasks[[#This Row],[_LeafTotalCost]]=0,0,Tasks[[#This Row],[_LeafAC]]*Tasks[[#This Row],[_Res4Cost]]/Tasks[[#This Row],[_LeafTotalCost]])</f>
        <v>0</v>
      </c>
      <c r="DS141" s="45" t="n">
        <f aca="false">IF(ISNUMBER(Tasks[[#This Row],[% Complete]]),Tasks[[#This Row],[% Complete]],IF(Tasks[[#This Row],[Stage]]="",0,IFERROR(INDEX(stg_Pct,MATCH(Tasks[[#This Row],[Stage]],stg_Name,0)),0)))</f>
        <v>0</v>
      </c>
      <c r="DT141" s="45" t="n">
        <f aca="false">IF(NOT(Tasks[[#This Row],[_IsLeaf]]=1),0,IF(N(Tasks[[#This Row],[Actual Finish]])&gt;0,1,MIN(1,Tasks[[#This Row],[_Pct]])))</f>
        <v>0</v>
      </c>
      <c r="DU141" s="45" t="n">
        <f aca="false">IF(OR(NOT(Tasks[[#This Row],[_IsLeaf]]=1),Tasks[[#This Row],[_Resource1]]=""),0,IF(ISNA(MATCH(Tasks[[#This Row],[_Resource1]],res_Name,0)),0,N(Tasks[[#This Row],[Duration]])*HoursPerDay*IF(Tasks[[#This Row],[_Units1]]="",DefaultUnits,Tasks[[#This Row],[_Units1]])))</f>
        <v>0</v>
      </c>
      <c r="DV141" s="45" t="n">
        <f aca="false">IF(Tasks[[#This Row],[_LeafWork]]=0,0,Tasks[[#This Row],[_LeafWork]]*IFERROR(INDEX(res_Rate,MATCH(Tasks[[#This Row],[_Resource1]],res_Name,0)),0))</f>
        <v>0</v>
      </c>
      <c r="DW141" s="45" t="n">
        <f aca="false">Tasks[[#This Row],[_LeafWork]]+Tasks[[#This Row],[_Res2Work]]+Tasks[[#This Row],[_Res3Work]]+Tasks[[#This Row],[_Res4Work]]</f>
        <v>0</v>
      </c>
      <c r="DX141" s="45" t="n">
        <f aca="false">Tasks[[#This Row],[_LeafCost]]+Tasks[[#This Row],[_Res2Cost]]+Tasks[[#This Row],[_Res3Cost]]+Tasks[[#This Row],[_Res4Cost]]</f>
        <v>0</v>
      </c>
      <c r="DY141" s="45" t="n">
        <f aca="false">IF(Tasks[[#This Row],[_LeafTotalCost]]=0,Tasks[[#This Row],[_LeafAC]],Tasks[[#This Row],[_LeafAC]]*Tasks[[#This Row],[_LeafCost]]/Tasks[[#This Row],[_LeafTotalCost]])</f>
        <v>0</v>
      </c>
      <c r="DZ14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4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4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4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4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4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4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4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41" s="45" t="n">
        <f aca="false">IF(NOT(Tasks[[#This Row],[_IsLeaf]]=1),0,MAX(_xlfn.MAXIFS(Tasks[_Row],Tasks[_Pred1UID],Tasks[[#This Row],[UID]]),_xlfn.MAXIFS(Tasks[_Row],Tasks[_Pred2UID],Tasks[[#This Row],[UID]]),_xlfn.MAXIFS(Tasks[_Row],Tasks[_Pred3UID],Tasks[[#This Row],[UID]]),_xlfn.MAXIFS(Tasks[_Row],Tasks[_Pred4UID],Tasks[[#This Row],[UID]])))</f>
        <v>0</v>
      </c>
      <c r="EI14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4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41" s="74" t="str">
        <f aca="false">IF(NOT(Tasks[[#This Row],[_IsLeaf]]=1),"",IF(N(Tasks[[#This Row],[Duration]])&lt;=0,Tasks[[#This Row],[_LeafLateFinish]],WORKDAY.INTL(Tasks[[#This Row],[_LeafLateFinish]],-(Tasks[[#This Row],[Duration]]-1),WorkWeek,Holidays)))</f>
        <v/>
      </c>
      <c r="EL14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41" s="73" t="b">
        <f aca="false">AND(Tasks[[#This Row],[_IsLeaf]]=1,Tasks[[#This Row],[_LeafProgress]]&lt;1,N(Tasks[[#This Row],[_LeafTotalSlack]])&lt;=CriticalSlackDays)</f>
        <v>0</v>
      </c>
      <c r="EN141" s="45" t="n">
        <f aca="false">IF(AND(Tasks[[#This Row],[_IsLeaf]]=1,Tasks[[#This Row],[_ConstraintCode]]=1,Tasks[[#This Row],[Mode]]&lt;&gt;"Manual",N(Tasks[[#This Row],[Actual Start]])=0),MAX(0,N(Tasks[[#This Row],[Free Slack]])),0)</f>
        <v>0</v>
      </c>
      <c r="EO141" s="74" t="str">
        <f aca="false">IF(NOT(Tasks[[#This Row],[_IsLeaf]]=1),"",IF(Tasks[[#This Row],[_AlapShift]]=0,Tasks[[#This Row],[_LeafCalcStart]],WORKDAY.INTL(Tasks[[#This Row],[_LeafCalcStart]],Tasks[[#This Row],[_AlapShift]],WorkWeek,Holidays)))</f>
        <v/>
      </c>
      <c r="EP141" s="74" t="str">
        <f aca="false">IF(NOT(Tasks[[#This Row],[_IsLeaf]]=1),"",IF(Tasks[[#This Row],[_AlapShift]]=0,Tasks[[#This Row],[_LeafCalcFinish]],WORKDAY.INTL(Tasks[[#This Row],[_LeafCalcFinish]],Tasks[[#This Row],[_AlapShift]],WorkWeek,Holidays)))</f>
        <v/>
      </c>
      <c r="EQ141" s="74" t="str">
        <f aca="false">IF(NOT(Tasks[[#This Row],[_IsLeaf]]=1),"",IF(Tasks[[#This Row],[_AlapShift]]=0,Tasks[[#This Row],[_LeafFcstStart]],WORKDAY.INTL(Tasks[[#This Row],[_LeafFcstStart]],Tasks[[#This Row],[_AlapShift]],WorkWeek,Holidays)))</f>
        <v/>
      </c>
      <c r="ER141" s="74" t="str">
        <f aca="false">IF(NOT(Tasks[[#This Row],[_IsLeaf]]=1),"",IF(Tasks[[#This Row],[_AlapShift]]=0,Tasks[[#This Row],[_LeafFcstFinish]],WORKDAY.INTL(Tasks[[#This Row],[_LeafFcstFinish]],Tasks[[#This Row],[_AlapShift]],WorkWeek,Holidays)))</f>
        <v/>
      </c>
      <c r="ES141" s="74" t="str">
        <f aca="false">IF(Tasks[[#This Row],[Task Name]]="","",IF(Tasks[[#This Row],[_IsSummary]],MIN(INDEX(Tasks[_ShownCalcStart],Tasks[[#This Row],[_Row]]+1):INDEX(Tasks[_ShownCalcStart],Tasks[[#This Row],[_Row]]+Tasks[[#This Row],[_Descendants]])),Tasks[[#This Row],[_ShownCalcStart]]))</f>
        <v/>
      </c>
      <c r="ET141" s="74" t="str">
        <f aca="false">IF(Tasks[[#This Row],[Task Name]]="","",IF(Tasks[[#This Row],[_IsSummary]],MAX(INDEX(Tasks[_ShownCalcFinish],Tasks[[#This Row],[_Row]]+1):INDEX(Tasks[_ShownCalcFinish],Tasks[[#This Row],[_Row]]+Tasks[[#This Row],[_Descendants]])),Tasks[[#This Row],[_ShownCalcFinish]]))</f>
        <v/>
      </c>
      <c r="EU14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4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4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4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4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4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4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4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4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4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4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4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41" s="45" t="n">
        <f aca="false">IF(AND(Tasks[[#This Row],[_IsLeaf]]=1,Tasks[[#This Row],[_LeafTotalWork]]&gt;0),NETWORKDAYS.INTL(ProjectStart,Tasks[[#This Row],[_ShownFcstStart]],WorkWeek,Holidays),0)</f>
        <v>0</v>
      </c>
      <c r="FH141" s="45" t="n">
        <f aca="false">IF(AND(Tasks[[#This Row],[_IsLeaf]]=1,Tasks[[#This Row],[_LeafTotalWork]]&gt;0),MAX(Tasks[[#This Row],[_StartWorkday]],NETWORKDAYS.INTL(ProjectStart,Tasks[[#This Row],[_ShownFcstFinish]],WorkWeek,Holidays)),0)</f>
        <v>0</v>
      </c>
      <c r="FI141" s="45" t="n">
        <f aca="false">IF(AND(Tasks[[#This Row],[_IsLeaf]]=1,Tasks[[#This Row],[_LeafTotalWork]]&gt;0),Tasks[[#This Row],[_LeafWork]]/(Tasks[[#This Row],[_FinishWorkday]]-Tasks[[#This Row],[_StartWorkday]]+1),0)</f>
        <v>0</v>
      </c>
      <c r="FJ141" s="45" t="n">
        <f aca="false">Tasks[[#This Row],[_WorkPerWorkday]]*(Tasks[[#This Row],[_StartWorkday]]-1)</f>
        <v>-0</v>
      </c>
      <c r="FK141" s="45" t="n">
        <f aca="false">IF(Tasks[[#This Row],[_IsLeaf]]=1,MAX(N(Tasks[[#This Row],[Duration]]),0.1),0)</f>
        <v>0</v>
      </c>
      <c r="FL141" s="45" t="n">
        <f aca="false">Tasks[[#This Row],[_WeightDur]]*Tasks[[#This Row],[_LeafProgress]]</f>
        <v>0</v>
      </c>
      <c r="FM14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41" s="45" t="str">
        <f aca="false">IF(AND(Tasks[[#This Row],[_IsLeaf]]=1,N(Tasks[[#This Row],[Duration]])=0,Tasks[[#This Row],[_LeafProgress]]&lt;1),Tasks[[#This Row],[_ShownFcstFinish]]+Tasks[[#This Row],[_Row]]/100000,"")</f>
        <v/>
      </c>
      <c r="FO14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41" s="45" t="n">
        <f aca="false">IF(NOT(Tasks[[#This Row],[_IsLeaf]]=1),0,IF(Tasks[[#This Row],[Baseline Cost]]="",Tasks[[#This Row],[_LeafTotalCost]],N(Tasks[[#This Row],[Baseline Cost]])))</f>
        <v>0</v>
      </c>
      <c r="FQ141" s="45" t="n">
        <f aca="false">Tasks[[#This Row],[_LeafBudget]]*Tasks[[#This Row],[_PlannedPct]]</f>
        <v>0</v>
      </c>
      <c r="FR141" s="45" t="n">
        <f aca="false">Tasks[[#This Row],[_LeafBudget]]*Tasks[[#This Row],[_LeafProgress]]</f>
        <v>0</v>
      </c>
      <c r="FS141" s="45" t="n">
        <f aca="false">IF(NOT(Tasks[[#This Row],[_IsLeaf]]=1),0,IF(Tasks[[#This Row],[Actual Cost]]="",Tasks[[#This Row],[_LeafTotalCost]]*Tasks[[#This Row],[_LeafProgress]],N(Tasks[[#This Row],[Actual Cost]])))</f>
        <v>0</v>
      </c>
      <c r="FT141" s="45" t="str">
        <f aca="false">IF(Tasks[[#This Row],[Task Name]]="","",LEFT(Tasks[[#This Row],[WBS]],FIND(".",Tasks[[#This Row],[WBS]]&amp;".")-1))</f>
        <v/>
      </c>
      <c r="FU141" s="45" t="str">
        <f aca="false">IF(AND(Tasks[[#This Row],[Task Name]]&lt;&gt;"",Tasks[[#This Row],[_Level]]=1),Tasks[[#This Row],[_Row]],"")</f>
        <v/>
      </c>
      <c r="FV141" s="45" t="str">
        <f aca="false">IF(AND(Tasks[[#This Row],[_IsLeaf]]=1,N(Tasks[[#This Row],[Duration]])=0),Tasks[[#This Row],[Planned Finish]]+Tasks[[#This Row],[_Row]]/100000,"")</f>
        <v/>
      </c>
      <c r="FW141" s="45" t="str">
        <f aca="false">IF(AND(Tasks[[#This Row],[_IsLeaf]]=1,Tasks[[#This Row],[_LeafProgress]]&lt;1,OR(N(Tasks[[#This Row],[Finish Var]])&gt;0,Tasks[[#This Row],[Status]]="Late Start")),MAX(0,Tasks[[#This Row],[Finish Var]])+1-Tasks[[#This Row],[_Row]]/1000000,"")</f>
        <v/>
      </c>
      <c r="FX141" s="45" t="str">
        <f aca="false">IF(AND(Tasks[[#This Row],[_IsLeaf]]=1,N(Tasks[[#This Row],[Actual Start]])=0,Tasks[[#This Row],[_ShownFcstStart]]&gt;=StatusDate,Tasks[[#This Row],[_ShownFcstStart]]&lt;=LookaheadEnd),Tasks[[#This Row],[_ShownFcstStart]]+Tasks[[#This Row],[_Row]]/100000,"")</f>
        <v/>
      </c>
      <c r="FY141" s="45" t="str">
        <f aca="false">IF(AND(Tasks[[#This Row],[_IsLeaf]]=1,Tasks[[#This Row],[_LeafProgress]]&lt;1,Tasks[[#This Row],[_ShownFcstFinish]]&gt;=StatusDate,Tasks[[#This Row],[_ShownFcstFinish]]&lt;=LookaheadEnd),Tasks[[#This Row],[_ShownFcstFinish]]+Tasks[[#This Row],[_Row]]/100000,"")</f>
        <v/>
      </c>
      <c r="FZ141" s="45" t="str">
        <f aca="false">IF(Tasks[[#This Row],[_LeafCritical]],Tasks[[#This Row],[_ShownFcstStart]]+Tasks[[#This Row],[_Row]]/100000,"")</f>
        <v/>
      </c>
      <c r="GA141" s="45" t="n">
        <f aca="false">Tasks[[#This Row],[_LeafWork]]*Tasks[[#This Row],[_LeafProgress]]</f>
        <v>0</v>
      </c>
      <c r="GB141" s="74" t="str">
        <f aca="false">IF(AND(Tasks[[#This Row],[_IsLeaf]]=1,Tasks[[#This Row],[_LeafProgress]]&gt;=1),IF(N(Tasks[[#This Row],[Actual Finish]])&gt;0,Tasks[[#This Row],[Actual Finish]],Tasks[[#This Row],[_ShownFcstFinish]]),"")</f>
        <v/>
      </c>
    </row>
    <row r="142" customFormat="false" ht="15" hidden="false" customHeight="false" outlineLevel="0" collapsed="false">
      <c r="A142" s="67" t="str">
        <f aca="false">IF(Tasks[[#This Row],[Task Name]]="","",COUNTA(Tasks[[#Headers],[Task Name]]:Tasks[[#This Row],[Task Name]])-1)</f>
        <v/>
      </c>
      <c r="B142" s="21" t="n">
        <v>137</v>
      </c>
      <c r="C14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21"/>
      <c r="E142" s="22"/>
      <c r="F142" s="21"/>
      <c r="G142" s="22"/>
      <c r="H142" s="22"/>
      <c r="I142" s="22"/>
      <c r="J142" s="7"/>
      <c r="K142" s="7"/>
      <c r="L142" s="22"/>
      <c r="M142" s="58" t="str">
        <f aca="false">IF(Tasks[[#This Row],[Task Name]]="","",IF(Tasks[[#This Row],[_IsSummary]],MIN(INDEX(Tasks[_ShownFcstStart],Tasks[[#This Row],[_Row]]+1):INDEX(Tasks[_ShownFcstStart],Tasks[[#This Row],[_Row]]+Tasks[[#This Row],[_Descendants]])),Tasks[[#This Row],[_ShownFcstStart]]))</f>
        <v/>
      </c>
      <c r="N142" s="58" t="str">
        <f aca="false">IF(Tasks[[#This Row],[Task Name]]="","",IF(Tasks[[#This Row],[_IsSummary]],MAX(INDEX(Tasks[_ShownFcstFinish],Tasks[[#This Row],[_Row]]+1):INDEX(Tasks[_ShownFcstFinish],Tasks[[#This Row],[_Row]]+Tasks[[#This Row],[_Descendants]])),Tasks[[#This Row],[_ShownFcstFinish]]))</f>
        <v/>
      </c>
      <c r="O142" s="20" t="str">
        <f aca="false">IF(Tasks[[#This Row],[Task Name]]="","",IF(Tasks[[#This Row],[Progress]]&gt;=1,"Complete",IF(OR(N(Tasks[[#This Row],[Actual Start]])&gt;0,Tasks[[#This Row],[Progress]]&gt;0),IF(Tasks[[#This Row],[Finish Var]]&gt;0,"Behind","In Progress"),IF(Tasks[[#This Row],[Planned Start]]&lt;StatusDate,"Late Start","Not Started"))))</f>
        <v/>
      </c>
      <c r="P142" s="20" t="str">
        <f aca="false">IF(Tasks[[#This Row],[Task Name]]="","",IF(IF(Tasks[[#This Row],[_IsSummary]],COUNTIF(INDEX(Tasks[_LeafCritical],Tasks[[#This Row],[_Row]]+1):INDEX(Tasks[_LeafCritical],Tasks[[#This Row],[_Row]]+Tasks[[#This Row],[_Descendants]]),TRUE())&gt;0,Tasks[[#This Row],[_LeafCritical]]),"Yes",""))</f>
        <v/>
      </c>
      <c r="Q14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42" s="67" t="str">
        <f aca="false">IF(Tasks[[#This Row],[Task Name]]="","",IF(Tasks[[#This Row],[_Level]]&lt;=OutlineShowLevel,"Yes","No"))</f>
        <v/>
      </c>
      <c r="S142" s="7"/>
      <c r="T142" s="21"/>
      <c r="U142" s="22"/>
      <c r="V142" s="7"/>
      <c r="W142" s="67" t="str">
        <f aca="false">IF(Tasks[[#This Row],[Task Name]]="","",IF(Tasks[[#This Row],[Finish]]&gt;=Tasks[[#This Row],[Planned Finish]],NETWORKDAYS.INTL(Tasks[[#This Row],[Planned Finish]],Tasks[[#This Row],[Finish]],WorkWeek,Holidays)-1,1-NETWORKDAYS.INTL(Tasks[[#This Row],[Finish]],Tasks[[#This Row],[Planned Finish]],WorkWeek,Holidays)))</f>
        <v/>
      </c>
      <c r="X142" s="58" t="str">
        <f aca="false">IF(Tasks[[#This Row],[Task Name]]="","",IF(N(Tasks[[#This Row],[Baseline Start]])&gt;0,Tasks[[#This Row],[Baseline Start]],Tasks[[#This Row],[_CalcStart]]))</f>
        <v/>
      </c>
      <c r="Y142" s="58" t="str">
        <f aca="false">IF(Tasks[[#This Row],[Task Name]]="","",IF(N(Tasks[[#This Row],[Baseline Finish]])&gt;0,Tasks[[#This Row],[Baseline Finish]],Tasks[[#This Row],[_CalcFinish]]))</f>
        <v/>
      </c>
      <c r="Z142" s="67" t="str">
        <f aca="false">IF(Tasks[[#This Row],[Task Name]]="","",IF(Tasks[[#This Row],[Start]]&gt;=Tasks[[#This Row],[Planned Start]],NETWORKDAYS.INTL(Tasks[[#This Row],[Planned Start]],Tasks[[#This Row],[Start]],WorkWeek,Holidays)-1,1-NETWORKDAYS.INTL(Tasks[[#This Row],[Start]],Tasks[[#This Row],[Planned Start]],WorkWeek,Holidays)))</f>
        <v/>
      </c>
      <c r="AA142" s="58" t="str">
        <f aca="false">IF(Tasks[[#This Row],[Task Name]]="","",IF(Tasks[[#This Row],[_IsSummary]],MIN(INDEX(Tasks[_LeafLateStart],Tasks[[#This Row],[_Row]]+1):INDEX(Tasks[_LeafLateStart],Tasks[[#This Row],[_Row]]+Tasks[[#This Row],[_Descendants]])),Tasks[[#This Row],[_LeafLateStart]]))</f>
        <v/>
      </c>
      <c r="AB142" s="58" t="str">
        <f aca="false">IF(Tasks[[#This Row],[Task Name]]="","",IF(Tasks[[#This Row],[_IsSummary]],MAX(INDEX(Tasks[_LeafLateFinish],Tasks[[#This Row],[_Row]]+1):INDEX(Tasks[_LeafLateFinish],Tasks[[#This Row],[_Row]]+Tasks[[#This Row],[_Descendants]])),Tasks[[#This Row],[_LeafLateFinish]]))</f>
        <v/>
      </c>
      <c r="AC142" s="67" t="str">
        <f aca="false">IF(Tasks[[#This Row],[Task Name]]="","",IF(Tasks[[#This Row],[_IsSummary]],MIN(INDEX(Tasks[_LeafTotalSlack],Tasks[[#This Row],[_Row]]+1):INDEX(Tasks[_LeafTotalSlack],Tasks[[#This Row],[_Row]]+Tasks[[#This Row],[_Descendants]])),Tasks[[#This Row],[_LeafTotalSlack]]))</f>
        <v/>
      </c>
      <c r="AD14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4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4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42" s="60"/>
      <c r="AH14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4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42" s="69" t="str">
        <f aca="false">IF(Tasks[[#This Row],[Task Name]]="","",IF(Tasks[[#This Row],[_IsSummary]],SUM(INDEX(Tasks[_LeafTotalWork],Tasks[[#This Row],[_Row]]+1):INDEX(Tasks[_LeafTotalWork],Tasks[[#This Row],[_Row]]+Tasks[[#This Row],[_Descendants]])),Tasks[[#This Row],[_LeafTotalWork]]))</f>
        <v/>
      </c>
      <c r="AK14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42" s="70" t="str">
        <f aca="false">IF(Tasks[[#This Row],[Task Name]]="","",IF(Tasks[[#This Row],[_IsSummary]],SUM(INDEX(Tasks[_LeafTotalCost],Tasks[[#This Row],[_Row]]+1):INDEX(Tasks[_LeafTotalCost],Tasks[[#This Row],[_Row]]+Tasks[[#This Row],[_Descendants]])),Tasks[[#This Row],[_LeafTotalCost]]))</f>
        <v/>
      </c>
      <c r="AM142" s="71"/>
      <c r="AN142" s="20" t="str">
        <f aca="false">IF(OR(Tasks[[#This Row],[Task Name]]="",Tasks[[#This Row],[Baseline Duration]]=""),"",Tasks[[#This Row],[BL Source Duration]]-N(Tasks[[#This Row],[Baseline Duration]]))</f>
        <v/>
      </c>
      <c r="AO142" s="69" t="str">
        <f aca="false">IF(OR(Tasks[[#This Row],[Task Name]]="",Tasks[[#This Row],[Baseline Work]]=""),"",Tasks[[#This Row],[Work]]-N(Tasks[[#This Row],[Baseline Work]]))</f>
        <v/>
      </c>
      <c r="AP142" s="70" t="str">
        <f aca="false">IF(OR(Tasks[[#This Row],[Task Name]]="",Tasks[[#This Row],[Baseline Cost]]=""),"",Tasks[[#This Row],[Cost]]-N(Tasks[[#This Row],[Baseline Cost]]))</f>
        <v/>
      </c>
      <c r="AQ142" s="58" t="str">
        <f aca="false">IF(Tasks[[#This Row],[Task Name]]="","",Tasks[[#This Row],[Start]])</f>
        <v/>
      </c>
      <c r="AR142" s="58" t="str">
        <f aca="false">IF(Tasks[[#This Row],[Task Name]]="","",Tasks[[#This Row],[Finish]])</f>
        <v/>
      </c>
      <c r="AS142" s="67" t="str">
        <f aca="false">IF(Tasks[[#This Row],[Task Name]]="","",IF(Tasks[[#This Row],[_IsSummary]],NETWORKDAYS.INTL(Tasks[[#This Row],[Start]],Tasks[[#This Row],[Finish]],WorkWeek,Holidays),N(Tasks[[#This Row],[Duration]])))</f>
        <v/>
      </c>
      <c r="AT142" s="69" t="str">
        <f aca="false">IF(Tasks[[#This Row],[Task Name]]="","",Tasks[[#This Row],[Work]])</f>
        <v/>
      </c>
      <c r="AU142" s="70" t="str">
        <f aca="false">IF(Tasks[[#This Row],[Task Name]]="","",Tasks[[#This Row],[Cost]])</f>
        <v/>
      </c>
      <c r="AV142" s="7"/>
      <c r="AW142" s="7"/>
      <c r="AX142" s="21"/>
      <c r="AY142" s="72"/>
      <c r="AZ142" s="71"/>
      <c r="BA142" s="70" t="str">
        <f aca="false">IF(Tasks[[#This Row],[Task Name]]="","",IF(Tasks[[#This Row],[_IsSummary]],SUM(INDEX(Tasks[_LeafEV],Tasks[[#This Row],[_Row]]+1):INDEX(Tasks[_LeafEV],Tasks[[#This Row],[_Row]]+Tasks[[#This Row],[_Descendants]])),Tasks[[#This Row],[_LeafEV]]))</f>
        <v/>
      </c>
      <c r="BB142" s="70" t="str">
        <f aca="false">IF(Tasks[[#This Row],[Task Name]]="","",IF(Tasks[[#This Row],[_IsSummary]],SUM(INDEX(Tasks[_LeafBudget],Tasks[[#This Row],[_Row]]+1):INDEX(Tasks[_LeafBudget],Tasks[[#This Row],[_Row]]+Tasks[[#This Row],[_Descendants]])),Tasks[[#This Row],[_LeafBudget]]))</f>
        <v/>
      </c>
      <c r="BC142" s="70" t="str">
        <f aca="false">IF(Tasks[[#This Row],[Task Name]]="","",IF(Tasks[[#This Row],[_IsSummary]],SUM(INDEX(Tasks[_LeafPV],Tasks[[#This Row],[_Row]]+1):INDEX(Tasks[_LeafPV],Tasks[[#This Row],[_Row]]+Tasks[[#This Row],[_Descendants]])),Tasks[[#This Row],[_LeafPV]]))</f>
        <v/>
      </c>
      <c r="BD142" s="70" t="str">
        <f aca="false">IF(Tasks[[#This Row],[Task Name]]="","",IF(Tasks[[#This Row],[_IsSummary]],SUM(INDEX(Tasks[_LeafAC],Tasks[[#This Row],[_Row]]+1):INDEX(Tasks[_LeafAC],Tasks[[#This Row],[_Row]]+Tasks[[#This Row],[_Descendants]])),Tasks[[#This Row],[_LeafAC]]))</f>
        <v/>
      </c>
      <c r="BE142" s="45" t="str">
        <f aca="false">IF(Tasks[[#This Row],[Task Name]]="","",MAX(1,N(Tasks[[#This Row],[Level]])))</f>
        <v/>
      </c>
      <c r="BF142" s="45" t="n">
        <f aca="false">ROW()-ROW(Tasks[[#Headers],[ID]])</f>
        <v>137</v>
      </c>
      <c r="BG142" s="45" t="n">
        <f aca="false">IF(OR(Tasks[[#This Row],[Task Name]]="",Tasks[[#This Row],[_Level]]&lt;=1),0,IFERROR(LOOKUP(2,1/(Tasks[[#Headers],[_Level]]:Tasks[[#This Row],[_Level]]=Tasks[[#This Row],[_Level]]-1),ROW(Tasks[[#Headers],[_Level]]:Tasks[[#This Row],[_Level]])),0))</f>
        <v>0</v>
      </c>
      <c r="BH142" s="45" t="n">
        <f aca="false">IFERROR(N(INDEX(Tasks[_Level],Tasks[[#This Row],[_Row]]+1)),0)</f>
        <v>0</v>
      </c>
      <c r="BI142" s="73" t="b">
        <f aca="false">AND(Tasks[[#This Row],[Task Name]]&lt;&gt;"",Tasks[[#This Row],[_NextLevel]]&gt;Tasks[[#This Row],[_Level]])</f>
        <v>0</v>
      </c>
      <c r="BJ142" s="45" t="n">
        <f aca="false">IF(Tasks[[#This Row],[_IsSummary]],COUNTIF(Tasks[WBS],Tasks[[#This Row],[WBS]]&amp;".*"),0)</f>
        <v>0</v>
      </c>
      <c r="BK142" s="45" t="n">
        <f aca="false">IF(AND(Tasks[[#This Row],[Task Name]]&lt;&gt;"",NOT(Tasks[[#This Row],[_IsSummary]])),1,0)</f>
        <v>0</v>
      </c>
      <c r="BL142" s="45" t="n">
        <f aca="false">IF(N(Tasks[[#This Row],[_Pred1UID]])=0,0,IFERROR(MATCH(Tasks[[#This Row],[_Pred1UID]],Tasks[UID],0),-1))</f>
        <v>0</v>
      </c>
      <c r="BM142" s="45" t="n">
        <f aca="false">IF(N(Tasks[[#This Row],[_Pred2UID]])=0,0,IFERROR(MATCH(Tasks[[#This Row],[_Pred2UID]],Tasks[UID],0),-1))</f>
        <v>0</v>
      </c>
      <c r="BN142" s="45" t="n">
        <f aca="false">IF(N(Tasks[[#This Row],[_Pred3UID]])=0,0,IFERROR(MATCH(Tasks[[#This Row],[_Pred3UID]],Tasks[UID],0),-1))</f>
        <v>0</v>
      </c>
      <c r="BO142" s="45" t="n">
        <f aca="false">IF(N(Tasks[[#This Row],[_Pred4UID]])=0,0,IFERROR(MATCH(Tasks[[#This Row],[_Pred4UID]],Tasks[UID],0),-1))</f>
        <v>0</v>
      </c>
      <c r="BP14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4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42" s="74" t="n">
        <f aca="false">IF(OR(Tasks[[#This Row],[_ConstraintCode]]=2,Tasks[[#This Row],[_ConstraintCode]]=3,Tasks[[#This Row],[_ConstraintCode]]=4,Tasks[[#This Row],[_ConstraintCode]]=6),Tasks[[#This Row],[_ConstraintStart]],0)</f>
        <v>0</v>
      </c>
      <c r="BS142" s="74" t="n">
        <f aca="false">IF(OR(Tasks[[#This Row],[_ConstraintCode]]=2,Tasks[[#This Row],[_ConstraintCode]]=3,Tasks[[#This Row],[_ConstraintCode]]=5,Tasks[[#This Row],[_ConstraintCode]]=7),Tasks[[#This Row],[_ConstraintStart]],2958465)</f>
        <v>2958465</v>
      </c>
      <c r="BT14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42" s="74" t="str">
        <f aca="false">IF(NOT(Tasks[[#This Row],[_IsLeaf]]=1),"",IF(N(Tasks[[#This Row],[Duration]])&lt;=0,Tasks[[#This Row],[_LeafCalcStart]],WORKDAY.INTL(Tasks[[#This Row],[_LeafCalcStart]],Tasks[[#This Row],[Duration]]-1,WorkWeek,Holidays)))</f>
        <v/>
      </c>
      <c r="BV14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4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42" s="45" t="str">
        <f aca="false">IF(Tasks[[#This Row],[Predecessors]]="","",TRIM(MID(SUBSTITUTE(SUBSTITUTE(SUBSTITUTE(UPPER(Tasks[[#This Row],[Predecessors]]),";",",")," ",""),",",REPT(" ",99)),1,99)))</f>
        <v/>
      </c>
      <c r="BY142" s="45" t="str">
        <f aca="false">IF(Tasks[[#This Row],[_Pred1Text]]="","",IFERROR(VALUE(LEFT(Tasks[[#This Row],[_Pred1Text]],MIN(FIND("F",Tasks[[#This Row],[_Pred1Text]]&amp;"F"),FIND("S",Tasks[[#This Row],[_Pred1Text]]&amp;"S"),FIND("+",Tasks[[#This Row],[_Pred1Text]]&amp;"+"),FIND("-",Tasks[[#This Row],[_Pred1Text]]&amp;"-"))-1)),""))</f>
        <v/>
      </c>
      <c r="BZ14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4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42" s="45" t="str">
        <f aca="false">IF(Tasks[[#This Row],[_Pred1Text]]="","",TRIM(MID(SUBSTITUTE(SUBSTITUTE(SUBSTITUTE(UPPER(Tasks[[#This Row],[Predecessors]]),";",",")," ",""),",",REPT(" ",99)),100,99)))</f>
        <v/>
      </c>
      <c r="CC142" s="45" t="str">
        <f aca="false">IF(Tasks[[#This Row],[_Pred2Text]]="","",IFERROR(VALUE(LEFT(Tasks[[#This Row],[_Pred2Text]],MIN(FIND("F",Tasks[[#This Row],[_Pred2Text]]&amp;"F"),FIND("S",Tasks[[#This Row],[_Pred2Text]]&amp;"S"),FIND("+",Tasks[[#This Row],[_Pred2Text]]&amp;"+"),FIND("-",Tasks[[#This Row],[_Pred2Text]]&amp;"-"))-1)),""))</f>
        <v/>
      </c>
      <c r="CD14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4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42" s="45" t="str">
        <f aca="false">IF(Tasks[[#This Row],[_Pred2Text]]="","",TRIM(MID(SUBSTITUTE(SUBSTITUTE(SUBSTITUTE(UPPER(Tasks[[#This Row],[Predecessors]]),";",",")," ",""),",",REPT(" ",99)),199,99)))</f>
        <v/>
      </c>
      <c r="CG142" s="45" t="str">
        <f aca="false">IF(Tasks[[#This Row],[_Pred3Text]]="","",IFERROR(VALUE(LEFT(Tasks[[#This Row],[_Pred3Text]],MIN(FIND("F",Tasks[[#This Row],[_Pred3Text]]&amp;"F"),FIND("S",Tasks[[#This Row],[_Pred3Text]]&amp;"S"),FIND("+",Tasks[[#This Row],[_Pred3Text]]&amp;"+"),FIND("-",Tasks[[#This Row],[_Pred3Text]]&amp;"-"))-1)),""))</f>
        <v/>
      </c>
      <c r="CH14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4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42" s="45" t="str">
        <f aca="false">IF(Tasks[[#This Row],[_Pred3Text]]="","",TRIM(MID(SUBSTITUTE(SUBSTITUTE(SUBSTITUTE(UPPER(Tasks[[#This Row],[Predecessors]]),";",",")," ",""),",",REPT(" ",99)),298,99)))</f>
        <v/>
      </c>
      <c r="CK142" s="45" t="str">
        <f aca="false">IF(Tasks[[#This Row],[_Pred4Text]]="","",IFERROR(VALUE(LEFT(Tasks[[#This Row],[_Pred4Text]],MIN(FIND("F",Tasks[[#This Row],[_Pred4Text]]&amp;"F"),FIND("S",Tasks[[#This Row],[_Pred4Text]]&amp;"S"),FIND("+",Tasks[[#This Row],[_Pred4Text]]&amp;"+"),FIND("-",Tasks[[#This Row],[_Pred4Text]]&amp;"-"))-1)),""))</f>
        <v/>
      </c>
      <c r="CL14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4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42" s="45" t="str">
        <f aca="false">IF(OR(Tasks[[#This Row],[Task Name]]="",Tasks[[#This Row],[Resources]]=""),"",TRIM(MID(SUBSTITUTE(Tasks[[#This Row],[Resources]],",",REPT(" ",99)),1,99)))</f>
        <v/>
      </c>
      <c r="CO142" s="45" t="str">
        <f aca="false">IF(Tasks[[#This Row],[_Res1Text]]="","",TRIM(MID(SUBSTITUTE(Tasks[[#This Row],[Resources]],",",REPT(" ",99)),100,99)))</f>
        <v/>
      </c>
      <c r="CP142" s="45" t="str">
        <f aca="false">IF(Tasks[[#This Row],[_Res2Text]]="","",TRIM(MID(SUBSTITUTE(Tasks[[#This Row],[Resources]],",",REPT(" ",99)),199,99)))</f>
        <v/>
      </c>
      <c r="CQ142" s="45" t="str">
        <f aca="false">IF(Tasks[[#This Row],[_Res3Text]]="","",TRIM(MID(SUBSTITUTE(Tasks[[#This Row],[Resources]],",",REPT(" ",99)),298,99)))</f>
        <v/>
      </c>
      <c r="CR14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4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2" s="45" t="n">
        <f aca="false">IF(NOT(Tasks[[#This Row],[_IsLeaf]]=1),0,(Tasks[[#This Row],[_Resource1]]&lt;&gt;"")+(Tasks[[#This Row],[_Res2]]&lt;&gt;"")+(Tasks[[#This Row],[_Res3]]&lt;&gt;"")+(Tasks[[#This Row],[_Res4]]&lt;&gt;""))</f>
        <v>0</v>
      </c>
      <c r="CU14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4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2" s="45" t="n">
        <f aca="false">IF(OR(NOT(Tasks[[#This Row],[_IsLeaf]]=1),Tasks[[#This Row],[_Res2]]=""),0,IF(ISNA(MATCH(Tasks[[#This Row],[_Res2]],res_Name,0)),0,N(Tasks[[#This Row],[Duration]])*HoursPerDay*IF(Tasks[[#This Row],[_Res2Units]]="",DefaultUnits,Tasks[[#This Row],[_Res2Units]])))</f>
        <v>0</v>
      </c>
      <c r="CX142" s="45" t="n">
        <f aca="false">IF(Tasks[[#This Row],[_Res2Work]]=0,0,Tasks[[#This Row],[_Res2Work]]*IFERROR(INDEX(res_Rate,MATCH(Tasks[[#This Row],[_Res2]],res_Name,0)),0))</f>
        <v>0</v>
      </c>
      <c r="CY142" s="45" t="n">
        <f aca="false">IF(AND(AND(Tasks[[#This Row],[_IsLeaf]]=1,Tasks[[#This Row],[_LeafTotalWork]]&gt;0),Tasks[[#This Row],[_Res2Work]]&gt;0),Tasks[[#This Row],[_Res2Work]]/(Tasks[[#This Row],[_FinishWorkday]]-Tasks[[#This Row],[_StartWorkday]]+1),0)</f>
        <v>0</v>
      </c>
      <c r="CZ142" s="45" t="n">
        <f aca="false">Tasks[[#This Row],[_Res2WorkPerWD]]*MAX(0,Tasks[[#This Row],[_StartWorkday]]-1)</f>
        <v>0</v>
      </c>
      <c r="DA142" s="45" t="n">
        <f aca="false">Tasks[[#This Row],[_Res2Work]]*Tasks[[#This Row],[_LeafProgress]]</f>
        <v>0</v>
      </c>
      <c r="DB142" s="45" t="n">
        <f aca="false">IF(Tasks[[#This Row],[_LeafTotalCost]]=0,0,Tasks[[#This Row],[_LeafAC]]*Tasks[[#This Row],[_Res2Cost]]/Tasks[[#This Row],[_LeafTotalCost]])</f>
        <v>0</v>
      </c>
      <c r="DC14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4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42" s="45" t="n">
        <f aca="false">IF(OR(NOT(Tasks[[#This Row],[_IsLeaf]]=1),Tasks[[#This Row],[_Res3]]=""),0,IF(ISNA(MATCH(Tasks[[#This Row],[_Res3]],res_Name,0)),0,N(Tasks[[#This Row],[Duration]])*HoursPerDay*IF(Tasks[[#This Row],[_Res3Units]]="",DefaultUnits,Tasks[[#This Row],[_Res3Units]])))</f>
        <v>0</v>
      </c>
      <c r="DF142" s="45" t="n">
        <f aca="false">IF(Tasks[[#This Row],[_Res3Work]]=0,0,Tasks[[#This Row],[_Res3Work]]*IFERROR(INDEX(res_Rate,MATCH(Tasks[[#This Row],[_Res3]],res_Name,0)),0))</f>
        <v>0</v>
      </c>
      <c r="DG142" s="45" t="n">
        <f aca="false">IF(AND(AND(Tasks[[#This Row],[_IsLeaf]]=1,Tasks[[#This Row],[_LeafTotalWork]]&gt;0),Tasks[[#This Row],[_Res3Work]]&gt;0),Tasks[[#This Row],[_Res3Work]]/(Tasks[[#This Row],[_FinishWorkday]]-Tasks[[#This Row],[_StartWorkday]]+1),0)</f>
        <v>0</v>
      </c>
      <c r="DH142" s="45" t="n">
        <f aca="false">Tasks[[#This Row],[_Res3WorkPerWD]]*MAX(0,Tasks[[#This Row],[_StartWorkday]]-1)</f>
        <v>0</v>
      </c>
      <c r="DI142" s="45" t="n">
        <f aca="false">Tasks[[#This Row],[_Res3Work]]*Tasks[[#This Row],[_LeafProgress]]</f>
        <v>0</v>
      </c>
      <c r="DJ142" s="45" t="n">
        <f aca="false">IF(Tasks[[#This Row],[_LeafTotalCost]]=0,0,Tasks[[#This Row],[_LeafAC]]*Tasks[[#This Row],[_Res3Cost]]/Tasks[[#This Row],[_LeafTotalCost]])</f>
        <v>0</v>
      </c>
      <c r="DK14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4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42" s="45" t="n">
        <f aca="false">IF(OR(NOT(Tasks[[#This Row],[_IsLeaf]]=1),Tasks[[#This Row],[_Res4]]=""),0,IF(ISNA(MATCH(Tasks[[#This Row],[_Res4]],res_Name,0)),0,N(Tasks[[#This Row],[Duration]])*HoursPerDay*IF(Tasks[[#This Row],[_Res4Units]]="",DefaultUnits,Tasks[[#This Row],[_Res4Units]])))</f>
        <v>0</v>
      </c>
      <c r="DN142" s="45" t="n">
        <f aca="false">IF(Tasks[[#This Row],[_Res4Work]]=0,0,Tasks[[#This Row],[_Res4Work]]*IFERROR(INDEX(res_Rate,MATCH(Tasks[[#This Row],[_Res4]],res_Name,0)),0))</f>
        <v>0</v>
      </c>
      <c r="DO142" s="45" t="n">
        <f aca="false">IF(AND(AND(Tasks[[#This Row],[_IsLeaf]]=1,Tasks[[#This Row],[_LeafTotalWork]]&gt;0),Tasks[[#This Row],[_Res4Work]]&gt;0),Tasks[[#This Row],[_Res4Work]]/(Tasks[[#This Row],[_FinishWorkday]]-Tasks[[#This Row],[_StartWorkday]]+1),0)</f>
        <v>0</v>
      </c>
      <c r="DP142" s="45" t="n">
        <f aca="false">Tasks[[#This Row],[_Res4WorkPerWD]]*MAX(0,Tasks[[#This Row],[_StartWorkday]]-1)</f>
        <v>0</v>
      </c>
      <c r="DQ142" s="45" t="n">
        <f aca="false">Tasks[[#This Row],[_Res4Work]]*Tasks[[#This Row],[_LeafProgress]]</f>
        <v>0</v>
      </c>
      <c r="DR142" s="45" t="n">
        <f aca="false">IF(Tasks[[#This Row],[_LeafTotalCost]]=0,0,Tasks[[#This Row],[_LeafAC]]*Tasks[[#This Row],[_Res4Cost]]/Tasks[[#This Row],[_LeafTotalCost]])</f>
        <v>0</v>
      </c>
      <c r="DS142" s="45" t="n">
        <f aca="false">IF(ISNUMBER(Tasks[[#This Row],[% Complete]]),Tasks[[#This Row],[% Complete]],IF(Tasks[[#This Row],[Stage]]="",0,IFERROR(INDEX(stg_Pct,MATCH(Tasks[[#This Row],[Stage]],stg_Name,0)),0)))</f>
        <v>0</v>
      </c>
      <c r="DT142" s="45" t="n">
        <f aca="false">IF(NOT(Tasks[[#This Row],[_IsLeaf]]=1),0,IF(N(Tasks[[#This Row],[Actual Finish]])&gt;0,1,MIN(1,Tasks[[#This Row],[_Pct]])))</f>
        <v>0</v>
      </c>
      <c r="DU142" s="45" t="n">
        <f aca="false">IF(OR(NOT(Tasks[[#This Row],[_IsLeaf]]=1),Tasks[[#This Row],[_Resource1]]=""),0,IF(ISNA(MATCH(Tasks[[#This Row],[_Resource1]],res_Name,0)),0,N(Tasks[[#This Row],[Duration]])*HoursPerDay*IF(Tasks[[#This Row],[_Units1]]="",DefaultUnits,Tasks[[#This Row],[_Units1]])))</f>
        <v>0</v>
      </c>
      <c r="DV142" s="45" t="n">
        <f aca="false">IF(Tasks[[#This Row],[_LeafWork]]=0,0,Tasks[[#This Row],[_LeafWork]]*IFERROR(INDEX(res_Rate,MATCH(Tasks[[#This Row],[_Resource1]],res_Name,0)),0))</f>
        <v>0</v>
      </c>
      <c r="DW142" s="45" t="n">
        <f aca="false">Tasks[[#This Row],[_LeafWork]]+Tasks[[#This Row],[_Res2Work]]+Tasks[[#This Row],[_Res3Work]]+Tasks[[#This Row],[_Res4Work]]</f>
        <v>0</v>
      </c>
      <c r="DX142" s="45" t="n">
        <f aca="false">Tasks[[#This Row],[_LeafCost]]+Tasks[[#This Row],[_Res2Cost]]+Tasks[[#This Row],[_Res3Cost]]+Tasks[[#This Row],[_Res4Cost]]</f>
        <v>0</v>
      </c>
      <c r="DY142" s="45" t="n">
        <f aca="false">IF(Tasks[[#This Row],[_LeafTotalCost]]=0,Tasks[[#This Row],[_LeafAC]],Tasks[[#This Row],[_LeafAC]]*Tasks[[#This Row],[_LeafCost]]/Tasks[[#This Row],[_LeafTotalCost]])</f>
        <v>0</v>
      </c>
      <c r="DZ14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4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4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4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4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4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4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4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42" s="45" t="n">
        <f aca="false">IF(NOT(Tasks[[#This Row],[_IsLeaf]]=1),0,MAX(_xlfn.MAXIFS(Tasks[_Row],Tasks[_Pred1UID],Tasks[[#This Row],[UID]]),_xlfn.MAXIFS(Tasks[_Row],Tasks[_Pred2UID],Tasks[[#This Row],[UID]]),_xlfn.MAXIFS(Tasks[_Row],Tasks[_Pred3UID],Tasks[[#This Row],[UID]]),_xlfn.MAXIFS(Tasks[_Row],Tasks[_Pred4UID],Tasks[[#This Row],[UID]])))</f>
        <v>0</v>
      </c>
      <c r="EI14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4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42" s="74" t="str">
        <f aca="false">IF(NOT(Tasks[[#This Row],[_IsLeaf]]=1),"",IF(N(Tasks[[#This Row],[Duration]])&lt;=0,Tasks[[#This Row],[_LeafLateFinish]],WORKDAY.INTL(Tasks[[#This Row],[_LeafLateFinish]],-(Tasks[[#This Row],[Duration]]-1),WorkWeek,Holidays)))</f>
        <v/>
      </c>
      <c r="EL14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42" s="73" t="b">
        <f aca="false">AND(Tasks[[#This Row],[_IsLeaf]]=1,Tasks[[#This Row],[_LeafProgress]]&lt;1,N(Tasks[[#This Row],[_LeafTotalSlack]])&lt;=CriticalSlackDays)</f>
        <v>0</v>
      </c>
      <c r="EN142" s="45" t="n">
        <f aca="false">IF(AND(Tasks[[#This Row],[_IsLeaf]]=1,Tasks[[#This Row],[_ConstraintCode]]=1,Tasks[[#This Row],[Mode]]&lt;&gt;"Manual",N(Tasks[[#This Row],[Actual Start]])=0),MAX(0,N(Tasks[[#This Row],[Free Slack]])),0)</f>
        <v>0</v>
      </c>
      <c r="EO142" s="74" t="str">
        <f aca="false">IF(NOT(Tasks[[#This Row],[_IsLeaf]]=1),"",IF(Tasks[[#This Row],[_AlapShift]]=0,Tasks[[#This Row],[_LeafCalcStart]],WORKDAY.INTL(Tasks[[#This Row],[_LeafCalcStart]],Tasks[[#This Row],[_AlapShift]],WorkWeek,Holidays)))</f>
        <v/>
      </c>
      <c r="EP142" s="74" t="str">
        <f aca="false">IF(NOT(Tasks[[#This Row],[_IsLeaf]]=1),"",IF(Tasks[[#This Row],[_AlapShift]]=0,Tasks[[#This Row],[_LeafCalcFinish]],WORKDAY.INTL(Tasks[[#This Row],[_LeafCalcFinish]],Tasks[[#This Row],[_AlapShift]],WorkWeek,Holidays)))</f>
        <v/>
      </c>
      <c r="EQ142" s="74" t="str">
        <f aca="false">IF(NOT(Tasks[[#This Row],[_IsLeaf]]=1),"",IF(Tasks[[#This Row],[_AlapShift]]=0,Tasks[[#This Row],[_LeafFcstStart]],WORKDAY.INTL(Tasks[[#This Row],[_LeafFcstStart]],Tasks[[#This Row],[_AlapShift]],WorkWeek,Holidays)))</f>
        <v/>
      </c>
      <c r="ER142" s="74" t="str">
        <f aca="false">IF(NOT(Tasks[[#This Row],[_IsLeaf]]=1),"",IF(Tasks[[#This Row],[_AlapShift]]=0,Tasks[[#This Row],[_LeafFcstFinish]],WORKDAY.INTL(Tasks[[#This Row],[_LeafFcstFinish]],Tasks[[#This Row],[_AlapShift]],WorkWeek,Holidays)))</f>
        <v/>
      </c>
      <c r="ES142" s="74" t="str">
        <f aca="false">IF(Tasks[[#This Row],[Task Name]]="","",IF(Tasks[[#This Row],[_IsSummary]],MIN(INDEX(Tasks[_ShownCalcStart],Tasks[[#This Row],[_Row]]+1):INDEX(Tasks[_ShownCalcStart],Tasks[[#This Row],[_Row]]+Tasks[[#This Row],[_Descendants]])),Tasks[[#This Row],[_ShownCalcStart]]))</f>
        <v/>
      </c>
      <c r="ET142" s="74" t="str">
        <f aca="false">IF(Tasks[[#This Row],[Task Name]]="","",IF(Tasks[[#This Row],[_IsSummary]],MAX(INDEX(Tasks[_ShownCalcFinish],Tasks[[#This Row],[_Row]]+1):INDEX(Tasks[_ShownCalcFinish],Tasks[[#This Row],[_Row]]+Tasks[[#This Row],[_Descendants]])),Tasks[[#This Row],[_ShownCalcFinish]]))</f>
        <v/>
      </c>
      <c r="EU14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4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4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4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4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4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4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4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4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4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4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4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42" s="45" t="n">
        <f aca="false">IF(AND(Tasks[[#This Row],[_IsLeaf]]=1,Tasks[[#This Row],[_LeafTotalWork]]&gt;0),NETWORKDAYS.INTL(ProjectStart,Tasks[[#This Row],[_ShownFcstStart]],WorkWeek,Holidays),0)</f>
        <v>0</v>
      </c>
      <c r="FH142" s="45" t="n">
        <f aca="false">IF(AND(Tasks[[#This Row],[_IsLeaf]]=1,Tasks[[#This Row],[_LeafTotalWork]]&gt;0),MAX(Tasks[[#This Row],[_StartWorkday]],NETWORKDAYS.INTL(ProjectStart,Tasks[[#This Row],[_ShownFcstFinish]],WorkWeek,Holidays)),0)</f>
        <v>0</v>
      </c>
      <c r="FI142" s="45" t="n">
        <f aca="false">IF(AND(Tasks[[#This Row],[_IsLeaf]]=1,Tasks[[#This Row],[_LeafTotalWork]]&gt;0),Tasks[[#This Row],[_LeafWork]]/(Tasks[[#This Row],[_FinishWorkday]]-Tasks[[#This Row],[_StartWorkday]]+1),0)</f>
        <v>0</v>
      </c>
      <c r="FJ142" s="45" t="n">
        <f aca="false">Tasks[[#This Row],[_WorkPerWorkday]]*(Tasks[[#This Row],[_StartWorkday]]-1)</f>
        <v>-0</v>
      </c>
      <c r="FK142" s="45" t="n">
        <f aca="false">IF(Tasks[[#This Row],[_IsLeaf]]=1,MAX(N(Tasks[[#This Row],[Duration]]),0.1),0)</f>
        <v>0</v>
      </c>
      <c r="FL142" s="45" t="n">
        <f aca="false">Tasks[[#This Row],[_WeightDur]]*Tasks[[#This Row],[_LeafProgress]]</f>
        <v>0</v>
      </c>
      <c r="FM14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42" s="45" t="str">
        <f aca="false">IF(AND(Tasks[[#This Row],[_IsLeaf]]=1,N(Tasks[[#This Row],[Duration]])=0,Tasks[[#This Row],[_LeafProgress]]&lt;1),Tasks[[#This Row],[_ShownFcstFinish]]+Tasks[[#This Row],[_Row]]/100000,"")</f>
        <v/>
      </c>
      <c r="FO14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42" s="45" t="n">
        <f aca="false">IF(NOT(Tasks[[#This Row],[_IsLeaf]]=1),0,IF(Tasks[[#This Row],[Baseline Cost]]="",Tasks[[#This Row],[_LeafTotalCost]],N(Tasks[[#This Row],[Baseline Cost]])))</f>
        <v>0</v>
      </c>
      <c r="FQ142" s="45" t="n">
        <f aca="false">Tasks[[#This Row],[_LeafBudget]]*Tasks[[#This Row],[_PlannedPct]]</f>
        <v>0</v>
      </c>
      <c r="FR142" s="45" t="n">
        <f aca="false">Tasks[[#This Row],[_LeafBudget]]*Tasks[[#This Row],[_LeafProgress]]</f>
        <v>0</v>
      </c>
      <c r="FS142" s="45" t="n">
        <f aca="false">IF(NOT(Tasks[[#This Row],[_IsLeaf]]=1),0,IF(Tasks[[#This Row],[Actual Cost]]="",Tasks[[#This Row],[_LeafTotalCost]]*Tasks[[#This Row],[_LeafProgress]],N(Tasks[[#This Row],[Actual Cost]])))</f>
        <v>0</v>
      </c>
      <c r="FT142" s="45" t="str">
        <f aca="false">IF(Tasks[[#This Row],[Task Name]]="","",LEFT(Tasks[[#This Row],[WBS]],FIND(".",Tasks[[#This Row],[WBS]]&amp;".")-1))</f>
        <v/>
      </c>
      <c r="FU142" s="45" t="str">
        <f aca="false">IF(AND(Tasks[[#This Row],[Task Name]]&lt;&gt;"",Tasks[[#This Row],[_Level]]=1),Tasks[[#This Row],[_Row]],"")</f>
        <v/>
      </c>
      <c r="FV142" s="45" t="str">
        <f aca="false">IF(AND(Tasks[[#This Row],[_IsLeaf]]=1,N(Tasks[[#This Row],[Duration]])=0),Tasks[[#This Row],[Planned Finish]]+Tasks[[#This Row],[_Row]]/100000,"")</f>
        <v/>
      </c>
      <c r="FW142" s="45" t="str">
        <f aca="false">IF(AND(Tasks[[#This Row],[_IsLeaf]]=1,Tasks[[#This Row],[_LeafProgress]]&lt;1,OR(N(Tasks[[#This Row],[Finish Var]])&gt;0,Tasks[[#This Row],[Status]]="Late Start")),MAX(0,Tasks[[#This Row],[Finish Var]])+1-Tasks[[#This Row],[_Row]]/1000000,"")</f>
        <v/>
      </c>
      <c r="FX142" s="45" t="str">
        <f aca="false">IF(AND(Tasks[[#This Row],[_IsLeaf]]=1,N(Tasks[[#This Row],[Actual Start]])=0,Tasks[[#This Row],[_ShownFcstStart]]&gt;=StatusDate,Tasks[[#This Row],[_ShownFcstStart]]&lt;=LookaheadEnd),Tasks[[#This Row],[_ShownFcstStart]]+Tasks[[#This Row],[_Row]]/100000,"")</f>
        <v/>
      </c>
      <c r="FY142" s="45" t="str">
        <f aca="false">IF(AND(Tasks[[#This Row],[_IsLeaf]]=1,Tasks[[#This Row],[_LeafProgress]]&lt;1,Tasks[[#This Row],[_ShownFcstFinish]]&gt;=StatusDate,Tasks[[#This Row],[_ShownFcstFinish]]&lt;=LookaheadEnd),Tasks[[#This Row],[_ShownFcstFinish]]+Tasks[[#This Row],[_Row]]/100000,"")</f>
        <v/>
      </c>
      <c r="FZ142" s="45" t="str">
        <f aca="false">IF(Tasks[[#This Row],[_LeafCritical]],Tasks[[#This Row],[_ShownFcstStart]]+Tasks[[#This Row],[_Row]]/100000,"")</f>
        <v/>
      </c>
      <c r="GA142" s="45" t="n">
        <f aca="false">Tasks[[#This Row],[_LeafWork]]*Tasks[[#This Row],[_LeafProgress]]</f>
        <v>0</v>
      </c>
      <c r="GB142" s="74" t="str">
        <f aca="false">IF(AND(Tasks[[#This Row],[_IsLeaf]]=1,Tasks[[#This Row],[_LeafProgress]]&gt;=1),IF(N(Tasks[[#This Row],[Actual Finish]])&gt;0,Tasks[[#This Row],[Actual Finish]],Tasks[[#This Row],[_ShownFcstFinish]]),"")</f>
        <v/>
      </c>
    </row>
    <row r="143" customFormat="false" ht="15" hidden="false" customHeight="false" outlineLevel="0" collapsed="false">
      <c r="A143" s="67" t="str">
        <f aca="false">IF(Tasks[[#This Row],[Task Name]]="","",COUNTA(Tasks[[#Headers],[Task Name]]:Tasks[[#This Row],[Task Name]])-1)</f>
        <v/>
      </c>
      <c r="B143" s="21" t="n">
        <v>138</v>
      </c>
      <c r="C14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21"/>
      <c r="E143" s="22"/>
      <c r="F143" s="21"/>
      <c r="G143" s="22"/>
      <c r="H143" s="22"/>
      <c r="I143" s="22"/>
      <c r="J143" s="7"/>
      <c r="K143" s="7"/>
      <c r="L143" s="22"/>
      <c r="M143" s="58" t="str">
        <f aca="false">IF(Tasks[[#This Row],[Task Name]]="","",IF(Tasks[[#This Row],[_IsSummary]],MIN(INDEX(Tasks[_ShownFcstStart],Tasks[[#This Row],[_Row]]+1):INDEX(Tasks[_ShownFcstStart],Tasks[[#This Row],[_Row]]+Tasks[[#This Row],[_Descendants]])),Tasks[[#This Row],[_ShownFcstStart]]))</f>
        <v/>
      </c>
      <c r="N143" s="58" t="str">
        <f aca="false">IF(Tasks[[#This Row],[Task Name]]="","",IF(Tasks[[#This Row],[_IsSummary]],MAX(INDEX(Tasks[_ShownFcstFinish],Tasks[[#This Row],[_Row]]+1):INDEX(Tasks[_ShownFcstFinish],Tasks[[#This Row],[_Row]]+Tasks[[#This Row],[_Descendants]])),Tasks[[#This Row],[_ShownFcstFinish]]))</f>
        <v/>
      </c>
      <c r="O143" s="20" t="str">
        <f aca="false">IF(Tasks[[#This Row],[Task Name]]="","",IF(Tasks[[#This Row],[Progress]]&gt;=1,"Complete",IF(OR(N(Tasks[[#This Row],[Actual Start]])&gt;0,Tasks[[#This Row],[Progress]]&gt;0),IF(Tasks[[#This Row],[Finish Var]]&gt;0,"Behind","In Progress"),IF(Tasks[[#This Row],[Planned Start]]&lt;StatusDate,"Late Start","Not Started"))))</f>
        <v/>
      </c>
      <c r="P143" s="20" t="str">
        <f aca="false">IF(Tasks[[#This Row],[Task Name]]="","",IF(IF(Tasks[[#This Row],[_IsSummary]],COUNTIF(INDEX(Tasks[_LeafCritical],Tasks[[#This Row],[_Row]]+1):INDEX(Tasks[_LeafCritical],Tasks[[#This Row],[_Row]]+Tasks[[#This Row],[_Descendants]]),TRUE())&gt;0,Tasks[[#This Row],[_LeafCritical]]),"Yes",""))</f>
        <v/>
      </c>
      <c r="Q14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43" s="67" t="str">
        <f aca="false">IF(Tasks[[#This Row],[Task Name]]="","",IF(Tasks[[#This Row],[_Level]]&lt;=OutlineShowLevel,"Yes","No"))</f>
        <v/>
      </c>
      <c r="S143" s="7"/>
      <c r="T143" s="21"/>
      <c r="U143" s="22"/>
      <c r="V143" s="7"/>
      <c r="W143" s="67" t="str">
        <f aca="false">IF(Tasks[[#This Row],[Task Name]]="","",IF(Tasks[[#This Row],[Finish]]&gt;=Tasks[[#This Row],[Planned Finish]],NETWORKDAYS.INTL(Tasks[[#This Row],[Planned Finish]],Tasks[[#This Row],[Finish]],WorkWeek,Holidays)-1,1-NETWORKDAYS.INTL(Tasks[[#This Row],[Finish]],Tasks[[#This Row],[Planned Finish]],WorkWeek,Holidays)))</f>
        <v/>
      </c>
      <c r="X143" s="58" t="str">
        <f aca="false">IF(Tasks[[#This Row],[Task Name]]="","",IF(N(Tasks[[#This Row],[Baseline Start]])&gt;0,Tasks[[#This Row],[Baseline Start]],Tasks[[#This Row],[_CalcStart]]))</f>
        <v/>
      </c>
      <c r="Y143" s="58" t="str">
        <f aca="false">IF(Tasks[[#This Row],[Task Name]]="","",IF(N(Tasks[[#This Row],[Baseline Finish]])&gt;0,Tasks[[#This Row],[Baseline Finish]],Tasks[[#This Row],[_CalcFinish]]))</f>
        <v/>
      </c>
      <c r="Z143" s="67" t="str">
        <f aca="false">IF(Tasks[[#This Row],[Task Name]]="","",IF(Tasks[[#This Row],[Start]]&gt;=Tasks[[#This Row],[Planned Start]],NETWORKDAYS.INTL(Tasks[[#This Row],[Planned Start]],Tasks[[#This Row],[Start]],WorkWeek,Holidays)-1,1-NETWORKDAYS.INTL(Tasks[[#This Row],[Start]],Tasks[[#This Row],[Planned Start]],WorkWeek,Holidays)))</f>
        <v/>
      </c>
      <c r="AA143" s="58" t="str">
        <f aca="false">IF(Tasks[[#This Row],[Task Name]]="","",IF(Tasks[[#This Row],[_IsSummary]],MIN(INDEX(Tasks[_LeafLateStart],Tasks[[#This Row],[_Row]]+1):INDEX(Tasks[_LeafLateStart],Tasks[[#This Row],[_Row]]+Tasks[[#This Row],[_Descendants]])),Tasks[[#This Row],[_LeafLateStart]]))</f>
        <v/>
      </c>
      <c r="AB143" s="58" t="str">
        <f aca="false">IF(Tasks[[#This Row],[Task Name]]="","",IF(Tasks[[#This Row],[_IsSummary]],MAX(INDEX(Tasks[_LeafLateFinish],Tasks[[#This Row],[_Row]]+1):INDEX(Tasks[_LeafLateFinish],Tasks[[#This Row],[_Row]]+Tasks[[#This Row],[_Descendants]])),Tasks[[#This Row],[_LeafLateFinish]]))</f>
        <v/>
      </c>
      <c r="AC143" s="67" t="str">
        <f aca="false">IF(Tasks[[#This Row],[Task Name]]="","",IF(Tasks[[#This Row],[_IsSummary]],MIN(INDEX(Tasks[_LeafTotalSlack],Tasks[[#This Row],[_Row]]+1):INDEX(Tasks[_LeafTotalSlack],Tasks[[#This Row],[_Row]]+Tasks[[#This Row],[_Descendants]])),Tasks[[#This Row],[_LeafTotalSlack]]))</f>
        <v/>
      </c>
      <c r="AD14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4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4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43" s="60"/>
      <c r="AH14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4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43" s="69" t="str">
        <f aca="false">IF(Tasks[[#This Row],[Task Name]]="","",IF(Tasks[[#This Row],[_IsSummary]],SUM(INDEX(Tasks[_LeafTotalWork],Tasks[[#This Row],[_Row]]+1):INDEX(Tasks[_LeafTotalWork],Tasks[[#This Row],[_Row]]+Tasks[[#This Row],[_Descendants]])),Tasks[[#This Row],[_LeafTotalWork]]))</f>
        <v/>
      </c>
      <c r="AK14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43" s="70" t="str">
        <f aca="false">IF(Tasks[[#This Row],[Task Name]]="","",IF(Tasks[[#This Row],[_IsSummary]],SUM(INDEX(Tasks[_LeafTotalCost],Tasks[[#This Row],[_Row]]+1):INDEX(Tasks[_LeafTotalCost],Tasks[[#This Row],[_Row]]+Tasks[[#This Row],[_Descendants]])),Tasks[[#This Row],[_LeafTotalCost]]))</f>
        <v/>
      </c>
      <c r="AM143" s="71"/>
      <c r="AN143" s="20" t="str">
        <f aca="false">IF(OR(Tasks[[#This Row],[Task Name]]="",Tasks[[#This Row],[Baseline Duration]]=""),"",Tasks[[#This Row],[BL Source Duration]]-N(Tasks[[#This Row],[Baseline Duration]]))</f>
        <v/>
      </c>
      <c r="AO143" s="69" t="str">
        <f aca="false">IF(OR(Tasks[[#This Row],[Task Name]]="",Tasks[[#This Row],[Baseline Work]]=""),"",Tasks[[#This Row],[Work]]-N(Tasks[[#This Row],[Baseline Work]]))</f>
        <v/>
      </c>
      <c r="AP143" s="70" t="str">
        <f aca="false">IF(OR(Tasks[[#This Row],[Task Name]]="",Tasks[[#This Row],[Baseline Cost]]=""),"",Tasks[[#This Row],[Cost]]-N(Tasks[[#This Row],[Baseline Cost]]))</f>
        <v/>
      </c>
      <c r="AQ143" s="58" t="str">
        <f aca="false">IF(Tasks[[#This Row],[Task Name]]="","",Tasks[[#This Row],[Start]])</f>
        <v/>
      </c>
      <c r="AR143" s="58" t="str">
        <f aca="false">IF(Tasks[[#This Row],[Task Name]]="","",Tasks[[#This Row],[Finish]])</f>
        <v/>
      </c>
      <c r="AS143" s="67" t="str">
        <f aca="false">IF(Tasks[[#This Row],[Task Name]]="","",IF(Tasks[[#This Row],[_IsSummary]],NETWORKDAYS.INTL(Tasks[[#This Row],[Start]],Tasks[[#This Row],[Finish]],WorkWeek,Holidays),N(Tasks[[#This Row],[Duration]])))</f>
        <v/>
      </c>
      <c r="AT143" s="69" t="str">
        <f aca="false">IF(Tasks[[#This Row],[Task Name]]="","",Tasks[[#This Row],[Work]])</f>
        <v/>
      </c>
      <c r="AU143" s="70" t="str">
        <f aca="false">IF(Tasks[[#This Row],[Task Name]]="","",Tasks[[#This Row],[Cost]])</f>
        <v/>
      </c>
      <c r="AV143" s="7"/>
      <c r="AW143" s="7"/>
      <c r="AX143" s="21"/>
      <c r="AY143" s="72"/>
      <c r="AZ143" s="71"/>
      <c r="BA143" s="70" t="str">
        <f aca="false">IF(Tasks[[#This Row],[Task Name]]="","",IF(Tasks[[#This Row],[_IsSummary]],SUM(INDEX(Tasks[_LeafEV],Tasks[[#This Row],[_Row]]+1):INDEX(Tasks[_LeafEV],Tasks[[#This Row],[_Row]]+Tasks[[#This Row],[_Descendants]])),Tasks[[#This Row],[_LeafEV]]))</f>
        <v/>
      </c>
      <c r="BB143" s="70" t="str">
        <f aca="false">IF(Tasks[[#This Row],[Task Name]]="","",IF(Tasks[[#This Row],[_IsSummary]],SUM(INDEX(Tasks[_LeafBudget],Tasks[[#This Row],[_Row]]+1):INDEX(Tasks[_LeafBudget],Tasks[[#This Row],[_Row]]+Tasks[[#This Row],[_Descendants]])),Tasks[[#This Row],[_LeafBudget]]))</f>
        <v/>
      </c>
      <c r="BC143" s="70" t="str">
        <f aca="false">IF(Tasks[[#This Row],[Task Name]]="","",IF(Tasks[[#This Row],[_IsSummary]],SUM(INDEX(Tasks[_LeafPV],Tasks[[#This Row],[_Row]]+1):INDEX(Tasks[_LeafPV],Tasks[[#This Row],[_Row]]+Tasks[[#This Row],[_Descendants]])),Tasks[[#This Row],[_LeafPV]]))</f>
        <v/>
      </c>
      <c r="BD143" s="70" t="str">
        <f aca="false">IF(Tasks[[#This Row],[Task Name]]="","",IF(Tasks[[#This Row],[_IsSummary]],SUM(INDEX(Tasks[_LeafAC],Tasks[[#This Row],[_Row]]+1):INDEX(Tasks[_LeafAC],Tasks[[#This Row],[_Row]]+Tasks[[#This Row],[_Descendants]])),Tasks[[#This Row],[_LeafAC]]))</f>
        <v/>
      </c>
      <c r="BE143" s="45" t="str">
        <f aca="false">IF(Tasks[[#This Row],[Task Name]]="","",MAX(1,N(Tasks[[#This Row],[Level]])))</f>
        <v/>
      </c>
      <c r="BF143" s="45" t="n">
        <f aca="false">ROW()-ROW(Tasks[[#Headers],[ID]])</f>
        <v>138</v>
      </c>
      <c r="BG143" s="45" t="n">
        <f aca="false">IF(OR(Tasks[[#This Row],[Task Name]]="",Tasks[[#This Row],[_Level]]&lt;=1),0,IFERROR(LOOKUP(2,1/(Tasks[[#Headers],[_Level]]:Tasks[[#This Row],[_Level]]=Tasks[[#This Row],[_Level]]-1),ROW(Tasks[[#Headers],[_Level]]:Tasks[[#This Row],[_Level]])),0))</f>
        <v>0</v>
      </c>
      <c r="BH143" s="45" t="n">
        <f aca="false">IFERROR(N(INDEX(Tasks[_Level],Tasks[[#This Row],[_Row]]+1)),0)</f>
        <v>0</v>
      </c>
      <c r="BI143" s="73" t="b">
        <f aca="false">AND(Tasks[[#This Row],[Task Name]]&lt;&gt;"",Tasks[[#This Row],[_NextLevel]]&gt;Tasks[[#This Row],[_Level]])</f>
        <v>0</v>
      </c>
      <c r="BJ143" s="45" t="n">
        <f aca="false">IF(Tasks[[#This Row],[_IsSummary]],COUNTIF(Tasks[WBS],Tasks[[#This Row],[WBS]]&amp;".*"),0)</f>
        <v>0</v>
      </c>
      <c r="BK143" s="45" t="n">
        <f aca="false">IF(AND(Tasks[[#This Row],[Task Name]]&lt;&gt;"",NOT(Tasks[[#This Row],[_IsSummary]])),1,0)</f>
        <v>0</v>
      </c>
      <c r="BL143" s="45" t="n">
        <f aca="false">IF(N(Tasks[[#This Row],[_Pred1UID]])=0,0,IFERROR(MATCH(Tasks[[#This Row],[_Pred1UID]],Tasks[UID],0),-1))</f>
        <v>0</v>
      </c>
      <c r="BM143" s="45" t="n">
        <f aca="false">IF(N(Tasks[[#This Row],[_Pred2UID]])=0,0,IFERROR(MATCH(Tasks[[#This Row],[_Pred2UID]],Tasks[UID],0),-1))</f>
        <v>0</v>
      </c>
      <c r="BN143" s="45" t="n">
        <f aca="false">IF(N(Tasks[[#This Row],[_Pred3UID]])=0,0,IFERROR(MATCH(Tasks[[#This Row],[_Pred3UID]],Tasks[UID],0),-1))</f>
        <v>0</v>
      </c>
      <c r="BO143" s="45" t="n">
        <f aca="false">IF(N(Tasks[[#This Row],[_Pred4UID]])=0,0,IFERROR(MATCH(Tasks[[#This Row],[_Pred4UID]],Tasks[UID],0),-1))</f>
        <v>0</v>
      </c>
      <c r="BP14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4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43" s="74" t="n">
        <f aca="false">IF(OR(Tasks[[#This Row],[_ConstraintCode]]=2,Tasks[[#This Row],[_ConstraintCode]]=3,Tasks[[#This Row],[_ConstraintCode]]=4,Tasks[[#This Row],[_ConstraintCode]]=6),Tasks[[#This Row],[_ConstraintStart]],0)</f>
        <v>0</v>
      </c>
      <c r="BS143" s="74" t="n">
        <f aca="false">IF(OR(Tasks[[#This Row],[_ConstraintCode]]=2,Tasks[[#This Row],[_ConstraintCode]]=3,Tasks[[#This Row],[_ConstraintCode]]=5,Tasks[[#This Row],[_ConstraintCode]]=7),Tasks[[#This Row],[_ConstraintStart]],2958465)</f>
        <v>2958465</v>
      </c>
      <c r="BT14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43" s="74" t="str">
        <f aca="false">IF(NOT(Tasks[[#This Row],[_IsLeaf]]=1),"",IF(N(Tasks[[#This Row],[Duration]])&lt;=0,Tasks[[#This Row],[_LeafCalcStart]],WORKDAY.INTL(Tasks[[#This Row],[_LeafCalcStart]],Tasks[[#This Row],[Duration]]-1,WorkWeek,Holidays)))</f>
        <v/>
      </c>
      <c r="BV14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4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43" s="45" t="str">
        <f aca="false">IF(Tasks[[#This Row],[Predecessors]]="","",TRIM(MID(SUBSTITUTE(SUBSTITUTE(SUBSTITUTE(UPPER(Tasks[[#This Row],[Predecessors]]),";",",")," ",""),",",REPT(" ",99)),1,99)))</f>
        <v/>
      </c>
      <c r="BY143" s="45" t="str">
        <f aca="false">IF(Tasks[[#This Row],[_Pred1Text]]="","",IFERROR(VALUE(LEFT(Tasks[[#This Row],[_Pred1Text]],MIN(FIND("F",Tasks[[#This Row],[_Pred1Text]]&amp;"F"),FIND("S",Tasks[[#This Row],[_Pred1Text]]&amp;"S"),FIND("+",Tasks[[#This Row],[_Pred1Text]]&amp;"+"),FIND("-",Tasks[[#This Row],[_Pred1Text]]&amp;"-"))-1)),""))</f>
        <v/>
      </c>
      <c r="BZ14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4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43" s="45" t="str">
        <f aca="false">IF(Tasks[[#This Row],[_Pred1Text]]="","",TRIM(MID(SUBSTITUTE(SUBSTITUTE(SUBSTITUTE(UPPER(Tasks[[#This Row],[Predecessors]]),";",",")," ",""),",",REPT(" ",99)),100,99)))</f>
        <v/>
      </c>
      <c r="CC143" s="45" t="str">
        <f aca="false">IF(Tasks[[#This Row],[_Pred2Text]]="","",IFERROR(VALUE(LEFT(Tasks[[#This Row],[_Pred2Text]],MIN(FIND("F",Tasks[[#This Row],[_Pred2Text]]&amp;"F"),FIND("S",Tasks[[#This Row],[_Pred2Text]]&amp;"S"),FIND("+",Tasks[[#This Row],[_Pred2Text]]&amp;"+"),FIND("-",Tasks[[#This Row],[_Pred2Text]]&amp;"-"))-1)),""))</f>
        <v/>
      </c>
      <c r="CD14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4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43" s="45" t="str">
        <f aca="false">IF(Tasks[[#This Row],[_Pred2Text]]="","",TRIM(MID(SUBSTITUTE(SUBSTITUTE(SUBSTITUTE(UPPER(Tasks[[#This Row],[Predecessors]]),";",",")," ",""),",",REPT(" ",99)),199,99)))</f>
        <v/>
      </c>
      <c r="CG143" s="45" t="str">
        <f aca="false">IF(Tasks[[#This Row],[_Pred3Text]]="","",IFERROR(VALUE(LEFT(Tasks[[#This Row],[_Pred3Text]],MIN(FIND("F",Tasks[[#This Row],[_Pred3Text]]&amp;"F"),FIND("S",Tasks[[#This Row],[_Pred3Text]]&amp;"S"),FIND("+",Tasks[[#This Row],[_Pred3Text]]&amp;"+"),FIND("-",Tasks[[#This Row],[_Pred3Text]]&amp;"-"))-1)),""))</f>
        <v/>
      </c>
      <c r="CH14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4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43" s="45" t="str">
        <f aca="false">IF(Tasks[[#This Row],[_Pred3Text]]="","",TRIM(MID(SUBSTITUTE(SUBSTITUTE(SUBSTITUTE(UPPER(Tasks[[#This Row],[Predecessors]]),";",",")," ",""),",",REPT(" ",99)),298,99)))</f>
        <v/>
      </c>
      <c r="CK143" s="45" t="str">
        <f aca="false">IF(Tasks[[#This Row],[_Pred4Text]]="","",IFERROR(VALUE(LEFT(Tasks[[#This Row],[_Pred4Text]],MIN(FIND("F",Tasks[[#This Row],[_Pred4Text]]&amp;"F"),FIND("S",Tasks[[#This Row],[_Pred4Text]]&amp;"S"),FIND("+",Tasks[[#This Row],[_Pred4Text]]&amp;"+"),FIND("-",Tasks[[#This Row],[_Pred4Text]]&amp;"-"))-1)),""))</f>
        <v/>
      </c>
      <c r="CL14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4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43" s="45" t="str">
        <f aca="false">IF(OR(Tasks[[#This Row],[Task Name]]="",Tasks[[#This Row],[Resources]]=""),"",TRIM(MID(SUBSTITUTE(Tasks[[#This Row],[Resources]],",",REPT(" ",99)),1,99)))</f>
        <v/>
      </c>
      <c r="CO143" s="45" t="str">
        <f aca="false">IF(Tasks[[#This Row],[_Res1Text]]="","",TRIM(MID(SUBSTITUTE(Tasks[[#This Row],[Resources]],",",REPT(" ",99)),100,99)))</f>
        <v/>
      </c>
      <c r="CP143" s="45" t="str">
        <f aca="false">IF(Tasks[[#This Row],[_Res2Text]]="","",TRIM(MID(SUBSTITUTE(Tasks[[#This Row],[Resources]],",",REPT(" ",99)),199,99)))</f>
        <v/>
      </c>
      <c r="CQ143" s="45" t="str">
        <f aca="false">IF(Tasks[[#This Row],[_Res3Text]]="","",TRIM(MID(SUBSTITUTE(Tasks[[#This Row],[Resources]],",",REPT(" ",99)),298,99)))</f>
        <v/>
      </c>
      <c r="CR14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4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3" s="45" t="n">
        <f aca="false">IF(NOT(Tasks[[#This Row],[_IsLeaf]]=1),0,(Tasks[[#This Row],[_Resource1]]&lt;&gt;"")+(Tasks[[#This Row],[_Res2]]&lt;&gt;"")+(Tasks[[#This Row],[_Res3]]&lt;&gt;"")+(Tasks[[#This Row],[_Res4]]&lt;&gt;""))</f>
        <v>0</v>
      </c>
      <c r="CU14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4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3" s="45" t="n">
        <f aca="false">IF(OR(NOT(Tasks[[#This Row],[_IsLeaf]]=1),Tasks[[#This Row],[_Res2]]=""),0,IF(ISNA(MATCH(Tasks[[#This Row],[_Res2]],res_Name,0)),0,N(Tasks[[#This Row],[Duration]])*HoursPerDay*IF(Tasks[[#This Row],[_Res2Units]]="",DefaultUnits,Tasks[[#This Row],[_Res2Units]])))</f>
        <v>0</v>
      </c>
      <c r="CX143" s="45" t="n">
        <f aca="false">IF(Tasks[[#This Row],[_Res2Work]]=0,0,Tasks[[#This Row],[_Res2Work]]*IFERROR(INDEX(res_Rate,MATCH(Tasks[[#This Row],[_Res2]],res_Name,0)),0))</f>
        <v>0</v>
      </c>
      <c r="CY143" s="45" t="n">
        <f aca="false">IF(AND(AND(Tasks[[#This Row],[_IsLeaf]]=1,Tasks[[#This Row],[_LeafTotalWork]]&gt;0),Tasks[[#This Row],[_Res2Work]]&gt;0),Tasks[[#This Row],[_Res2Work]]/(Tasks[[#This Row],[_FinishWorkday]]-Tasks[[#This Row],[_StartWorkday]]+1),0)</f>
        <v>0</v>
      </c>
      <c r="CZ143" s="45" t="n">
        <f aca="false">Tasks[[#This Row],[_Res2WorkPerWD]]*MAX(0,Tasks[[#This Row],[_StartWorkday]]-1)</f>
        <v>0</v>
      </c>
      <c r="DA143" s="45" t="n">
        <f aca="false">Tasks[[#This Row],[_Res2Work]]*Tasks[[#This Row],[_LeafProgress]]</f>
        <v>0</v>
      </c>
      <c r="DB143" s="45" t="n">
        <f aca="false">IF(Tasks[[#This Row],[_LeafTotalCost]]=0,0,Tasks[[#This Row],[_LeafAC]]*Tasks[[#This Row],[_Res2Cost]]/Tasks[[#This Row],[_LeafTotalCost]])</f>
        <v>0</v>
      </c>
      <c r="DC14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4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43" s="45" t="n">
        <f aca="false">IF(OR(NOT(Tasks[[#This Row],[_IsLeaf]]=1),Tasks[[#This Row],[_Res3]]=""),0,IF(ISNA(MATCH(Tasks[[#This Row],[_Res3]],res_Name,0)),0,N(Tasks[[#This Row],[Duration]])*HoursPerDay*IF(Tasks[[#This Row],[_Res3Units]]="",DefaultUnits,Tasks[[#This Row],[_Res3Units]])))</f>
        <v>0</v>
      </c>
      <c r="DF143" s="45" t="n">
        <f aca="false">IF(Tasks[[#This Row],[_Res3Work]]=0,0,Tasks[[#This Row],[_Res3Work]]*IFERROR(INDEX(res_Rate,MATCH(Tasks[[#This Row],[_Res3]],res_Name,0)),0))</f>
        <v>0</v>
      </c>
      <c r="DG143" s="45" t="n">
        <f aca="false">IF(AND(AND(Tasks[[#This Row],[_IsLeaf]]=1,Tasks[[#This Row],[_LeafTotalWork]]&gt;0),Tasks[[#This Row],[_Res3Work]]&gt;0),Tasks[[#This Row],[_Res3Work]]/(Tasks[[#This Row],[_FinishWorkday]]-Tasks[[#This Row],[_StartWorkday]]+1),0)</f>
        <v>0</v>
      </c>
      <c r="DH143" s="45" t="n">
        <f aca="false">Tasks[[#This Row],[_Res3WorkPerWD]]*MAX(0,Tasks[[#This Row],[_StartWorkday]]-1)</f>
        <v>0</v>
      </c>
      <c r="DI143" s="45" t="n">
        <f aca="false">Tasks[[#This Row],[_Res3Work]]*Tasks[[#This Row],[_LeafProgress]]</f>
        <v>0</v>
      </c>
      <c r="DJ143" s="45" t="n">
        <f aca="false">IF(Tasks[[#This Row],[_LeafTotalCost]]=0,0,Tasks[[#This Row],[_LeafAC]]*Tasks[[#This Row],[_Res3Cost]]/Tasks[[#This Row],[_LeafTotalCost]])</f>
        <v>0</v>
      </c>
      <c r="DK14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4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43" s="45" t="n">
        <f aca="false">IF(OR(NOT(Tasks[[#This Row],[_IsLeaf]]=1),Tasks[[#This Row],[_Res4]]=""),0,IF(ISNA(MATCH(Tasks[[#This Row],[_Res4]],res_Name,0)),0,N(Tasks[[#This Row],[Duration]])*HoursPerDay*IF(Tasks[[#This Row],[_Res4Units]]="",DefaultUnits,Tasks[[#This Row],[_Res4Units]])))</f>
        <v>0</v>
      </c>
      <c r="DN143" s="45" t="n">
        <f aca="false">IF(Tasks[[#This Row],[_Res4Work]]=0,0,Tasks[[#This Row],[_Res4Work]]*IFERROR(INDEX(res_Rate,MATCH(Tasks[[#This Row],[_Res4]],res_Name,0)),0))</f>
        <v>0</v>
      </c>
      <c r="DO143" s="45" t="n">
        <f aca="false">IF(AND(AND(Tasks[[#This Row],[_IsLeaf]]=1,Tasks[[#This Row],[_LeafTotalWork]]&gt;0),Tasks[[#This Row],[_Res4Work]]&gt;0),Tasks[[#This Row],[_Res4Work]]/(Tasks[[#This Row],[_FinishWorkday]]-Tasks[[#This Row],[_StartWorkday]]+1),0)</f>
        <v>0</v>
      </c>
      <c r="DP143" s="45" t="n">
        <f aca="false">Tasks[[#This Row],[_Res4WorkPerWD]]*MAX(0,Tasks[[#This Row],[_StartWorkday]]-1)</f>
        <v>0</v>
      </c>
      <c r="DQ143" s="45" t="n">
        <f aca="false">Tasks[[#This Row],[_Res4Work]]*Tasks[[#This Row],[_LeafProgress]]</f>
        <v>0</v>
      </c>
      <c r="DR143" s="45" t="n">
        <f aca="false">IF(Tasks[[#This Row],[_LeafTotalCost]]=0,0,Tasks[[#This Row],[_LeafAC]]*Tasks[[#This Row],[_Res4Cost]]/Tasks[[#This Row],[_LeafTotalCost]])</f>
        <v>0</v>
      </c>
      <c r="DS143" s="45" t="n">
        <f aca="false">IF(ISNUMBER(Tasks[[#This Row],[% Complete]]),Tasks[[#This Row],[% Complete]],IF(Tasks[[#This Row],[Stage]]="",0,IFERROR(INDEX(stg_Pct,MATCH(Tasks[[#This Row],[Stage]],stg_Name,0)),0)))</f>
        <v>0</v>
      </c>
      <c r="DT143" s="45" t="n">
        <f aca="false">IF(NOT(Tasks[[#This Row],[_IsLeaf]]=1),0,IF(N(Tasks[[#This Row],[Actual Finish]])&gt;0,1,MIN(1,Tasks[[#This Row],[_Pct]])))</f>
        <v>0</v>
      </c>
      <c r="DU143" s="45" t="n">
        <f aca="false">IF(OR(NOT(Tasks[[#This Row],[_IsLeaf]]=1),Tasks[[#This Row],[_Resource1]]=""),0,IF(ISNA(MATCH(Tasks[[#This Row],[_Resource1]],res_Name,0)),0,N(Tasks[[#This Row],[Duration]])*HoursPerDay*IF(Tasks[[#This Row],[_Units1]]="",DefaultUnits,Tasks[[#This Row],[_Units1]])))</f>
        <v>0</v>
      </c>
      <c r="DV143" s="45" t="n">
        <f aca="false">IF(Tasks[[#This Row],[_LeafWork]]=0,0,Tasks[[#This Row],[_LeafWork]]*IFERROR(INDEX(res_Rate,MATCH(Tasks[[#This Row],[_Resource1]],res_Name,0)),0))</f>
        <v>0</v>
      </c>
      <c r="DW143" s="45" t="n">
        <f aca="false">Tasks[[#This Row],[_LeafWork]]+Tasks[[#This Row],[_Res2Work]]+Tasks[[#This Row],[_Res3Work]]+Tasks[[#This Row],[_Res4Work]]</f>
        <v>0</v>
      </c>
      <c r="DX143" s="45" t="n">
        <f aca="false">Tasks[[#This Row],[_LeafCost]]+Tasks[[#This Row],[_Res2Cost]]+Tasks[[#This Row],[_Res3Cost]]+Tasks[[#This Row],[_Res4Cost]]</f>
        <v>0</v>
      </c>
      <c r="DY143" s="45" t="n">
        <f aca="false">IF(Tasks[[#This Row],[_LeafTotalCost]]=0,Tasks[[#This Row],[_LeafAC]],Tasks[[#This Row],[_LeafAC]]*Tasks[[#This Row],[_LeafCost]]/Tasks[[#This Row],[_LeafTotalCost]])</f>
        <v>0</v>
      </c>
      <c r="DZ14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4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4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4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4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4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4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4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43" s="45" t="n">
        <f aca="false">IF(NOT(Tasks[[#This Row],[_IsLeaf]]=1),0,MAX(_xlfn.MAXIFS(Tasks[_Row],Tasks[_Pred1UID],Tasks[[#This Row],[UID]]),_xlfn.MAXIFS(Tasks[_Row],Tasks[_Pred2UID],Tasks[[#This Row],[UID]]),_xlfn.MAXIFS(Tasks[_Row],Tasks[_Pred3UID],Tasks[[#This Row],[UID]]),_xlfn.MAXIFS(Tasks[_Row],Tasks[_Pred4UID],Tasks[[#This Row],[UID]])))</f>
        <v>0</v>
      </c>
      <c r="EI14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4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43" s="74" t="str">
        <f aca="false">IF(NOT(Tasks[[#This Row],[_IsLeaf]]=1),"",IF(N(Tasks[[#This Row],[Duration]])&lt;=0,Tasks[[#This Row],[_LeafLateFinish]],WORKDAY.INTL(Tasks[[#This Row],[_LeafLateFinish]],-(Tasks[[#This Row],[Duration]]-1),WorkWeek,Holidays)))</f>
        <v/>
      </c>
      <c r="EL14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43" s="73" t="b">
        <f aca="false">AND(Tasks[[#This Row],[_IsLeaf]]=1,Tasks[[#This Row],[_LeafProgress]]&lt;1,N(Tasks[[#This Row],[_LeafTotalSlack]])&lt;=CriticalSlackDays)</f>
        <v>0</v>
      </c>
      <c r="EN143" s="45" t="n">
        <f aca="false">IF(AND(Tasks[[#This Row],[_IsLeaf]]=1,Tasks[[#This Row],[_ConstraintCode]]=1,Tasks[[#This Row],[Mode]]&lt;&gt;"Manual",N(Tasks[[#This Row],[Actual Start]])=0),MAX(0,N(Tasks[[#This Row],[Free Slack]])),0)</f>
        <v>0</v>
      </c>
      <c r="EO143" s="74" t="str">
        <f aca="false">IF(NOT(Tasks[[#This Row],[_IsLeaf]]=1),"",IF(Tasks[[#This Row],[_AlapShift]]=0,Tasks[[#This Row],[_LeafCalcStart]],WORKDAY.INTL(Tasks[[#This Row],[_LeafCalcStart]],Tasks[[#This Row],[_AlapShift]],WorkWeek,Holidays)))</f>
        <v/>
      </c>
      <c r="EP143" s="74" t="str">
        <f aca="false">IF(NOT(Tasks[[#This Row],[_IsLeaf]]=1),"",IF(Tasks[[#This Row],[_AlapShift]]=0,Tasks[[#This Row],[_LeafCalcFinish]],WORKDAY.INTL(Tasks[[#This Row],[_LeafCalcFinish]],Tasks[[#This Row],[_AlapShift]],WorkWeek,Holidays)))</f>
        <v/>
      </c>
      <c r="EQ143" s="74" t="str">
        <f aca="false">IF(NOT(Tasks[[#This Row],[_IsLeaf]]=1),"",IF(Tasks[[#This Row],[_AlapShift]]=0,Tasks[[#This Row],[_LeafFcstStart]],WORKDAY.INTL(Tasks[[#This Row],[_LeafFcstStart]],Tasks[[#This Row],[_AlapShift]],WorkWeek,Holidays)))</f>
        <v/>
      </c>
      <c r="ER143" s="74" t="str">
        <f aca="false">IF(NOT(Tasks[[#This Row],[_IsLeaf]]=1),"",IF(Tasks[[#This Row],[_AlapShift]]=0,Tasks[[#This Row],[_LeafFcstFinish]],WORKDAY.INTL(Tasks[[#This Row],[_LeafFcstFinish]],Tasks[[#This Row],[_AlapShift]],WorkWeek,Holidays)))</f>
        <v/>
      </c>
      <c r="ES143" s="74" t="str">
        <f aca="false">IF(Tasks[[#This Row],[Task Name]]="","",IF(Tasks[[#This Row],[_IsSummary]],MIN(INDEX(Tasks[_ShownCalcStart],Tasks[[#This Row],[_Row]]+1):INDEX(Tasks[_ShownCalcStart],Tasks[[#This Row],[_Row]]+Tasks[[#This Row],[_Descendants]])),Tasks[[#This Row],[_ShownCalcStart]]))</f>
        <v/>
      </c>
      <c r="ET143" s="74" t="str">
        <f aca="false">IF(Tasks[[#This Row],[Task Name]]="","",IF(Tasks[[#This Row],[_IsSummary]],MAX(INDEX(Tasks[_ShownCalcFinish],Tasks[[#This Row],[_Row]]+1):INDEX(Tasks[_ShownCalcFinish],Tasks[[#This Row],[_Row]]+Tasks[[#This Row],[_Descendants]])),Tasks[[#This Row],[_ShownCalcFinish]]))</f>
        <v/>
      </c>
      <c r="EU14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4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4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4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4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4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4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4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4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4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4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4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43" s="45" t="n">
        <f aca="false">IF(AND(Tasks[[#This Row],[_IsLeaf]]=1,Tasks[[#This Row],[_LeafTotalWork]]&gt;0),NETWORKDAYS.INTL(ProjectStart,Tasks[[#This Row],[_ShownFcstStart]],WorkWeek,Holidays),0)</f>
        <v>0</v>
      </c>
      <c r="FH143" s="45" t="n">
        <f aca="false">IF(AND(Tasks[[#This Row],[_IsLeaf]]=1,Tasks[[#This Row],[_LeafTotalWork]]&gt;0),MAX(Tasks[[#This Row],[_StartWorkday]],NETWORKDAYS.INTL(ProjectStart,Tasks[[#This Row],[_ShownFcstFinish]],WorkWeek,Holidays)),0)</f>
        <v>0</v>
      </c>
      <c r="FI143" s="45" t="n">
        <f aca="false">IF(AND(Tasks[[#This Row],[_IsLeaf]]=1,Tasks[[#This Row],[_LeafTotalWork]]&gt;0),Tasks[[#This Row],[_LeafWork]]/(Tasks[[#This Row],[_FinishWorkday]]-Tasks[[#This Row],[_StartWorkday]]+1),0)</f>
        <v>0</v>
      </c>
      <c r="FJ143" s="45" t="n">
        <f aca="false">Tasks[[#This Row],[_WorkPerWorkday]]*(Tasks[[#This Row],[_StartWorkday]]-1)</f>
        <v>-0</v>
      </c>
      <c r="FK143" s="45" t="n">
        <f aca="false">IF(Tasks[[#This Row],[_IsLeaf]]=1,MAX(N(Tasks[[#This Row],[Duration]]),0.1),0)</f>
        <v>0</v>
      </c>
      <c r="FL143" s="45" t="n">
        <f aca="false">Tasks[[#This Row],[_WeightDur]]*Tasks[[#This Row],[_LeafProgress]]</f>
        <v>0</v>
      </c>
      <c r="FM14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43" s="45" t="str">
        <f aca="false">IF(AND(Tasks[[#This Row],[_IsLeaf]]=1,N(Tasks[[#This Row],[Duration]])=0,Tasks[[#This Row],[_LeafProgress]]&lt;1),Tasks[[#This Row],[_ShownFcstFinish]]+Tasks[[#This Row],[_Row]]/100000,"")</f>
        <v/>
      </c>
      <c r="FO14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43" s="45" t="n">
        <f aca="false">IF(NOT(Tasks[[#This Row],[_IsLeaf]]=1),0,IF(Tasks[[#This Row],[Baseline Cost]]="",Tasks[[#This Row],[_LeafTotalCost]],N(Tasks[[#This Row],[Baseline Cost]])))</f>
        <v>0</v>
      </c>
      <c r="FQ143" s="45" t="n">
        <f aca="false">Tasks[[#This Row],[_LeafBudget]]*Tasks[[#This Row],[_PlannedPct]]</f>
        <v>0</v>
      </c>
      <c r="FR143" s="45" t="n">
        <f aca="false">Tasks[[#This Row],[_LeafBudget]]*Tasks[[#This Row],[_LeafProgress]]</f>
        <v>0</v>
      </c>
      <c r="FS143" s="45" t="n">
        <f aca="false">IF(NOT(Tasks[[#This Row],[_IsLeaf]]=1),0,IF(Tasks[[#This Row],[Actual Cost]]="",Tasks[[#This Row],[_LeafTotalCost]]*Tasks[[#This Row],[_LeafProgress]],N(Tasks[[#This Row],[Actual Cost]])))</f>
        <v>0</v>
      </c>
      <c r="FT143" s="45" t="str">
        <f aca="false">IF(Tasks[[#This Row],[Task Name]]="","",LEFT(Tasks[[#This Row],[WBS]],FIND(".",Tasks[[#This Row],[WBS]]&amp;".")-1))</f>
        <v/>
      </c>
      <c r="FU143" s="45" t="str">
        <f aca="false">IF(AND(Tasks[[#This Row],[Task Name]]&lt;&gt;"",Tasks[[#This Row],[_Level]]=1),Tasks[[#This Row],[_Row]],"")</f>
        <v/>
      </c>
      <c r="FV143" s="45" t="str">
        <f aca="false">IF(AND(Tasks[[#This Row],[_IsLeaf]]=1,N(Tasks[[#This Row],[Duration]])=0),Tasks[[#This Row],[Planned Finish]]+Tasks[[#This Row],[_Row]]/100000,"")</f>
        <v/>
      </c>
      <c r="FW143" s="45" t="str">
        <f aca="false">IF(AND(Tasks[[#This Row],[_IsLeaf]]=1,Tasks[[#This Row],[_LeafProgress]]&lt;1,OR(N(Tasks[[#This Row],[Finish Var]])&gt;0,Tasks[[#This Row],[Status]]="Late Start")),MAX(0,Tasks[[#This Row],[Finish Var]])+1-Tasks[[#This Row],[_Row]]/1000000,"")</f>
        <v/>
      </c>
      <c r="FX143" s="45" t="str">
        <f aca="false">IF(AND(Tasks[[#This Row],[_IsLeaf]]=1,N(Tasks[[#This Row],[Actual Start]])=0,Tasks[[#This Row],[_ShownFcstStart]]&gt;=StatusDate,Tasks[[#This Row],[_ShownFcstStart]]&lt;=LookaheadEnd),Tasks[[#This Row],[_ShownFcstStart]]+Tasks[[#This Row],[_Row]]/100000,"")</f>
        <v/>
      </c>
      <c r="FY143" s="45" t="str">
        <f aca="false">IF(AND(Tasks[[#This Row],[_IsLeaf]]=1,Tasks[[#This Row],[_LeafProgress]]&lt;1,Tasks[[#This Row],[_ShownFcstFinish]]&gt;=StatusDate,Tasks[[#This Row],[_ShownFcstFinish]]&lt;=LookaheadEnd),Tasks[[#This Row],[_ShownFcstFinish]]+Tasks[[#This Row],[_Row]]/100000,"")</f>
        <v/>
      </c>
      <c r="FZ143" s="45" t="str">
        <f aca="false">IF(Tasks[[#This Row],[_LeafCritical]],Tasks[[#This Row],[_ShownFcstStart]]+Tasks[[#This Row],[_Row]]/100000,"")</f>
        <v/>
      </c>
      <c r="GA143" s="45" t="n">
        <f aca="false">Tasks[[#This Row],[_LeafWork]]*Tasks[[#This Row],[_LeafProgress]]</f>
        <v>0</v>
      </c>
      <c r="GB143" s="74" t="str">
        <f aca="false">IF(AND(Tasks[[#This Row],[_IsLeaf]]=1,Tasks[[#This Row],[_LeafProgress]]&gt;=1),IF(N(Tasks[[#This Row],[Actual Finish]])&gt;0,Tasks[[#This Row],[Actual Finish]],Tasks[[#This Row],[_ShownFcstFinish]]),"")</f>
        <v/>
      </c>
    </row>
    <row r="144" customFormat="false" ht="15" hidden="false" customHeight="false" outlineLevel="0" collapsed="false">
      <c r="A144" s="67" t="str">
        <f aca="false">IF(Tasks[[#This Row],[Task Name]]="","",COUNTA(Tasks[[#Headers],[Task Name]]:Tasks[[#This Row],[Task Name]])-1)</f>
        <v/>
      </c>
      <c r="B144" s="21" t="n">
        <v>139</v>
      </c>
      <c r="C14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21"/>
      <c r="E144" s="22"/>
      <c r="F144" s="21"/>
      <c r="G144" s="22"/>
      <c r="H144" s="22"/>
      <c r="I144" s="22"/>
      <c r="J144" s="7"/>
      <c r="K144" s="7"/>
      <c r="L144" s="22"/>
      <c r="M144" s="58" t="str">
        <f aca="false">IF(Tasks[[#This Row],[Task Name]]="","",IF(Tasks[[#This Row],[_IsSummary]],MIN(INDEX(Tasks[_ShownFcstStart],Tasks[[#This Row],[_Row]]+1):INDEX(Tasks[_ShownFcstStart],Tasks[[#This Row],[_Row]]+Tasks[[#This Row],[_Descendants]])),Tasks[[#This Row],[_ShownFcstStart]]))</f>
        <v/>
      </c>
      <c r="N144" s="58" t="str">
        <f aca="false">IF(Tasks[[#This Row],[Task Name]]="","",IF(Tasks[[#This Row],[_IsSummary]],MAX(INDEX(Tasks[_ShownFcstFinish],Tasks[[#This Row],[_Row]]+1):INDEX(Tasks[_ShownFcstFinish],Tasks[[#This Row],[_Row]]+Tasks[[#This Row],[_Descendants]])),Tasks[[#This Row],[_ShownFcstFinish]]))</f>
        <v/>
      </c>
      <c r="O144" s="20" t="str">
        <f aca="false">IF(Tasks[[#This Row],[Task Name]]="","",IF(Tasks[[#This Row],[Progress]]&gt;=1,"Complete",IF(OR(N(Tasks[[#This Row],[Actual Start]])&gt;0,Tasks[[#This Row],[Progress]]&gt;0),IF(Tasks[[#This Row],[Finish Var]]&gt;0,"Behind","In Progress"),IF(Tasks[[#This Row],[Planned Start]]&lt;StatusDate,"Late Start","Not Started"))))</f>
        <v/>
      </c>
      <c r="P144" s="20" t="str">
        <f aca="false">IF(Tasks[[#This Row],[Task Name]]="","",IF(IF(Tasks[[#This Row],[_IsSummary]],COUNTIF(INDEX(Tasks[_LeafCritical],Tasks[[#This Row],[_Row]]+1):INDEX(Tasks[_LeafCritical],Tasks[[#This Row],[_Row]]+Tasks[[#This Row],[_Descendants]]),TRUE())&gt;0,Tasks[[#This Row],[_LeafCritical]]),"Yes",""))</f>
        <v/>
      </c>
      <c r="Q14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44" s="67" t="str">
        <f aca="false">IF(Tasks[[#This Row],[Task Name]]="","",IF(Tasks[[#This Row],[_Level]]&lt;=OutlineShowLevel,"Yes","No"))</f>
        <v/>
      </c>
      <c r="S144" s="7"/>
      <c r="T144" s="21"/>
      <c r="U144" s="22"/>
      <c r="V144" s="7"/>
      <c r="W144" s="67" t="str">
        <f aca="false">IF(Tasks[[#This Row],[Task Name]]="","",IF(Tasks[[#This Row],[Finish]]&gt;=Tasks[[#This Row],[Planned Finish]],NETWORKDAYS.INTL(Tasks[[#This Row],[Planned Finish]],Tasks[[#This Row],[Finish]],WorkWeek,Holidays)-1,1-NETWORKDAYS.INTL(Tasks[[#This Row],[Finish]],Tasks[[#This Row],[Planned Finish]],WorkWeek,Holidays)))</f>
        <v/>
      </c>
      <c r="X144" s="58" t="str">
        <f aca="false">IF(Tasks[[#This Row],[Task Name]]="","",IF(N(Tasks[[#This Row],[Baseline Start]])&gt;0,Tasks[[#This Row],[Baseline Start]],Tasks[[#This Row],[_CalcStart]]))</f>
        <v/>
      </c>
      <c r="Y144" s="58" t="str">
        <f aca="false">IF(Tasks[[#This Row],[Task Name]]="","",IF(N(Tasks[[#This Row],[Baseline Finish]])&gt;0,Tasks[[#This Row],[Baseline Finish]],Tasks[[#This Row],[_CalcFinish]]))</f>
        <v/>
      </c>
      <c r="Z144" s="67" t="str">
        <f aca="false">IF(Tasks[[#This Row],[Task Name]]="","",IF(Tasks[[#This Row],[Start]]&gt;=Tasks[[#This Row],[Planned Start]],NETWORKDAYS.INTL(Tasks[[#This Row],[Planned Start]],Tasks[[#This Row],[Start]],WorkWeek,Holidays)-1,1-NETWORKDAYS.INTL(Tasks[[#This Row],[Start]],Tasks[[#This Row],[Planned Start]],WorkWeek,Holidays)))</f>
        <v/>
      </c>
      <c r="AA144" s="58" t="str">
        <f aca="false">IF(Tasks[[#This Row],[Task Name]]="","",IF(Tasks[[#This Row],[_IsSummary]],MIN(INDEX(Tasks[_LeafLateStart],Tasks[[#This Row],[_Row]]+1):INDEX(Tasks[_LeafLateStart],Tasks[[#This Row],[_Row]]+Tasks[[#This Row],[_Descendants]])),Tasks[[#This Row],[_LeafLateStart]]))</f>
        <v/>
      </c>
      <c r="AB144" s="58" t="str">
        <f aca="false">IF(Tasks[[#This Row],[Task Name]]="","",IF(Tasks[[#This Row],[_IsSummary]],MAX(INDEX(Tasks[_LeafLateFinish],Tasks[[#This Row],[_Row]]+1):INDEX(Tasks[_LeafLateFinish],Tasks[[#This Row],[_Row]]+Tasks[[#This Row],[_Descendants]])),Tasks[[#This Row],[_LeafLateFinish]]))</f>
        <v/>
      </c>
      <c r="AC144" s="67" t="str">
        <f aca="false">IF(Tasks[[#This Row],[Task Name]]="","",IF(Tasks[[#This Row],[_IsSummary]],MIN(INDEX(Tasks[_LeafTotalSlack],Tasks[[#This Row],[_Row]]+1):INDEX(Tasks[_LeafTotalSlack],Tasks[[#This Row],[_Row]]+Tasks[[#This Row],[_Descendants]])),Tasks[[#This Row],[_LeafTotalSlack]]))</f>
        <v/>
      </c>
      <c r="AD14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4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4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44" s="60"/>
      <c r="AH14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4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44" s="69" t="str">
        <f aca="false">IF(Tasks[[#This Row],[Task Name]]="","",IF(Tasks[[#This Row],[_IsSummary]],SUM(INDEX(Tasks[_LeafTotalWork],Tasks[[#This Row],[_Row]]+1):INDEX(Tasks[_LeafTotalWork],Tasks[[#This Row],[_Row]]+Tasks[[#This Row],[_Descendants]])),Tasks[[#This Row],[_LeafTotalWork]]))</f>
        <v/>
      </c>
      <c r="AK14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44" s="70" t="str">
        <f aca="false">IF(Tasks[[#This Row],[Task Name]]="","",IF(Tasks[[#This Row],[_IsSummary]],SUM(INDEX(Tasks[_LeafTotalCost],Tasks[[#This Row],[_Row]]+1):INDEX(Tasks[_LeafTotalCost],Tasks[[#This Row],[_Row]]+Tasks[[#This Row],[_Descendants]])),Tasks[[#This Row],[_LeafTotalCost]]))</f>
        <v/>
      </c>
      <c r="AM144" s="71"/>
      <c r="AN144" s="20" t="str">
        <f aca="false">IF(OR(Tasks[[#This Row],[Task Name]]="",Tasks[[#This Row],[Baseline Duration]]=""),"",Tasks[[#This Row],[BL Source Duration]]-N(Tasks[[#This Row],[Baseline Duration]]))</f>
        <v/>
      </c>
      <c r="AO144" s="69" t="str">
        <f aca="false">IF(OR(Tasks[[#This Row],[Task Name]]="",Tasks[[#This Row],[Baseline Work]]=""),"",Tasks[[#This Row],[Work]]-N(Tasks[[#This Row],[Baseline Work]]))</f>
        <v/>
      </c>
      <c r="AP144" s="70" t="str">
        <f aca="false">IF(OR(Tasks[[#This Row],[Task Name]]="",Tasks[[#This Row],[Baseline Cost]]=""),"",Tasks[[#This Row],[Cost]]-N(Tasks[[#This Row],[Baseline Cost]]))</f>
        <v/>
      </c>
      <c r="AQ144" s="58" t="str">
        <f aca="false">IF(Tasks[[#This Row],[Task Name]]="","",Tasks[[#This Row],[Start]])</f>
        <v/>
      </c>
      <c r="AR144" s="58" t="str">
        <f aca="false">IF(Tasks[[#This Row],[Task Name]]="","",Tasks[[#This Row],[Finish]])</f>
        <v/>
      </c>
      <c r="AS144" s="67" t="str">
        <f aca="false">IF(Tasks[[#This Row],[Task Name]]="","",IF(Tasks[[#This Row],[_IsSummary]],NETWORKDAYS.INTL(Tasks[[#This Row],[Start]],Tasks[[#This Row],[Finish]],WorkWeek,Holidays),N(Tasks[[#This Row],[Duration]])))</f>
        <v/>
      </c>
      <c r="AT144" s="69" t="str">
        <f aca="false">IF(Tasks[[#This Row],[Task Name]]="","",Tasks[[#This Row],[Work]])</f>
        <v/>
      </c>
      <c r="AU144" s="70" t="str">
        <f aca="false">IF(Tasks[[#This Row],[Task Name]]="","",Tasks[[#This Row],[Cost]])</f>
        <v/>
      </c>
      <c r="AV144" s="7"/>
      <c r="AW144" s="7"/>
      <c r="AX144" s="21"/>
      <c r="AY144" s="72"/>
      <c r="AZ144" s="71"/>
      <c r="BA144" s="70" t="str">
        <f aca="false">IF(Tasks[[#This Row],[Task Name]]="","",IF(Tasks[[#This Row],[_IsSummary]],SUM(INDEX(Tasks[_LeafEV],Tasks[[#This Row],[_Row]]+1):INDEX(Tasks[_LeafEV],Tasks[[#This Row],[_Row]]+Tasks[[#This Row],[_Descendants]])),Tasks[[#This Row],[_LeafEV]]))</f>
        <v/>
      </c>
      <c r="BB144" s="70" t="str">
        <f aca="false">IF(Tasks[[#This Row],[Task Name]]="","",IF(Tasks[[#This Row],[_IsSummary]],SUM(INDEX(Tasks[_LeafBudget],Tasks[[#This Row],[_Row]]+1):INDEX(Tasks[_LeafBudget],Tasks[[#This Row],[_Row]]+Tasks[[#This Row],[_Descendants]])),Tasks[[#This Row],[_LeafBudget]]))</f>
        <v/>
      </c>
      <c r="BC144" s="70" t="str">
        <f aca="false">IF(Tasks[[#This Row],[Task Name]]="","",IF(Tasks[[#This Row],[_IsSummary]],SUM(INDEX(Tasks[_LeafPV],Tasks[[#This Row],[_Row]]+1):INDEX(Tasks[_LeafPV],Tasks[[#This Row],[_Row]]+Tasks[[#This Row],[_Descendants]])),Tasks[[#This Row],[_LeafPV]]))</f>
        <v/>
      </c>
      <c r="BD144" s="70" t="str">
        <f aca="false">IF(Tasks[[#This Row],[Task Name]]="","",IF(Tasks[[#This Row],[_IsSummary]],SUM(INDEX(Tasks[_LeafAC],Tasks[[#This Row],[_Row]]+1):INDEX(Tasks[_LeafAC],Tasks[[#This Row],[_Row]]+Tasks[[#This Row],[_Descendants]])),Tasks[[#This Row],[_LeafAC]]))</f>
        <v/>
      </c>
      <c r="BE144" s="45" t="str">
        <f aca="false">IF(Tasks[[#This Row],[Task Name]]="","",MAX(1,N(Tasks[[#This Row],[Level]])))</f>
        <v/>
      </c>
      <c r="BF144" s="45" t="n">
        <f aca="false">ROW()-ROW(Tasks[[#Headers],[ID]])</f>
        <v>139</v>
      </c>
      <c r="BG144" s="45" t="n">
        <f aca="false">IF(OR(Tasks[[#This Row],[Task Name]]="",Tasks[[#This Row],[_Level]]&lt;=1),0,IFERROR(LOOKUP(2,1/(Tasks[[#Headers],[_Level]]:Tasks[[#This Row],[_Level]]=Tasks[[#This Row],[_Level]]-1),ROW(Tasks[[#Headers],[_Level]]:Tasks[[#This Row],[_Level]])),0))</f>
        <v>0</v>
      </c>
      <c r="BH144" s="45" t="n">
        <f aca="false">IFERROR(N(INDEX(Tasks[_Level],Tasks[[#This Row],[_Row]]+1)),0)</f>
        <v>0</v>
      </c>
      <c r="BI144" s="73" t="b">
        <f aca="false">AND(Tasks[[#This Row],[Task Name]]&lt;&gt;"",Tasks[[#This Row],[_NextLevel]]&gt;Tasks[[#This Row],[_Level]])</f>
        <v>0</v>
      </c>
      <c r="BJ144" s="45" t="n">
        <f aca="false">IF(Tasks[[#This Row],[_IsSummary]],COUNTIF(Tasks[WBS],Tasks[[#This Row],[WBS]]&amp;".*"),0)</f>
        <v>0</v>
      </c>
      <c r="BK144" s="45" t="n">
        <f aca="false">IF(AND(Tasks[[#This Row],[Task Name]]&lt;&gt;"",NOT(Tasks[[#This Row],[_IsSummary]])),1,0)</f>
        <v>0</v>
      </c>
      <c r="BL144" s="45" t="n">
        <f aca="false">IF(N(Tasks[[#This Row],[_Pred1UID]])=0,0,IFERROR(MATCH(Tasks[[#This Row],[_Pred1UID]],Tasks[UID],0),-1))</f>
        <v>0</v>
      </c>
      <c r="BM144" s="45" t="n">
        <f aca="false">IF(N(Tasks[[#This Row],[_Pred2UID]])=0,0,IFERROR(MATCH(Tasks[[#This Row],[_Pred2UID]],Tasks[UID],0),-1))</f>
        <v>0</v>
      </c>
      <c r="BN144" s="45" t="n">
        <f aca="false">IF(N(Tasks[[#This Row],[_Pred3UID]])=0,0,IFERROR(MATCH(Tasks[[#This Row],[_Pred3UID]],Tasks[UID],0),-1))</f>
        <v>0</v>
      </c>
      <c r="BO144" s="45" t="n">
        <f aca="false">IF(N(Tasks[[#This Row],[_Pred4UID]])=0,0,IFERROR(MATCH(Tasks[[#This Row],[_Pred4UID]],Tasks[UID],0),-1))</f>
        <v>0</v>
      </c>
      <c r="BP14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4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44" s="74" t="n">
        <f aca="false">IF(OR(Tasks[[#This Row],[_ConstraintCode]]=2,Tasks[[#This Row],[_ConstraintCode]]=3,Tasks[[#This Row],[_ConstraintCode]]=4,Tasks[[#This Row],[_ConstraintCode]]=6),Tasks[[#This Row],[_ConstraintStart]],0)</f>
        <v>0</v>
      </c>
      <c r="BS144" s="74" t="n">
        <f aca="false">IF(OR(Tasks[[#This Row],[_ConstraintCode]]=2,Tasks[[#This Row],[_ConstraintCode]]=3,Tasks[[#This Row],[_ConstraintCode]]=5,Tasks[[#This Row],[_ConstraintCode]]=7),Tasks[[#This Row],[_ConstraintStart]],2958465)</f>
        <v>2958465</v>
      </c>
      <c r="BT14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44" s="74" t="str">
        <f aca="false">IF(NOT(Tasks[[#This Row],[_IsLeaf]]=1),"",IF(N(Tasks[[#This Row],[Duration]])&lt;=0,Tasks[[#This Row],[_LeafCalcStart]],WORKDAY.INTL(Tasks[[#This Row],[_LeafCalcStart]],Tasks[[#This Row],[Duration]]-1,WorkWeek,Holidays)))</f>
        <v/>
      </c>
      <c r="BV14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4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44" s="45" t="str">
        <f aca="false">IF(Tasks[[#This Row],[Predecessors]]="","",TRIM(MID(SUBSTITUTE(SUBSTITUTE(SUBSTITUTE(UPPER(Tasks[[#This Row],[Predecessors]]),";",",")," ",""),",",REPT(" ",99)),1,99)))</f>
        <v/>
      </c>
      <c r="BY144" s="45" t="str">
        <f aca="false">IF(Tasks[[#This Row],[_Pred1Text]]="","",IFERROR(VALUE(LEFT(Tasks[[#This Row],[_Pred1Text]],MIN(FIND("F",Tasks[[#This Row],[_Pred1Text]]&amp;"F"),FIND("S",Tasks[[#This Row],[_Pred1Text]]&amp;"S"),FIND("+",Tasks[[#This Row],[_Pred1Text]]&amp;"+"),FIND("-",Tasks[[#This Row],[_Pred1Text]]&amp;"-"))-1)),""))</f>
        <v/>
      </c>
      <c r="BZ14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4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44" s="45" t="str">
        <f aca="false">IF(Tasks[[#This Row],[_Pred1Text]]="","",TRIM(MID(SUBSTITUTE(SUBSTITUTE(SUBSTITUTE(UPPER(Tasks[[#This Row],[Predecessors]]),";",",")," ",""),",",REPT(" ",99)),100,99)))</f>
        <v/>
      </c>
      <c r="CC144" s="45" t="str">
        <f aca="false">IF(Tasks[[#This Row],[_Pred2Text]]="","",IFERROR(VALUE(LEFT(Tasks[[#This Row],[_Pred2Text]],MIN(FIND("F",Tasks[[#This Row],[_Pred2Text]]&amp;"F"),FIND("S",Tasks[[#This Row],[_Pred2Text]]&amp;"S"),FIND("+",Tasks[[#This Row],[_Pred2Text]]&amp;"+"),FIND("-",Tasks[[#This Row],[_Pred2Text]]&amp;"-"))-1)),""))</f>
        <v/>
      </c>
      <c r="CD14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4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44" s="45" t="str">
        <f aca="false">IF(Tasks[[#This Row],[_Pred2Text]]="","",TRIM(MID(SUBSTITUTE(SUBSTITUTE(SUBSTITUTE(UPPER(Tasks[[#This Row],[Predecessors]]),";",",")," ",""),",",REPT(" ",99)),199,99)))</f>
        <v/>
      </c>
      <c r="CG144" s="45" t="str">
        <f aca="false">IF(Tasks[[#This Row],[_Pred3Text]]="","",IFERROR(VALUE(LEFT(Tasks[[#This Row],[_Pred3Text]],MIN(FIND("F",Tasks[[#This Row],[_Pred3Text]]&amp;"F"),FIND("S",Tasks[[#This Row],[_Pred3Text]]&amp;"S"),FIND("+",Tasks[[#This Row],[_Pred3Text]]&amp;"+"),FIND("-",Tasks[[#This Row],[_Pred3Text]]&amp;"-"))-1)),""))</f>
        <v/>
      </c>
      <c r="CH14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4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44" s="45" t="str">
        <f aca="false">IF(Tasks[[#This Row],[_Pred3Text]]="","",TRIM(MID(SUBSTITUTE(SUBSTITUTE(SUBSTITUTE(UPPER(Tasks[[#This Row],[Predecessors]]),";",",")," ",""),",",REPT(" ",99)),298,99)))</f>
        <v/>
      </c>
      <c r="CK144" s="45" t="str">
        <f aca="false">IF(Tasks[[#This Row],[_Pred4Text]]="","",IFERROR(VALUE(LEFT(Tasks[[#This Row],[_Pred4Text]],MIN(FIND("F",Tasks[[#This Row],[_Pred4Text]]&amp;"F"),FIND("S",Tasks[[#This Row],[_Pred4Text]]&amp;"S"),FIND("+",Tasks[[#This Row],[_Pred4Text]]&amp;"+"),FIND("-",Tasks[[#This Row],[_Pred4Text]]&amp;"-"))-1)),""))</f>
        <v/>
      </c>
      <c r="CL14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4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44" s="45" t="str">
        <f aca="false">IF(OR(Tasks[[#This Row],[Task Name]]="",Tasks[[#This Row],[Resources]]=""),"",TRIM(MID(SUBSTITUTE(Tasks[[#This Row],[Resources]],",",REPT(" ",99)),1,99)))</f>
        <v/>
      </c>
      <c r="CO144" s="45" t="str">
        <f aca="false">IF(Tasks[[#This Row],[_Res1Text]]="","",TRIM(MID(SUBSTITUTE(Tasks[[#This Row],[Resources]],",",REPT(" ",99)),100,99)))</f>
        <v/>
      </c>
      <c r="CP144" s="45" t="str">
        <f aca="false">IF(Tasks[[#This Row],[_Res2Text]]="","",TRIM(MID(SUBSTITUTE(Tasks[[#This Row],[Resources]],",",REPT(" ",99)),199,99)))</f>
        <v/>
      </c>
      <c r="CQ144" s="45" t="str">
        <f aca="false">IF(Tasks[[#This Row],[_Res3Text]]="","",TRIM(MID(SUBSTITUTE(Tasks[[#This Row],[Resources]],",",REPT(" ",99)),298,99)))</f>
        <v/>
      </c>
      <c r="CR14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4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4" s="45" t="n">
        <f aca="false">IF(NOT(Tasks[[#This Row],[_IsLeaf]]=1),0,(Tasks[[#This Row],[_Resource1]]&lt;&gt;"")+(Tasks[[#This Row],[_Res2]]&lt;&gt;"")+(Tasks[[#This Row],[_Res3]]&lt;&gt;"")+(Tasks[[#This Row],[_Res4]]&lt;&gt;""))</f>
        <v>0</v>
      </c>
      <c r="CU14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4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4" s="45" t="n">
        <f aca="false">IF(OR(NOT(Tasks[[#This Row],[_IsLeaf]]=1),Tasks[[#This Row],[_Res2]]=""),0,IF(ISNA(MATCH(Tasks[[#This Row],[_Res2]],res_Name,0)),0,N(Tasks[[#This Row],[Duration]])*HoursPerDay*IF(Tasks[[#This Row],[_Res2Units]]="",DefaultUnits,Tasks[[#This Row],[_Res2Units]])))</f>
        <v>0</v>
      </c>
      <c r="CX144" s="45" t="n">
        <f aca="false">IF(Tasks[[#This Row],[_Res2Work]]=0,0,Tasks[[#This Row],[_Res2Work]]*IFERROR(INDEX(res_Rate,MATCH(Tasks[[#This Row],[_Res2]],res_Name,0)),0))</f>
        <v>0</v>
      </c>
      <c r="CY144" s="45" t="n">
        <f aca="false">IF(AND(AND(Tasks[[#This Row],[_IsLeaf]]=1,Tasks[[#This Row],[_LeafTotalWork]]&gt;0),Tasks[[#This Row],[_Res2Work]]&gt;0),Tasks[[#This Row],[_Res2Work]]/(Tasks[[#This Row],[_FinishWorkday]]-Tasks[[#This Row],[_StartWorkday]]+1),0)</f>
        <v>0</v>
      </c>
      <c r="CZ144" s="45" t="n">
        <f aca="false">Tasks[[#This Row],[_Res2WorkPerWD]]*MAX(0,Tasks[[#This Row],[_StartWorkday]]-1)</f>
        <v>0</v>
      </c>
      <c r="DA144" s="45" t="n">
        <f aca="false">Tasks[[#This Row],[_Res2Work]]*Tasks[[#This Row],[_LeafProgress]]</f>
        <v>0</v>
      </c>
      <c r="DB144" s="45" t="n">
        <f aca="false">IF(Tasks[[#This Row],[_LeafTotalCost]]=0,0,Tasks[[#This Row],[_LeafAC]]*Tasks[[#This Row],[_Res2Cost]]/Tasks[[#This Row],[_LeafTotalCost]])</f>
        <v>0</v>
      </c>
      <c r="DC14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4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44" s="45" t="n">
        <f aca="false">IF(OR(NOT(Tasks[[#This Row],[_IsLeaf]]=1),Tasks[[#This Row],[_Res3]]=""),0,IF(ISNA(MATCH(Tasks[[#This Row],[_Res3]],res_Name,0)),0,N(Tasks[[#This Row],[Duration]])*HoursPerDay*IF(Tasks[[#This Row],[_Res3Units]]="",DefaultUnits,Tasks[[#This Row],[_Res3Units]])))</f>
        <v>0</v>
      </c>
      <c r="DF144" s="45" t="n">
        <f aca="false">IF(Tasks[[#This Row],[_Res3Work]]=0,0,Tasks[[#This Row],[_Res3Work]]*IFERROR(INDEX(res_Rate,MATCH(Tasks[[#This Row],[_Res3]],res_Name,0)),0))</f>
        <v>0</v>
      </c>
      <c r="DG144" s="45" t="n">
        <f aca="false">IF(AND(AND(Tasks[[#This Row],[_IsLeaf]]=1,Tasks[[#This Row],[_LeafTotalWork]]&gt;0),Tasks[[#This Row],[_Res3Work]]&gt;0),Tasks[[#This Row],[_Res3Work]]/(Tasks[[#This Row],[_FinishWorkday]]-Tasks[[#This Row],[_StartWorkday]]+1),0)</f>
        <v>0</v>
      </c>
      <c r="DH144" s="45" t="n">
        <f aca="false">Tasks[[#This Row],[_Res3WorkPerWD]]*MAX(0,Tasks[[#This Row],[_StartWorkday]]-1)</f>
        <v>0</v>
      </c>
      <c r="DI144" s="45" t="n">
        <f aca="false">Tasks[[#This Row],[_Res3Work]]*Tasks[[#This Row],[_LeafProgress]]</f>
        <v>0</v>
      </c>
      <c r="DJ144" s="45" t="n">
        <f aca="false">IF(Tasks[[#This Row],[_LeafTotalCost]]=0,0,Tasks[[#This Row],[_LeafAC]]*Tasks[[#This Row],[_Res3Cost]]/Tasks[[#This Row],[_LeafTotalCost]])</f>
        <v>0</v>
      </c>
      <c r="DK14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4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44" s="45" t="n">
        <f aca="false">IF(OR(NOT(Tasks[[#This Row],[_IsLeaf]]=1),Tasks[[#This Row],[_Res4]]=""),0,IF(ISNA(MATCH(Tasks[[#This Row],[_Res4]],res_Name,0)),0,N(Tasks[[#This Row],[Duration]])*HoursPerDay*IF(Tasks[[#This Row],[_Res4Units]]="",DefaultUnits,Tasks[[#This Row],[_Res4Units]])))</f>
        <v>0</v>
      </c>
      <c r="DN144" s="45" t="n">
        <f aca="false">IF(Tasks[[#This Row],[_Res4Work]]=0,0,Tasks[[#This Row],[_Res4Work]]*IFERROR(INDEX(res_Rate,MATCH(Tasks[[#This Row],[_Res4]],res_Name,0)),0))</f>
        <v>0</v>
      </c>
      <c r="DO144" s="45" t="n">
        <f aca="false">IF(AND(AND(Tasks[[#This Row],[_IsLeaf]]=1,Tasks[[#This Row],[_LeafTotalWork]]&gt;0),Tasks[[#This Row],[_Res4Work]]&gt;0),Tasks[[#This Row],[_Res4Work]]/(Tasks[[#This Row],[_FinishWorkday]]-Tasks[[#This Row],[_StartWorkday]]+1),0)</f>
        <v>0</v>
      </c>
      <c r="DP144" s="45" t="n">
        <f aca="false">Tasks[[#This Row],[_Res4WorkPerWD]]*MAX(0,Tasks[[#This Row],[_StartWorkday]]-1)</f>
        <v>0</v>
      </c>
      <c r="DQ144" s="45" t="n">
        <f aca="false">Tasks[[#This Row],[_Res4Work]]*Tasks[[#This Row],[_LeafProgress]]</f>
        <v>0</v>
      </c>
      <c r="DR144" s="45" t="n">
        <f aca="false">IF(Tasks[[#This Row],[_LeafTotalCost]]=0,0,Tasks[[#This Row],[_LeafAC]]*Tasks[[#This Row],[_Res4Cost]]/Tasks[[#This Row],[_LeafTotalCost]])</f>
        <v>0</v>
      </c>
      <c r="DS144" s="45" t="n">
        <f aca="false">IF(ISNUMBER(Tasks[[#This Row],[% Complete]]),Tasks[[#This Row],[% Complete]],IF(Tasks[[#This Row],[Stage]]="",0,IFERROR(INDEX(stg_Pct,MATCH(Tasks[[#This Row],[Stage]],stg_Name,0)),0)))</f>
        <v>0</v>
      </c>
      <c r="DT144" s="45" t="n">
        <f aca="false">IF(NOT(Tasks[[#This Row],[_IsLeaf]]=1),0,IF(N(Tasks[[#This Row],[Actual Finish]])&gt;0,1,MIN(1,Tasks[[#This Row],[_Pct]])))</f>
        <v>0</v>
      </c>
      <c r="DU144" s="45" t="n">
        <f aca="false">IF(OR(NOT(Tasks[[#This Row],[_IsLeaf]]=1),Tasks[[#This Row],[_Resource1]]=""),0,IF(ISNA(MATCH(Tasks[[#This Row],[_Resource1]],res_Name,0)),0,N(Tasks[[#This Row],[Duration]])*HoursPerDay*IF(Tasks[[#This Row],[_Units1]]="",DefaultUnits,Tasks[[#This Row],[_Units1]])))</f>
        <v>0</v>
      </c>
      <c r="DV144" s="45" t="n">
        <f aca="false">IF(Tasks[[#This Row],[_LeafWork]]=0,0,Tasks[[#This Row],[_LeafWork]]*IFERROR(INDEX(res_Rate,MATCH(Tasks[[#This Row],[_Resource1]],res_Name,0)),0))</f>
        <v>0</v>
      </c>
      <c r="DW144" s="45" t="n">
        <f aca="false">Tasks[[#This Row],[_LeafWork]]+Tasks[[#This Row],[_Res2Work]]+Tasks[[#This Row],[_Res3Work]]+Tasks[[#This Row],[_Res4Work]]</f>
        <v>0</v>
      </c>
      <c r="DX144" s="45" t="n">
        <f aca="false">Tasks[[#This Row],[_LeafCost]]+Tasks[[#This Row],[_Res2Cost]]+Tasks[[#This Row],[_Res3Cost]]+Tasks[[#This Row],[_Res4Cost]]</f>
        <v>0</v>
      </c>
      <c r="DY144" s="45" t="n">
        <f aca="false">IF(Tasks[[#This Row],[_LeafTotalCost]]=0,Tasks[[#This Row],[_LeafAC]],Tasks[[#This Row],[_LeafAC]]*Tasks[[#This Row],[_LeafCost]]/Tasks[[#This Row],[_LeafTotalCost]])</f>
        <v>0</v>
      </c>
      <c r="DZ14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4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4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4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4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4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4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4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44" s="45" t="n">
        <f aca="false">IF(NOT(Tasks[[#This Row],[_IsLeaf]]=1),0,MAX(_xlfn.MAXIFS(Tasks[_Row],Tasks[_Pred1UID],Tasks[[#This Row],[UID]]),_xlfn.MAXIFS(Tasks[_Row],Tasks[_Pred2UID],Tasks[[#This Row],[UID]]),_xlfn.MAXIFS(Tasks[_Row],Tasks[_Pred3UID],Tasks[[#This Row],[UID]]),_xlfn.MAXIFS(Tasks[_Row],Tasks[_Pred4UID],Tasks[[#This Row],[UID]])))</f>
        <v>0</v>
      </c>
      <c r="EI14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4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44" s="74" t="str">
        <f aca="false">IF(NOT(Tasks[[#This Row],[_IsLeaf]]=1),"",IF(N(Tasks[[#This Row],[Duration]])&lt;=0,Tasks[[#This Row],[_LeafLateFinish]],WORKDAY.INTL(Tasks[[#This Row],[_LeafLateFinish]],-(Tasks[[#This Row],[Duration]]-1),WorkWeek,Holidays)))</f>
        <v/>
      </c>
      <c r="EL14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44" s="73" t="b">
        <f aca="false">AND(Tasks[[#This Row],[_IsLeaf]]=1,Tasks[[#This Row],[_LeafProgress]]&lt;1,N(Tasks[[#This Row],[_LeafTotalSlack]])&lt;=CriticalSlackDays)</f>
        <v>0</v>
      </c>
      <c r="EN144" s="45" t="n">
        <f aca="false">IF(AND(Tasks[[#This Row],[_IsLeaf]]=1,Tasks[[#This Row],[_ConstraintCode]]=1,Tasks[[#This Row],[Mode]]&lt;&gt;"Manual",N(Tasks[[#This Row],[Actual Start]])=0),MAX(0,N(Tasks[[#This Row],[Free Slack]])),0)</f>
        <v>0</v>
      </c>
      <c r="EO144" s="74" t="str">
        <f aca="false">IF(NOT(Tasks[[#This Row],[_IsLeaf]]=1),"",IF(Tasks[[#This Row],[_AlapShift]]=0,Tasks[[#This Row],[_LeafCalcStart]],WORKDAY.INTL(Tasks[[#This Row],[_LeafCalcStart]],Tasks[[#This Row],[_AlapShift]],WorkWeek,Holidays)))</f>
        <v/>
      </c>
      <c r="EP144" s="74" t="str">
        <f aca="false">IF(NOT(Tasks[[#This Row],[_IsLeaf]]=1),"",IF(Tasks[[#This Row],[_AlapShift]]=0,Tasks[[#This Row],[_LeafCalcFinish]],WORKDAY.INTL(Tasks[[#This Row],[_LeafCalcFinish]],Tasks[[#This Row],[_AlapShift]],WorkWeek,Holidays)))</f>
        <v/>
      </c>
      <c r="EQ144" s="74" t="str">
        <f aca="false">IF(NOT(Tasks[[#This Row],[_IsLeaf]]=1),"",IF(Tasks[[#This Row],[_AlapShift]]=0,Tasks[[#This Row],[_LeafFcstStart]],WORKDAY.INTL(Tasks[[#This Row],[_LeafFcstStart]],Tasks[[#This Row],[_AlapShift]],WorkWeek,Holidays)))</f>
        <v/>
      </c>
      <c r="ER144" s="74" t="str">
        <f aca="false">IF(NOT(Tasks[[#This Row],[_IsLeaf]]=1),"",IF(Tasks[[#This Row],[_AlapShift]]=0,Tasks[[#This Row],[_LeafFcstFinish]],WORKDAY.INTL(Tasks[[#This Row],[_LeafFcstFinish]],Tasks[[#This Row],[_AlapShift]],WorkWeek,Holidays)))</f>
        <v/>
      </c>
      <c r="ES144" s="74" t="str">
        <f aca="false">IF(Tasks[[#This Row],[Task Name]]="","",IF(Tasks[[#This Row],[_IsSummary]],MIN(INDEX(Tasks[_ShownCalcStart],Tasks[[#This Row],[_Row]]+1):INDEX(Tasks[_ShownCalcStart],Tasks[[#This Row],[_Row]]+Tasks[[#This Row],[_Descendants]])),Tasks[[#This Row],[_ShownCalcStart]]))</f>
        <v/>
      </c>
      <c r="ET144" s="74" t="str">
        <f aca="false">IF(Tasks[[#This Row],[Task Name]]="","",IF(Tasks[[#This Row],[_IsSummary]],MAX(INDEX(Tasks[_ShownCalcFinish],Tasks[[#This Row],[_Row]]+1):INDEX(Tasks[_ShownCalcFinish],Tasks[[#This Row],[_Row]]+Tasks[[#This Row],[_Descendants]])),Tasks[[#This Row],[_ShownCalcFinish]]))</f>
        <v/>
      </c>
      <c r="EU14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4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4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4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4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4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4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4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4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4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4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4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44" s="45" t="n">
        <f aca="false">IF(AND(Tasks[[#This Row],[_IsLeaf]]=1,Tasks[[#This Row],[_LeafTotalWork]]&gt;0),NETWORKDAYS.INTL(ProjectStart,Tasks[[#This Row],[_ShownFcstStart]],WorkWeek,Holidays),0)</f>
        <v>0</v>
      </c>
      <c r="FH144" s="45" t="n">
        <f aca="false">IF(AND(Tasks[[#This Row],[_IsLeaf]]=1,Tasks[[#This Row],[_LeafTotalWork]]&gt;0),MAX(Tasks[[#This Row],[_StartWorkday]],NETWORKDAYS.INTL(ProjectStart,Tasks[[#This Row],[_ShownFcstFinish]],WorkWeek,Holidays)),0)</f>
        <v>0</v>
      </c>
      <c r="FI144" s="45" t="n">
        <f aca="false">IF(AND(Tasks[[#This Row],[_IsLeaf]]=1,Tasks[[#This Row],[_LeafTotalWork]]&gt;0),Tasks[[#This Row],[_LeafWork]]/(Tasks[[#This Row],[_FinishWorkday]]-Tasks[[#This Row],[_StartWorkday]]+1),0)</f>
        <v>0</v>
      </c>
      <c r="FJ144" s="45" t="n">
        <f aca="false">Tasks[[#This Row],[_WorkPerWorkday]]*(Tasks[[#This Row],[_StartWorkday]]-1)</f>
        <v>-0</v>
      </c>
      <c r="FK144" s="45" t="n">
        <f aca="false">IF(Tasks[[#This Row],[_IsLeaf]]=1,MAX(N(Tasks[[#This Row],[Duration]]),0.1),0)</f>
        <v>0</v>
      </c>
      <c r="FL144" s="45" t="n">
        <f aca="false">Tasks[[#This Row],[_WeightDur]]*Tasks[[#This Row],[_LeafProgress]]</f>
        <v>0</v>
      </c>
      <c r="FM14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44" s="45" t="str">
        <f aca="false">IF(AND(Tasks[[#This Row],[_IsLeaf]]=1,N(Tasks[[#This Row],[Duration]])=0,Tasks[[#This Row],[_LeafProgress]]&lt;1),Tasks[[#This Row],[_ShownFcstFinish]]+Tasks[[#This Row],[_Row]]/100000,"")</f>
        <v/>
      </c>
      <c r="FO14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44" s="45" t="n">
        <f aca="false">IF(NOT(Tasks[[#This Row],[_IsLeaf]]=1),0,IF(Tasks[[#This Row],[Baseline Cost]]="",Tasks[[#This Row],[_LeafTotalCost]],N(Tasks[[#This Row],[Baseline Cost]])))</f>
        <v>0</v>
      </c>
      <c r="FQ144" s="45" t="n">
        <f aca="false">Tasks[[#This Row],[_LeafBudget]]*Tasks[[#This Row],[_PlannedPct]]</f>
        <v>0</v>
      </c>
      <c r="FR144" s="45" t="n">
        <f aca="false">Tasks[[#This Row],[_LeafBudget]]*Tasks[[#This Row],[_LeafProgress]]</f>
        <v>0</v>
      </c>
      <c r="FS144" s="45" t="n">
        <f aca="false">IF(NOT(Tasks[[#This Row],[_IsLeaf]]=1),0,IF(Tasks[[#This Row],[Actual Cost]]="",Tasks[[#This Row],[_LeafTotalCost]]*Tasks[[#This Row],[_LeafProgress]],N(Tasks[[#This Row],[Actual Cost]])))</f>
        <v>0</v>
      </c>
      <c r="FT144" s="45" t="str">
        <f aca="false">IF(Tasks[[#This Row],[Task Name]]="","",LEFT(Tasks[[#This Row],[WBS]],FIND(".",Tasks[[#This Row],[WBS]]&amp;".")-1))</f>
        <v/>
      </c>
      <c r="FU144" s="45" t="str">
        <f aca="false">IF(AND(Tasks[[#This Row],[Task Name]]&lt;&gt;"",Tasks[[#This Row],[_Level]]=1),Tasks[[#This Row],[_Row]],"")</f>
        <v/>
      </c>
      <c r="FV144" s="45" t="str">
        <f aca="false">IF(AND(Tasks[[#This Row],[_IsLeaf]]=1,N(Tasks[[#This Row],[Duration]])=0),Tasks[[#This Row],[Planned Finish]]+Tasks[[#This Row],[_Row]]/100000,"")</f>
        <v/>
      </c>
      <c r="FW144" s="45" t="str">
        <f aca="false">IF(AND(Tasks[[#This Row],[_IsLeaf]]=1,Tasks[[#This Row],[_LeafProgress]]&lt;1,OR(N(Tasks[[#This Row],[Finish Var]])&gt;0,Tasks[[#This Row],[Status]]="Late Start")),MAX(0,Tasks[[#This Row],[Finish Var]])+1-Tasks[[#This Row],[_Row]]/1000000,"")</f>
        <v/>
      </c>
      <c r="FX144" s="45" t="str">
        <f aca="false">IF(AND(Tasks[[#This Row],[_IsLeaf]]=1,N(Tasks[[#This Row],[Actual Start]])=0,Tasks[[#This Row],[_ShownFcstStart]]&gt;=StatusDate,Tasks[[#This Row],[_ShownFcstStart]]&lt;=LookaheadEnd),Tasks[[#This Row],[_ShownFcstStart]]+Tasks[[#This Row],[_Row]]/100000,"")</f>
        <v/>
      </c>
      <c r="FY144" s="45" t="str">
        <f aca="false">IF(AND(Tasks[[#This Row],[_IsLeaf]]=1,Tasks[[#This Row],[_LeafProgress]]&lt;1,Tasks[[#This Row],[_ShownFcstFinish]]&gt;=StatusDate,Tasks[[#This Row],[_ShownFcstFinish]]&lt;=LookaheadEnd),Tasks[[#This Row],[_ShownFcstFinish]]+Tasks[[#This Row],[_Row]]/100000,"")</f>
        <v/>
      </c>
      <c r="FZ144" s="45" t="str">
        <f aca="false">IF(Tasks[[#This Row],[_LeafCritical]],Tasks[[#This Row],[_ShownFcstStart]]+Tasks[[#This Row],[_Row]]/100000,"")</f>
        <v/>
      </c>
      <c r="GA144" s="45" t="n">
        <f aca="false">Tasks[[#This Row],[_LeafWork]]*Tasks[[#This Row],[_LeafProgress]]</f>
        <v>0</v>
      </c>
      <c r="GB144" s="74" t="str">
        <f aca="false">IF(AND(Tasks[[#This Row],[_IsLeaf]]=1,Tasks[[#This Row],[_LeafProgress]]&gt;=1),IF(N(Tasks[[#This Row],[Actual Finish]])&gt;0,Tasks[[#This Row],[Actual Finish]],Tasks[[#This Row],[_ShownFcstFinish]]),"")</f>
        <v/>
      </c>
    </row>
    <row r="145" customFormat="false" ht="15" hidden="false" customHeight="false" outlineLevel="0" collapsed="false">
      <c r="A145" s="67" t="str">
        <f aca="false">IF(Tasks[[#This Row],[Task Name]]="","",COUNTA(Tasks[[#Headers],[Task Name]]:Tasks[[#This Row],[Task Name]])-1)</f>
        <v/>
      </c>
      <c r="B145" s="21" t="n">
        <v>140</v>
      </c>
      <c r="C14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21"/>
      <c r="E145" s="22"/>
      <c r="F145" s="21"/>
      <c r="G145" s="22"/>
      <c r="H145" s="22"/>
      <c r="I145" s="22"/>
      <c r="J145" s="7"/>
      <c r="K145" s="7"/>
      <c r="L145" s="22"/>
      <c r="M145" s="58" t="str">
        <f aca="false">IF(Tasks[[#This Row],[Task Name]]="","",IF(Tasks[[#This Row],[_IsSummary]],MIN(INDEX(Tasks[_ShownFcstStart],Tasks[[#This Row],[_Row]]+1):INDEX(Tasks[_ShownFcstStart],Tasks[[#This Row],[_Row]]+Tasks[[#This Row],[_Descendants]])),Tasks[[#This Row],[_ShownFcstStart]]))</f>
        <v/>
      </c>
      <c r="N145" s="58" t="str">
        <f aca="false">IF(Tasks[[#This Row],[Task Name]]="","",IF(Tasks[[#This Row],[_IsSummary]],MAX(INDEX(Tasks[_ShownFcstFinish],Tasks[[#This Row],[_Row]]+1):INDEX(Tasks[_ShownFcstFinish],Tasks[[#This Row],[_Row]]+Tasks[[#This Row],[_Descendants]])),Tasks[[#This Row],[_ShownFcstFinish]]))</f>
        <v/>
      </c>
      <c r="O145" s="20" t="str">
        <f aca="false">IF(Tasks[[#This Row],[Task Name]]="","",IF(Tasks[[#This Row],[Progress]]&gt;=1,"Complete",IF(OR(N(Tasks[[#This Row],[Actual Start]])&gt;0,Tasks[[#This Row],[Progress]]&gt;0),IF(Tasks[[#This Row],[Finish Var]]&gt;0,"Behind","In Progress"),IF(Tasks[[#This Row],[Planned Start]]&lt;StatusDate,"Late Start","Not Started"))))</f>
        <v/>
      </c>
      <c r="P145" s="20" t="str">
        <f aca="false">IF(Tasks[[#This Row],[Task Name]]="","",IF(IF(Tasks[[#This Row],[_IsSummary]],COUNTIF(INDEX(Tasks[_LeafCritical],Tasks[[#This Row],[_Row]]+1):INDEX(Tasks[_LeafCritical],Tasks[[#This Row],[_Row]]+Tasks[[#This Row],[_Descendants]]),TRUE())&gt;0,Tasks[[#This Row],[_LeafCritical]]),"Yes",""))</f>
        <v/>
      </c>
      <c r="Q14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45" s="67" t="str">
        <f aca="false">IF(Tasks[[#This Row],[Task Name]]="","",IF(Tasks[[#This Row],[_Level]]&lt;=OutlineShowLevel,"Yes","No"))</f>
        <v/>
      </c>
      <c r="S145" s="7"/>
      <c r="T145" s="21"/>
      <c r="U145" s="22"/>
      <c r="V145" s="7"/>
      <c r="W145" s="67" t="str">
        <f aca="false">IF(Tasks[[#This Row],[Task Name]]="","",IF(Tasks[[#This Row],[Finish]]&gt;=Tasks[[#This Row],[Planned Finish]],NETWORKDAYS.INTL(Tasks[[#This Row],[Planned Finish]],Tasks[[#This Row],[Finish]],WorkWeek,Holidays)-1,1-NETWORKDAYS.INTL(Tasks[[#This Row],[Finish]],Tasks[[#This Row],[Planned Finish]],WorkWeek,Holidays)))</f>
        <v/>
      </c>
      <c r="X145" s="58" t="str">
        <f aca="false">IF(Tasks[[#This Row],[Task Name]]="","",IF(N(Tasks[[#This Row],[Baseline Start]])&gt;0,Tasks[[#This Row],[Baseline Start]],Tasks[[#This Row],[_CalcStart]]))</f>
        <v/>
      </c>
      <c r="Y145" s="58" t="str">
        <f aca="false">IF(Tasks[[#This Row],[Task Name]]="","",IF(N(Tasks[[#This Row],[Baseline Finish]])&gt;0,Tasks[[#This Row],[Baseline Finish]],Tasks[[#This Row],[_CalcFinish]]))</f>
        <v/>
      </c>
      <c r="Z145" s="67" t="str">
        <f aca="false">IF(Tasks[[#This Row],[Task Name]]="","",IF(Tasks[[#This Row],[Start]]&gt;=Tasks[[#This Row],[Planned Start]],NETWORKDAYS.INTL(Tasks[[#This Row],[Planned Start]],Tasks[[#This Row],[Start]],WorkWeek,Holidays)-1,1-NETWORKDAYS.INTL(Tasks[[#This Row],[Start]],Tasks[[#This Row],[Planned Start]],WorkWeek,Holidays)))</f>
        <v/>
      </c>
      <c r="AA145" s="58" t="str">
        <f aca="false">IF(Tasks[[#This Row],[Task Name]]="","",IF(Tasks[[#This Row],[_IsSummary]],MIN(INDEX(Tasks[_LeafLateStart],Tasks[[#This Row],[_Row]]+1):INDEX(Tasks[_LeafLateStart],Tasks[[#This Row],[_Row]]+Tasks[[#This Row],[_Descendants]])),Tasks[[#This Row],[_LeafLateStart]]))</f>
        <v/>
      </c>
      <c r="AB145" s="58" t="str">
        <f aca="false">IF(Tasks[[#This Row],[Task Name]]="","",IF(Tasks[[#This Row],[_IsSummary]],MAX(INDEX(Tasks[_LeafLateFinish],Tasks[[#This Row],[_Row]]+1):INDEX(Tasks[_LeafLateFinish],Tasks[[#This Row],[_Row]]+Tasks[[#This Row],[_Descendants]])),Tasks[[#This Row],[_LeafLateFinish]]))</f>
        <v/>
      </c>
      <c r="AC145" s="67" t="str">
        <f aca="false">IF(Tasks[[#This Row],[Task Name]]="","",IF(Tasks[[#This Row],[_IsSummary]],MIN(INDEX(Tasks[_LeafTotalSlack],Tasks[[#This Row],[_Row]]+1):INDEX(Tasks[_LeafTotalSlack],Tasks[[#This Row],[_Row]]+Tasks[[#This Row],[_Descendants]])),Tasks[[#This Row],[_LeafTotalSlack]]))</f>
        <v/>
      </c>
      <c r="AD14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4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4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45" s="60"/>
      <c r="AH14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4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45" s="69" t="str">
        <f aca="false">IF(Tasks[[#This Row],[Task Name]]="","",IF(Tasks[[#This Row],[_IsSummary]],SUM(INDEX(Tasks[_LeafTotalWork],Tasks[[#This Row],[_Row]]+1):INDEX(Tasks[_LeafTotalWork],Tasks[[#This Row],[_Row]]+Tasks[[#This Row],[_Descendants]])),Tasks[[#This Row],[_LeafTotalWork]]))</f>
        <v/>
      </c>
      <c r="AK14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45" s="70" t="str">
        <f aca="false">IF(Tasks[[#This Row],[Task Name]]="","",IF(Tasks[[#This Row],[_IsSummary]],SUM(INDEX(Tasks[_LeafTotalCost],Tasks[[#This Row],[_Row]]+1):INDEX(Tasks[_LeafTotalCost],Tasks[[#This Row],[_Row]]+Tasks[[#This Row],[_Descendants]])),Tasks[[#This Row],[_LeafTotalCost]]))</f>
        <v/>
      </c>
      <c r="AM145" s="71"/>
      <c r="AN145" s="20" t="str">
        <f aca="false">IF(OR(Tasks[[#This Row],[Task Name]]="",Tasks[[#This Row],[Baseline Duration]]=""),"",Tasks[[#This Row],[BL Source Duration]]-N(Tasks[[#This Row],[Baseline Duration]]))</f>
        <v/>
      </c>
      <c r="AO145" s="69" t="str">
        <f aca="false">IF(OR(Tasks[[#This Row],[Task Name]]="",Tasks[[#This Row],[Baseline Work]]=""),"",Tasks[[#This Row],[Work]]-N(Tasks[[#This Row],[Baseline Work]]))</f>
        <v/>
      </c>
      <c r="AP145" s="70" t="str">
        <f aca="false">IF(OR(Tasks[[#This Row],[Task Name]]="",Tasks[[#This Row],[Baseline Cost]]=""),"",Tasks[[#This Row],[Cost]]-N(Tasks[[#This Row],[Baseline Cost]]))</f>
        <v/>
      </c>
      <c r="AQ145" s="58" t="str">
        <f aca="false">IF(Tasks[[#This Row],[Task Name]]="","",Tasks[[#This Row],[Start]])</f>
        <v/>
      </c>
      <c r="AR145" s="58" t="str">
        <f aca="false">IF(Tasks[[#This Row],[Task Name]]="","",Tasks[[#This Row],[Finish]])</f>
        <v/>
      </c>
      <c r="AS145" s="67" t="str">
        <f aca="false">IF(Tasks[[#This Row],[Task Name]]="","",IF(Tasks[[#This Row],[_IsSummary]],NETWORKDAYS.INTL(Tasks[[#This Row],[Start]],Tasks[[#This Row],[Finish]],WorkWeek,Holidays),N(Tasks[[#This Row],[Duration]])))</f>
        <v/>
      </c>
      <c r="AT145" s="69" t="str">
        <f aca="false">IF(Tasks[[#This Row],[Task Name]]="","",Tasks[[#This Row],[Work]])</f>
        <v/>
      </c>
      <c r="AU145" s="70" t="str">
        <f aca="false">IF(Tasks[[#This Row],[Task Name]]="","",Tasks[[#This Row],[Cost]])</f>
        <v/>
      </c>
      <c r="AV145" s="7"/>
      <c r="AW145" s="7"/>
      <c r="AX145" s="21"/>
      <c r="AY145" s="72"/>
      <c r="AZ145" s="71"/>
      <c r="BA145" s="70" t="str">
        <f aca="false">IF(Tasks[[#This Row],[Task Name]]="","",IF(Tasks[[#This Row],[_IsSummary]],SUM(INDEX(Tasks[_LeafEV],Tasks[[#This Row],[_Row]]+1):INDEX(Tasks[_LeafEV],Tasks[[#This Row],[_Row]]+Tasks[[#This Row],[_Descendants]])),Tasks[[#This Row],[_LeafEV]]))</f>
        <v/>
      </c>
      <c r="BB145" s="70" t="str">
        <f aca="false">IF(Tasks[[#This Row],[Task Name]]="","",IF(Tasks[[#This Row],[_IsSummary]],SUM(INDEX(Tasks[_LeafBudget],Tasks[[#This Row],[_Row]]+1):INDEX(Tasks[_LeafBudget],Tasks[[#This Row],[_Row]]+Tasks[[#This Row],[_Descendants]])),Tasks[[#This Row],[_LeafBudget]]))</f>
        <v/>
      </c>
      <c r="BC145" s="70" t="str">
        <f aca="false">IF(Tasks[[#This Row],[Task Name]]="","",IF(Tasks[[#This Row],[_IsSummary]],SUM(INDEX(Tasks[_LeafPV],Tasks[[#This Row],[_Row]]+1):INDEX(Tasks[_LeafPV],Tasks[[#This Row],[_Row]]+Tasks[[#This Row],[_Descendants]])),Tasks[[#This Row],[_LeafPV]]))</f>
        <v/>
      </c>
      <c r="BD145" s="70" t="str">
        <f aca="false">IF(Tasks[[#This Row],[Task Name]]="","",IF(Tasks[[#This Row],[_IsSummary]],SUM(INDEX(Tasks[_LeafAC],Tasks[[#This Row],[_Row]]+1):INDEX(Tasks[_LeafAC],Tasks[[#This Row],[_Row]]+Tasks[[#This Row],[_Descendants]])),Tasks[[#This Row],[_LeafAC]]))</f>
        <v/>
      </c>
      <c r="BE145" s="45" t="str">
        <f aca="false">IF(Tasks[[#This Row],[Task Name]]="","",MAX(1,N(Tasks[[#This Row],[Level]])))</f>
        <v/>
      </c>
      <c r="BF145" s="45" t="n">
        <f aca="false">ROW()-ROW(Tasks[[#Headers],[ID]])</f>
        <v>140</v>
      </c>
      <c r="BG145" s="45" t="n">
        <f aca="false">IF(OR(Tasks[[#This Row],[Task Name]]="",Tasks[[#This Row],[_Level]]&lt;=1),0,IFERROR(LOOKUP(2,1/(Tasks[[#Headers],[_Level]]:Tasks[[#This Row],[_Level]]=Tasks[[#This Row],[_Level]]-1),ROW(Tasks[[#Headers],[_Level]]:Tasks[[#This Row],[_Level]])),0))</f>
        <v>0</v>
      </c>
      <c r="BH145" s="45" t="n">
        <f aca="false">IFERROR(N(INDEX(Tasks[_Level],Tasks[[#This Row],[_Row]]+1)),0)</f>
        <v>0</v>
      </c>
      <c r="BI145" s="73" t="b">
        <f aca="false">AND(Tasks[[#This Row],[Task Name]]&lt;&gt;"",Tasks[[#This Row],[_NextLevel]]&gt;Tasks[[#This Row],[_Level]])</f>
        <v>0</v>
      </c>
      <c r="BJ145" s="45" t="n">
        <f aca="false">IF(Tasks[[#This Row],[_IsSummary]],COUNTIF(Tasks[WBS],Tasks[[#This Row],[WBS]]&amp;".*"),0)</f>
        <v>0</v>
      </c>
      <c r="BK145" s="45" t="n">
        <f aca="false">IF(AND(Tasks[[#This Row],[Task Name]]&lt;&gt;"",NOT(Tasks[[#This Row],[_IsSummary]])),1,0)</f>
        <v>0</v>
      </c>
      <c r="BL145" s="45" t="n">
        <f aca="false">IF(N(Tasks[[#This Row],[_Pred1UID]])=0,0,IFERROR(MATCH(Tasks[[#This Row],[_Pred1UID]],Tasks[UID],0),-1))</f>
        <v>0</v>
      </c>
      <c r="BM145" s="45" t="n">
        <f aca="false">IF(N(Tasks[[#This Row],[_Pred2UID]])=0,0,IFERROR(MATCH(Tasks[[#This Row],[_Pred2UID]],Tasks[UID],0),-1))</f>
        <v>0</v>
      </c>
      <c r="BN145" s="45" t="n">
        <f aca="false">IF(N(Tasks[[#This Row],[_Pred3UID]])=0,0,IFERROR(MATCH(Tasks[[#This Row],[_Pred3UID]],Tasks[UID],0),-1))</f>
        <v>0</v>
      </c>
      <c r="BO145" s="45" t="n">
        <f aca="false">IF(N(Tasks[[#This Row],[_Pred4UID]])=0,0,IFERROR(MATCH(Tasks[[#This Row],[_Pred4UID]],Tasks[UID],0),-1))</f>
        <v>0</v>
      </c>
      <c r="BP14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4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45" s="74" t="n">
        <f aca="false">IF(OR(Tasks[[#This Row],[_ConstraintCode]]=2,Tasks[[#This Row],[_ConstraintCode]]=3,Tasks[[#This Row],[_ConstraintCode]]=4,Tasks[[#This Row],[_ConstraintCode]]=6),Tasks[[#This Row],[_ConstraintStart]],0)</f>
        <v>0</v>
      </c>
      <c r="BS145" s="74" t="n">
        <f aca="false">IF(OR(Tasks[[#This Row],[_ConstraintCode]]=2,Tasks[[#This Row],[_ConstraintCode]]=3,Tasks[[#This Row],[_ConstraintCode]]=5,Tasks[[#This Row],[_ConstraintCode]]=7),Tasks[[#This Row],[_ConstraintStart]],2958465)</f>
        <v>2958465</v>
      </c>
      <c r="BT14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45" s="74" t="str">
        <f aca="false">IF(NOT(Tasks[[#This Row],[_IsLeaf]]=1),"",IF(N(Tasks[[#This Row],[Duration]])&lt;=0,Tasks[[#This Row],[_LeafCalcStart]],WORKDAY.INTL(Tasks[[#This Row],[_LeafCalcStart]],Tasks[[#This Row],[Duration]]-1,WorkWeek,Holidays)))</f>
        <v/>
      </c>
      <c r="BV14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4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45" s="45" t="str">
        <f aca="false">IF(Tasks[[#This Row],[Predecessors]]="","",TRIM(MID(SUBSTITUTE(SUBSTITUTE(SUBSTITUTE(UPPER(Tasks[[#This Row],[Predecessors]]),";",",")," ",""),",",REPT(" ",99)),1,99)))</f>
        <v/>
      </c>
      <c r="BY145" s="45" t="str">
        <f aca="false">IF(Tasks[[#This Row],[_Pred1Text]]="","",IFERROR(VALUE(LEFT(Tasks[[#This Row],[_Pred1Text]],MIN(FIND("F",Tasks[[#This Row],[_Pred1Text]]&amp;"F"),FIND("S",Tasks[[#This Row],[_Pred1Text]]&amp;"S"),FIND("+",Tasks[[#This Row],[_Pred1Text]]&amp;"+"),FIND("-",Tasks[[#This Row],[_Pred1Text]]&amp;"-"))-1)),""))</f>
        <v/>
      </c>
      <c r="BZ14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4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45" s="45" t="str">
        <f aca="false">IF(Tasks[[#This Row],[_Pred1Text]]="","",TRIM(MID(SUBSTITUTE(SUBSTITUTE(SUBSTITUTE(UPPER(Tasks[[#This Row],[Predecessors]]),";",",")," ",""),",",REPT(" ",99)),100,99)))</f>
        <v/>
      </c>
      <c r="CC145" s="45" t="str">
        <f aca="false">IF(Tasks[[#This Row],[_Pred2Text]]="","",IFERROR(VALUE(LEFT(Tasks[[#This Row],[_Pred2Text]],MIN(FIND("F",Tasks[[#This Row],[_Pred2Text]]&amp;"F"),FIND("S",Tasks[[#This Row],[_Pred2Text]]&amp;"S"),FIND("+",Tasks[[#This Row],[_Pred2Text]]&amp;"+"),FIND("-",Tasks[[#This Row],[_Pred2Text]]&amp;"-"))-1)),""))</f>
        <v/>
      </c>
      <c r="CD14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4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45" s="45" t="str">
        <f aca="false">IF(Tasks[[#This Row],[_Pred2Text]]="","",TRIM(MID(SUBSTITUTE(SUBSTITUTE(SUBSTITUTE(UPPER(Tasks[[#This Row],[Predecessors]]),";",",")," ",""),",",REPT(" ",99)),199,99)))</f>
        <v/>
      </c>
      <c r="CG145" s="45" t="str">
        <f aca="false">IF(Tasks[[#This Row],[_Pred3Text]]="","",IFERROR(VALUE(LEFT(Tasks[[#This Row],[_Pred3Text]],MIN(FIND("F",Tasks[[#This Row],[_Pred3Text]]&amp;"F"),FIND("S",Tasks[[#This Row],[_Pred3Text]]&amp;"S"),FIND("+",Tasks[[#This Row],[_Pred3Text]]&amp;"+"),FIND("-",Tasks[[#This Row],[_Pred3Text]]&amp;"-"))-1)),""))</f>
        <v/>
      </c>
      <c r="CH14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4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45" s="45" t="str">
        <f aca="false">IF(Tasks[[#This Row],[_Pred3Text]]="","",TRIM(MID(SUBSTITUTE(SUBSTITUTE(SUBSTITUTE(UPPER(Tasks[[#This Row],[Predecessors]]),";",",")," ",""),",",REPT(" ",99)),298,99)))</f>
        <v/>
      </c>
      <c r="CK145" s="45" t="str">
        <f aca="false">IF(Tasks[[#This Row],[_Pred4Text]]="","",IFERROR(VALUE(LEFT(Tasks[[#This Row],[_Pred4Text]],MIN(FIND("F",Tasks[[#This Row],[_Pred4Text]]&amp;"F"),FIND("S",Tasks[[#This Row],[_Pred4Text]]&amp;"S"),FIND("+",Tasks[[#This Row],[_Pred4Text]]&amp;"+"),FIND("-",Tasks[[#This Row],[_Pred4Text]]&amp;"-"))-1)),""))</f>
        <v/>
      </c>
      <c r="CL14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4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45" s="45" t="str">
        <f aca="false">IF(OR(Tasks[[#This Row],[Task Name]]="",Tasks[[#This Row],[Resources]]=""),"",TRIM(MID(SUBSTITUTE(Tasks[[#This Row],[Resources]],",",REPT(" ",99)),1,99)))</f>
        <v/>
      </c>
      <c r="CO145" s="45" t="str">
        <f aca="false">IF(Tasks[[#This Row],[_Res1Text]]="","",TRIM(MID(SUBSTITUTE(Tasks[[#This Row],[Resources]],",",REPT(" ",99)),100,99)))</f>
        <v/>
      </c>
      <c r="CP145" s="45" t="str">
        <f aca="false">IF(Tasks[[#This Row],[_Res2Text]]="","",TRIM(MID(SUBSTITUTE(Tasks[[#This Row],[Resources]],",",REPT(" ",99)),199,99)))</f>
        <v/>
      </c>
      <c r="CQ145" s="45" t="str">
        <f aca="false">IF(Tasks[[#This Row],[_Res3Text]]="","",TRIM(MID(SUBSTITUTE(Tasks[[#This Row],[Resources]],",",REPT(" ",99)),298,99)))</f>
        <v/>
      </c>
      <c r="CR14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4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5" s="45" t="n">
        <f aca="false">IF(NOT(Tasks[[#This Row],[_IsLeaf]]=1),0,(Tasks[[#This Row],[_Resource1]]&lt;&gt;"")+(Tasks[[#This Row],[_Res2]]&lt;&gt;"")+(Tasks[[#This Row],[_Res3]]&lt;&gt;"")+(Tasks[[#This Row],[_Res4]]&lt;&gt;""))</f>
        <v>0</v>
      </c>
      <c r="CU14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4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5" s="45" t="n">
        <f aca="false">IF(OR(NOT(Tasks[[#This Row],[_IsLeaf]]=1),Tasks[[#This Row],[_Res2]]=""),0,IF(ISNA(MATCH(Tasks[[#This Row],[_Res2]],res_Name,0)),0,N(Tasks[[#This Row],[Duration]])*HoursPerDay*IF(Tasks[[#This Row],[_Res2Units]]="",DefaultUnits,Tasks[[#This Row],[_Res2Units]])))</f>
        <v>0</v>
      </c>
      <c r="CX145" s="45" t="n">
        <f aca="false">IF(Tasks[[#This Row],[_Res2Work]]=0,0,Tasks[[#This Row],[_Res2Work]]*IFERROR(INDEX(res_Rate,MATCH(Tasks[[#This Row],[_Res2]],res_Name,0)),0))</f>
        <v>0</v>
      </c>
      <c r="CY145" s="45" t="n">
        <f aca="false">IF(AND(AND(Tasks[[#This Row],[_IsLeaf]]=1,Tasks[[#This Row],[_LeafTotalWork]]&gt;0),Tasks[[#This Row],[_Res2Work]]&gt;0),Tasks[[#This Row],[_Res2Work]]/(Tasks[[#This Row],[_FinishWorkday]]-Tasks[[#This Row],[_StartWorkday]]+1),0)</f>
        <v>0</v>
      </c>
      <c r="CZ145" s="45" t="n">
        <f aca="false">Tasks[[#This Row],[_Res2WorkPerWD]]*MAX(0,Tasks[[#This Row],[_StartWorkday]]-1)</f>
        <v>0</v>
      </c>
      <c r="DA145" s="45" t="n">
        <f aca="false">Tasks[[#This Row],[_Res2Work]]*Tasks[[#This Row],[_LeafProgress]]</f>
        <v>0</v>
      </c>
      <c r="DB145" s="45" t="n">
        <f aca="false">IF(Tasks[[#This Row],[_LeafTotalCost]]=0,0,Tasks[[#This Row],[_LeafAC]]*Tasks[[#This Row],[_Res2Cost]]/Tasks[[#This Row],[_LeafTotalCost]])</f>
        <v>0</v>
      </c>
      <c r="DC14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4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45" s="45" t="n">
        <f aca="false">IF(OR(NOT(Tasks[[#This Row],[_IsLeaf]]=1),Tasks[[#This Row],[_Res3]]=""),0,IF(ISNA(MATCH(Tasks[[#This Row],[_Res3]],res_Name,0)),0,N(Tasks[[#This Row],[Duration]])*HoursPerDay*IF(Tasks[[#This Row],[_Res3Units]]="",DefaultUnits,Tasks[[#This Row],[_Res3Units]])))</f>
        <v>0</v>
      </c>
      <c r="DF145" s="45" t="n">
        <f aca="false">IF(Tasks[[#This Row],[_Res3Work]]=0,0,Tasks[[#This Row],[_Res3Work]]*IFERROR(INDEX(res_Rate,MATCH(Tasks[[#This Row],[_Res3]],res_Name,0)),0))</f>
        <v>0</v>
      </c>
      <c r="DG145" s="45" t="n">
        <f aca="false">IF(AND(AND(Tasks[[#This Row],[_IsLeaf]]=1,Tasks[[#This Row],[_LeafTotalWork]]&gt;0),Tasks[[#This Row],[_Res3Work]]&gt;0),Tasks[[#This Row],[_Res3Work]]/(Tasks[[#This Row],[_FinishWorkday]]-Tasks[[#This Row],[_StartWorkday]]+1),0)</f>
        <v>0</v>
      </c>
      <c r="DH145" s="45" t="n">
        <f aca="false">Tasks[[#This Row],[_Res3WorkPerWD]]*MAX(0,Tasks[[#This Row],[_StartWorkday]]-1)</f>
        <v>0</v>
      </c>
      <c r="DI145" s="45" t="n">
        <f aca="false">Tasks[[#This Row],[_Res3Work]]*Tasks[[#This Row],[_LeafProgress]]</f>
        <v>0</v>
      </c>
      <c r="DJ145" s="45" t="n">
        <f aca="false">IF(Tasks[[#This Row],[_LeafTotalCost]]=0,0,Tasks[[#This Row],[_LeafAC]]*Tasks[[#This Row],[_Res3Cost]]/Tasks[[#This Row],[_LeafTotalCost]])</f>
        <v>0</v>
      </c>
      <c r="DK14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4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45" s="45" t="n">
        <f aca="false">IF(OR(NOT(Tasks[[#This Row],[_IsLeaf]]=1),Tasks[[#This Row],[_Res4]]=""),0,IF(ISNA(MATCH(Tasks[[#This Row],[_Res4]],res_Name,0)),0,N(Tasks[[#This Row],[Duration]])*HoursPerDay*IF(Tasks[[#This Row],[_Res4Units]]="",DefaultUnits,Tasks[[#This Row],[_Res4Units]])))</f>
        <v>0</v>
      </c>
      <c r="DN145" s="45" t="n">
        <f aca="false">IF(Tasks[[#This Row],[_Res4Work]]=0,0,Tasks[[#This Row],[_Res4Work]]*IFERROR(INDEX(res_Rate,MATCH(Tasks[[#This Row],[_Res4]],res_Name,0)),0))</f>
        <v>0</v>
      </c>
      <c r="DO145" s="45" t="n">
        <f aca="false">IF(AND(AND(Tasks[[#This Row],[_IsLeaf]]=1,Tasks[[#This Row],[_LeafTotalWork]]&gt;0),Tasks[[#This Row],[_Res4Work]]&gt;0),Tasks[[#This Row],[_Res4Work]]/(Tasks[[#This Row],[_FinishWorkday]]-Tasks[[#This Row],[_StartWorkday]]+1),0)</f>
        <v>0</v>
      </c>
      <c r="DP145" s="45" t="n">
        <f aca="false">Tasks[[#This Row],[_Res4WorkPerWD]]*MAX(0,Tasks[[#This Row],[_StartWorkday]]-1)</f>
        <v>0</v>
      </c>
      <c r="DQ145" s="45" t="n">
        <f aca="false">Tasks[[#This Row],[_Res4Work]]*Tasks[[#This Row],[_LeafProgress]]</f>
        <v>0</v>
      </c>
      <c r="DR145" s="45" t="n">
        <f aca="false">IF(Tasks[[#This Row],[_LeafTotalCost]]=0,0,Tasks[[#This Row],[_LeafAC]]*Tasks[[#This Row],[_Res4Cost]]/Tasks[[#This Row],[_LeafTotalCost]])</f>
        <v>0</v>
      </c>
      <c r="DS145" s="45" t="n">
        <f aca="false">IF(ISNUMBER(Tasks[[#This Row],[% Complete]]),Tasks[[#This Row],[% Complete]],IF(Tasks[[#This Row],[Stage]]="",0,IFERROR(INDEX(stg_Pct,MATCH(Tasks[[#This Row],[Stage]],stg_Name,0)),0)))</f>
        <v>0</v>
      </c>
      <c r="DT145" s="45" t="n">
        <f aca="false">IF(NOT(Tasks[[#This Row],[_IsLeaf]]=1),0,IF(N(Tasks[[#This Row],[Actual Finish]])&gt;0,1,MIN(1,Tasks[[#This Row],[_Pct]])))</f>
        <v>0</v>
      </c>
      <c r="DU145" s="45" t="n">
        <f aca="false">IF(OR(NOT(Tasks[[#This Row],[_IsLeaf]]=1),Tasks[[#This Row],[_Resource1]]=""),0,IF(ISNA(MATCH(Tasks[[#This Row],[_Resource1]],res_Name,0)),0,N(Tasks[[#This Row],[Duration]])*HoursPerDay*IF(Tasks[[#This Row],[_Units1]]="",DefaultUnits,Tasks[[#This Row],[_Units1]])))</f>
        <v>0</v>
      </c>
      <c r="DV145" s="45" t="n">
        <f aca="false">IF(Tasks[[#This Row],[_LeafWork]]=0,0,Tasks[[#This Row],[_LeafWork]]*IFERROR(INDEX(res_Rate,MATCH(Tasks[[#This Row],[_Resource1]],res_Name,0)),0))</f>
        <v>0</v>
      </c>
      <c r="DW145" s="45" t="n">
        <f aca="false">Tasks[[#This Row],[_LeafWork]]+Tasks[[#This Row],[_Res2Work]]+Tasks[[#This Row],[_Res3Work]]+Tasks[[#This Row],[_Res4Work]]</f>
        <v>0</v>
      </c>
      <c r="DX145" s="45" t="n">
        <f aca="false">Tasks[[#This Row],[_LeafCost]]+Tasks[[#This Row],[_Res2Cost]]+Tasks[[#This Row],[_Res3Cost]]+Tasks[[#This Row],[_Res4Cost]]</f>
        <v>0</v>
      </c>
      <c r="DY145" s="45" t="n">
        <f aca="false">IF(Tasks[[#This Row],[_LeafTotalCost]]=0,Tasks[[#This Row],[_LeafAC]],Tasks[[#This Row],[_LeafAC]]*Tasks[[#This Row],[_LeafCost]]/Tasks[[#This Row],[_LeafTotalCost]])</f>
        <v>0</v>
      </c>
      <c r="DZ14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4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4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4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4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4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4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4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45" s="45" t="n">
        <f aca="false">IF(NOT(Tasks[[#This Row],[_IsLeaf]]=1),0,MAX(_xlfn.MAXIFS(Tasks[_Row],Tasks[_Pred1UID],Tasks[[#This Row],[UID]]),_xlfn.MAXIFS(Tasks[_Row],Tasks[_Pred2UID],Tasks[[#This Row],[UID]]),_xlfn.MAXIFS(Tasks[_Row],Tasks[_Pred3UID],Tasks[[#This Row],[UID]]),_xlfn.MAXIFS(Tasks[_Row],Tasks[_Pred4UID],Tasks[[#This Row],[UID]])))</f>
        <v>0</v>
      </c>
      <c r="EI14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4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45" s="74" t="str">
        <f aca="false">IF(NOT(Tasks[[#This Row],[_IsLeaf]]=1),"",IF(N(Tasks[[#This Row],[Duration]])&lt;=0,Tasks[[#This Row],[_LeafLateFinish]],WORKDAY.INTL(Tasks[[#This Row],[_LeafLateFinish]],-(Tasks[[#This Row],[Duration]]-1),WorkWeek,Holidays)))</f>
        <v/>
      </c>
      <c r="EL14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45" s="73" t="b">
        <f aca="false">AND(Tasks[[#This Row],[_IsLeaf]]=1,Tasks[[#This Row],[_LeafProgress]]&lt;1,N(Tasks[[#This Row],[_LeafTotalSlack]])&lt;=CriticalSlackDays)</f>
        <v>0</v>
      </c>
      <c r="EN145" s="45" t="n">
        <f aca="false">IF(AND(Tasks[[#This Row],[_IsLeaf]]=1,Tasks[[#This Row],[_ConstraintCode]]=1,Tasks[[#This Row],[Mode]]&lt;&gt;"Manual",N(Tasks[[#This Row],[Actual Start]])=0),MAX(0,N(Tasks[[#This Row],[Free Slack]])),0)</f>
        <v>0</v>
      </c>
      <c r="EO145" s="74" t="str">
        <f aca="false">IF(NOT(Tasks[[#This Row],[_IsLeaf]]=1),"",IF(Tasks[[#This Row],[_AlapShift]]=0,Tasks[[#This Row],[_LeafCalcStart]],WORKDAY.INTL(Tasks[[#This Row],[_LeafCalcStart]],Tasks[[#This Row],[_AlapShift]],WorkWeek,Holidays)))</f>
        <v/>
      </c>
      <c r="EP145" s="74" t="str">
        <f aca="false">IF(NOT(Tasks[[#This Row],[_IsLeaf]]=1),"",IF(Tasks[[#This Row],[_AlapShift]]=0,Tasks[[#This Row],[_LeafCalcFinish]],WORKDAY.INTL(Tasks[[#This Row],[_LeafCalcFinish]],Tasks[[#This Row],[_AlapShift]],WorkWeek,Holidays)))</f>
        <v/>
      </c>
      <c r="EQ145" s="74" t="str">
        <f aca="false">IF(NOT(Tasks[[#This Row],[_IsLeaf]]=1),"",IF(Tasks[[#This Row],[_AlapShift]]=0,Tasks[[#This Row],[_LeafFcstStart]],WORKDAY.INTL(Tasks[[#This Row],[_LeafFcstStart]],Tasks[[#This Row],[_AlapShift]],WorkWeek,Holidays)))</f>
        <v/>
      </c>
      <c r="ER145" s="74" t="str">
        <f aca="false">IF(NOT(Tasks[[#This Row],[_IsLeaf]]=1),"",IF(Tasks[[#This Row],[_AlapShift]]=0,Tasks[[#This Row],[_LeafFcstFinish]],WORKDAY.INTL(Tasks[[#This Row],[_LeafFcstFinish]],Tasks[[#This Row],[_AlapShift]],WorkWeek,Holidays)))</f>
        <v/>
      </c>
      <c r="ES145" s="74" t="str">
        <f aca="false">IF(Tasks[[#This Row],[Task Name]]="","",IF(Tasks[[#This Row],[_IsSummary]],MIN(INDEX(Tasks[_ShownCalcStart],Tasks[[#This Row],[_Row]]+1):INDEX(Tasks[_ShownCalcStart],Tasks[[#This Row],[_Row]]+Tasks[[#This Row],[_Descendants]])),Tasks[[#This Row],[_ShownCalcStart]]))</f>
        <v/>
      </c>
      <c r="ET145" s="74" t="str">
        <f aca="false">IF(Tasks[[#This Row],[Task Name]]="","",IF(Tasks[[#This Row],[_IsSummary]],MAX(INDEX(Tasks[_ShownCalcFinish],Tasks[[#This Row],[_Row]]+1):INDEX(Tasks[_ShownCalcFinish],Tasks[[#This Row],[_Row]]+Tasks[[#This Row],[_Descendants]])),Tasks[[#This Row],[_ShownCalcFinish]]))</f>
        <v/>
      </c>
      <c r="EU14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4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4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4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4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4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4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4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4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4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4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4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45" s="45" t="n">
        <f aca="false">IF(AND(Tasks[[#This Row],[_IsLeaf]]=1,Tasks[[#This Row],[_LeafTotalWork]]&gt;0),NETWORKDAYS.INTL(ProjectStart,Tasks[[#This Row],[_ShownFcstStart]],WorkWeek,Holidays),0)</f>
        <v>0</v>
      </c>
      <c r="FH145" s="45" t="n">
        <f aca="false">IF(AND(Tasks[[#This Row],[_IsLeaf]]=1,Tasks[[#This Row],[_LeafTotalWork]]&gt;0),MAX(Tasks[[#This Row],[_StartWorkday]],NETWORKDAYS.INTL(ProjectStart,Tasks[[#This Row],[_ShownFcstFinish]],WorkWeek,Holidays)),0)</f>
        <v>0</v>
      </c>
      <c r="FI145" s="45" t="n">
        <f aca="false">IF(AND(Tasks[[#This Row],[_IsLeaf]]=1,Tasks[[#This Row],[_LeafTotalWork]]&gt;0),Tasks[[#This Row],[_LeafWork]]/(Tasks[[#This Row],[_FinishWorkday]]-Tasks[[#This Row],[_StartWorkday]]+1),0)</f>
        <v>0</v>
      </c>
      <c r="FJ145" s="45" t="n">
        <f aca="false">Tasks[[#This Row],[_WorkPerWorkday]]*(Tasks[[#This Row],[_StartWorkday]]-1)</f>
        <v>-0</v>
      </c>
      <c r="FK145" s="45" t="n">
        <f aca="false">IF(Tasks[[#This Row],[_IsLeaf]]=1,MAX(N(Tasks[[#This Row],[Duration]]),0.1),0)</f>
        <v>0</v>
      </c>
      <c r="FL145" s="45" t="n">
        <f aca="false">Tasks[[#This Row],[_WeightDur]]*Tasks[[#This Row],[_LeafProgress]]</f>
        <v>0</v>
      </c>
      <c r="FM14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45" s="45" t="str">
        <f aca="false">IF(AND(Tasks[[#This Row],[_IsLeaf]]=1,N(Tasks[[#This Row],[Duration]])=0,Tasks[[#This Row],[_LeafProgress]]&lt;1),Tasks[[#This Row],[_ShownFcstFinish]]+Tasks[[#This Row],[_Row]]/100000,"")</f>
        <v/>
      </c>
      <c r="FO14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45" s="45" t="n">
        <f aca="false">IF(NOT(Tasks[[#This Row],[_IsLeaf]]=1),0,IF(Tasks[[#This Row],[Baseline Cost]]="",Tasks[[#This Row],[_LeafTotalCost]],N(Tasks[[#This Row],[Baseline Cost]])))</f>
        <v>0</v>
      </c>
      <c r="FQ145" s="45" t="n">
        <f aca="false">Tasks[[#This Row],[_LeafBudget]]*Tasks[[#This Row],[_PlannedPct]]</f>
        <v>0</v>
      </c>
      <c r="FR145" s="45" t="n">
        <f aca="false">Tasks[[#This Row],[_LeafBudget]]*Tasks[[#This Row],[_LeafProgress]]</f>
        <v>0</v>
      </c>
      <c r="FS145" s="45" t="n">
        <f aca="false">IF(NOT(Tasks[[#This Row],[_IsLeaf]]=1),0,IF(Tasks[[#This Row],[Actual Cost]]="",Tasks[[#This Row],[_LeafTotalCost]]*Tasks[[#This Row],[_LeafProgress]],N(Tasks[[#This Row],[Actual Cost]])))</f>
        <v>0</v>
      </c>
      <c r="FT145" s="45" t="str">
        <f aca="false">IF(Tasks[[#This Row],[Task Name]]="","",LEFT(Tasks[[#This Row],[WBS]],FIND(".",Tasks[[#This Row],[WBS]]&amp;".")-1))</f>
        <v/>
      </c>
      <c r="FU145" s="45" t="str">
        <f aca="false">IF(AND(Tasks[[#This Row],[Task Name]]&lt;&gt;"",Tasks[[#This Row],[_Level]]=1),Tasks[[#This Row],[_Row]],"")</f>
        <v/>
      </c>
      <c r="FV145" s="45" t="str">
        <f aca="false">IF(AND(Tasks[[#This Row],[_IsLeaf]]=1,N(Tasks[[#This Row],[Duration]])=0),Tasks[[#This Row],[Planned Finish]]+Tasks[[#This Row],[_Row]]/100000,"")</f>
        <v/>
      </c>
      <c r="FW145" s="45" t="str">
        <f aca="false">IF(AND(Tasks[[#This Row],[_IsLeaf]]=1,Tasks[[#This Row],[_LeafProgress]]&lt;1,OR(N(Tasks[[#This Row],[Finish Var]])&gt;0,Tasks[[#This Row],[Status]]="Late Start")),MAX(0,Tasks[[#This Row],[Finish Var]])+1-Tasks[[#This Row],[_Row]]/1000000,"")</f>
        <v/>
      </c>
      <c r="FX145" s="45" t="str">
        <f aca="false">IF(AND(Tasks[[#This Row],[_IsLeaf]]=1,N(Tasks[[#This Row],[Actual Start]])=0,Tasks[[#This Row],[_ShownFcstStart]]&gt;=StatusDate,Tasks[[#This Row],[_ShownFcstStart]]&lt;=LookaheadEnd),Tasks[[#This Row],[_ShownFcstStart]]+Tasks[[#This Row],[_Row]]/100000,"")</f>
        <v/>
      </c>
      <c r="FY145" s="45" t="str">
        <f aca="false">IF(AND(Tasks[[#This Row],[_IsLeaf]]=1,Tasks[[#This Row],[_LeafProgress]]&lt;1,Tasks[[#This Row],[_ShownFcstFinish]]&gt;=StatusDate,Tasks[[#This Row],[_ShownFcstFinish]]&lt;=LookaheadEnd),Tasks[[#This Row],[_ShownFcstFinish]]+Tasks[[#This Row],[_Row]]/100000,"")</f>
        <v/>
      </c>
      <c r="FZ145" s="45" t="str">
        <f aca="false">IF(Tasks[[#This Row],[_LeafCritical]],Tasks[[#This Row],[_ShownFcstStart]]+Tasks[[#This Row],[_Row]]/100000,"")</f>
        <v/>
      </c>
      <c r="GA145" s="45" t="n">
        <f aca="false">Tasks[[#This Row],[_LeafWork]]*Tasks[[#This Row],[_LeafProgress]]</f>
        <v>0</v>
      </c>
      <c r="GB145" s="74" t="str">
        <f aca="false">IF(AND(Tasks[[#This Row],[_IsLeaf]]=1,Tasks[[#This Row],[_LeafProgress]]&gt;=1),IF(N(Tasks[[#This Row],[Actual Finish]])&gt;0,Tasks[[#This Row],[Actual Finish]],Tasks[[#This Row],[_ShownFcstFinish]]),"")</f>
        <v/>
      </c>
    </row>
    <row r="146" customFormat="false" ht="15" hidden="false" customHeight="false" outlineLevel="0" collapsed="false">
      <c r="A146" s="67" t="str">
        <f aca="false">IF(Tasks[[#This Row],[Task Name]]="","",COUNTA(Tasks[[#Headers],[Task Name]]:Tasks[[#This Row],[Task Name]])-1)</f>
        <v/>
      </c>
      <c r="B146" s="21" t="n">
        <v>141</v>
      </c>
      <c r="C14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21"/>
      <c r="E146" s="22"/>
      <c r="F146" s="21"/>
      <c r="G146" s="22"/>
      <c r="H146" s="22"/>
      <c r="I146" s="22"/>
      <c r="J146" s="7"/>
      <c r="K146" s="7"/>
      <c r="L146" s="22"/>
      <c r="M146" s="58" t="str">
        <f aca="false">IF(Tasks[[#This Row],[Task Name]]="","",IF(Tasks[[#This Row],[_IsSummary]],MIN(INDEX(Tasks[_ShownFcstStart],Tasks[[#This Row],[_Row]]+1):INDEX(Tasks[_ShownFcstStart],Tasks[[#This Row],[_Row]]+Tasks[[#This Row],[_Descendants]])),Tasks[[#This Row],[_ShownFcstStart]]))</f>
        <v/>
      </c>
      <c r="N146" s="58" t="str">
        <f aca="false">IF(Tasks[[#This Row],[Task Name]]="","",IF(Tasks[[#This Row],[_IsSummary]],MAX(INDEX(Tasks[_ShownFcstFinish],Tasks[[#This Row],[_Row]]+1):INDEX(Tasks[_ShownFcstFinish],Tasks[[#This Row],[_Row]]+Tasks[[#This Row],[_Descendants]])),Tasks[[#This Row],[_ShownFcstFinish]]))</f>
        <v/>
      </c>
      <c r="O146" s="20" t="str">
        <f aca="false">IF(Tasks[[#This Row],[Task Name]]="","",IF(Tasks[[#This Row],[Progress]]&gt;=1,"Complete",IF(OR(N(Tasks[[#This Row],[Actual Start]])&gt;0,Tasks[[#This Row],[Progress]]&gt;0),IF(Tasks[[#This Row],[Finish Var]]&gt;0,"Behind","In Progress"),IF(Tasks[[#This Row],[Planned Start]]&lt;StatusDate,"Late Start","Not Started"))))</f>
        <v/>
      </c>
      <c r="P146" s="20" t="str">
        <f aca="false">IF(Tasks[[#This Row],[Task Name]]="","",IF(IF(Tasks[[#This Row],[_IsSummary]],COUNTIF(INDEX(Tasks[_LeafCritical],Tasks[[#This Row],[_Row]]+1):INDEX(Tasks[_LeafCritical],Tasks[[#This Row],[_Row]]+Tasks[[#This Row],[_Descendants]]),TRUE())&gt;0,Tasks[[#This Row],[_LeafCritical]]),"Yes",""))</f>
        <v/>
      </c>
      <c r="Q14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46" s="67" t="str">
        <f aca="false">IF(Tasks[[#This Row],[Task Name]]="","",IF(Tasks[[#This Row],[_Level]]&lt;=OutlineShowLevel,"Yes","No"))</f>
        <v/>
      </c>
      <c r="S146" s="7"/>
      <c r="T146" s="21"/>
      <c r="U146" s="22"/>
      <c r="V146" s="7"/>
      <c r="W146" s="67" t="str">
        <f aca="false">IF(Tasks[[#This Row],[Task Name]]="","",IF(Tasks[[#This Row],[Finish]]&gt;=Tasks[[#This Row],[Planned Finish]],NETWORKDAYS.INTL(Tasks[[#This Row],[Planned Finish]],Tasks[[#This Row],[Finish]],WorkWeek,Holidays)-1,1-NETWORKDAYS.INTL(Tasks[[#This Row],[Finish]],Tasks[[#This Row],[Planned Finish]],WorkWeek,Holidays)))</f>
        <v/>
      </c>
      <c r="X146" s="58" t="str">
        <f aca="false">IF(Tasks[[#This Row],[Task Name]]="","",IF(N(Tasks[[#This Row],[Baseline Start]])&gt;0,Tasks[[#This Row],[Baseline Start]],Tasks[[#This Row],[_CalcStart]]))</f>
        <v/>
      </c>
      <c r="Y146" s="58" t="str">
        <f aca="false">IF(Tasks[[#This Row],[Task Name]]="","",IF(N(Tasks[[#This Row],[Baseline Finish]])&gt;0,Tasks[[#This Row],[Baseline Finish]],Tasks[[#This Row],[_CalcFinish]]))</f>
        <v/>
      </c>
      <c r="Z146" s="67" t="str">
        <f aca="false">IF(Tasks[[#This Row],[Task Name]]="","",IF(Tasks[[#This Row],[Start]]&gt;=Tasks[[#This Row],[Planned Start]],NETWORKDAYS.INTL(Tasks[[#This Row],[Planned Start]],Tasks[[#This Row],[Start]],WorkWeek,Holidays)-1,1-NETWORKDAYS.INTL(Tasks[[#This Row],[Start]],Tasks[[#This Row],[Planned Start]],WorkWeek,Holidays)))</f>
        <v/>
      </c>
      <c r="AA146" s="58" t="str">
        <f aca="false">IF(Tasks[[#This Row],[Task Name]]="","",IF(Tasks[[#This Row],[_IsSummary]],MIN(INDEX(Tasks[_LeafLateStart],Tasks[[#This Row],[_Row]]+1):INDEX(Tasks[_LeafLateStart],Tasks[[#This Row],[_Row]]+Tasks[[#This Row],[_Descendants]])),Tasks[[#This Row],[_LeafLateStart]]))</f>
        <v/>
      </c>
      <c r="AB146" s="58" t="str">
        <f aca="false">IF(Tasks[[#This Row],[Task Name]]="","",IF(Tasks[[#This Row],[_IsSummary]],MAX(INDEX(Tasks[_LeafLateFinish],Tasks[[#This Row],[_Row]]+1):INDEX(Tasks[_LeafLateFinish],Tasks[[#This Row],[_Row]]+Tasks[[#This Row],[_Descendants]])),Tasks[[#This Row],[_LeafLateFinish]]))</f>
        <v/>
      </c>
      <c r="AC146" s="67" t="str">
        <f aca="false">IF(Tasks[[#This Row],[Task Name]]="","",IF(Tasks[[#This Row],[_IsSummary]],MIN(INDEX(Tasks[_LeafTotalSlack],Tasks[[#This Row],[_Row]]+1):INDEX(Tasks[_LeafTotalSlack],Tasks[[#This Row],[_Row]]+Tasks[[#This Row],[_Descendants]])),Tasks[[#This Row],[_LeafTotalSlack]]))</f>
        <v/>
      </c>
      <c r="AD14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4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4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46" s="60"/>
      <c r="AH14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4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46" s="69" t="str">
        <f aca="false">IF(Tasks[[#This Row],[Task Name]]="","",IF(Tasks[[#This Row],[_IsSummary]],SUM(INDEX(Tasks[_LeafTotalWork],Tasks[[#This Row],[_Row]]+1):INDEX(Tasks[_LeafTotalWork],Tasks[[#This Row],[_Row]]+Tasks[[#This Row],[_Descendants]])),Tasks[[#This Row],[_LeafTotalWork]]))</f>
        <v/>
      </c>
      <c r="AK14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46" s="70" t="str">
        <f aca="false">IF(Tasks[[#This Row],[Task Name]]="","",IF(Tasks[[#This Row],[_IsSummary]],SUM(INDEX(Tasks[_LeafTotalCost],Tasks[[#This Row],[_Row]]+1):INDEX(Tasks[_LeafTotalCost],Tasks[[#This Row],[_Row]]+Tasks[[#This Row],[_Descendants]])),Tasks[[#This Row],[_LeafTotalCost]]))</f>
        <v/>
      </c>
      <c r="AM146" s="71"/>
      <c r="AN146" s="20" t="str">
        <f aca="false">IF(OR(Tasks[[#This Row],[Task Name]]="",Tasks[[#This Row],[Baseline Duration]]=""),"",Tasks[[#This Row],[BL Source Duration]]-N(Tasks[[#This Row],[Baseline Duration]]))</f>
        <v/>
      </c>
      <c r="AO146" s="69" t="str">
        <f aca="false">IF(OR(Tasks[[#This Row],[Task Name]]="",Tasks[[#This Row],[Baseline Work]]=""),"",Tasks[[#This Row],[Work]]-N(Tasks[[#This Row],[Baseline Work]]))</f>
        <v/>
      </c>
      <c r="AP146" s="70" t="str">
        <f aca="false">IF(OR(Tasks[[#This Row],[Task Name]]="",Tasks[[#This Row],[Baseline Cost]]=""),"",Tasks[[#This Row],[Cost]]-N(Tasks[[#This Row],[Baseline Cost]]))</f>
        <v/>
      </c>
      <c r="AQ146" s="58" t="str">
        <f aca="false">IF(Tasks[[#This Row],[Task Name]]="","",Tasks[[#This Row],[Start]])</f>
        <v/>
      </c>
      <c r="AR146" s="58" t="str">
        <f aca="false">IF(Tasks[[#This Row],[Task Name]]="","",Tasks[[#This Row],[Finish]])</f>
        <v/>
      </c>
      <c r="AS146" s="67" t="str">
        <f aca="false">IF(Tasks[[#This Row],[Task Name]]="","",IF(Tasks[[#This Row],[_IsSummary]],NETWORKDAYS.INTL(Tasks[[#This Row],[Start]],Tasks[[#This Row],[Finish]],WorkWeek,Holidays),N(Tasks[[#This Row],[Duration]])))</f>
        <v/>
      </c>
      <c r="AT146" s="69" t="str">
        <f aca="false">IF(Tasks[[#This Row],[Task Name]]="","",Tasks[[#This Row],[Work]])</f>
        <v/>
      </c>
      <c r="AU146" s="70" t="str">
        <f aca="false">IF(Tasks[[#This Row],[Task Name]]="","",Tasks[[#This Row],[Cost]])</f>
        <v/>
      </c>
      <c r="AV146" s="7"/>
      <c r="AW146" s="7"/>
      <c r="AX146" s="21"/>
      <c r="AY146" s="72"/>
      <c r="AZ146" s="71"/>
      <c r="BA146" s="70" t="str">
        <f aca="false">IF(Tasks[[#This Row],[Task Name]]="","",IF(Tasks[[#This Row],[_IsSummary]],SUM(INDEX(Tasks[_LeafEV],Tasks[[#This Row],[_Row]]+1):INDEX(Tasks[_LeafEV],Tasks[[#This Row],[_Row]]+Tasks[[#This Row],[_Descendants]])),Tasks[[#This Row],[_LeafEV]]))</f>
        <v/>
      </c>
      <c r="BB146" s="70" t="str">
        <f aca="false">IF(Tasks[[#This Row],[Task Name]]="","",IF(Tasks[[#This Row],[_IsSummary]],SUM(INDEX(Tasks[_LeafBudget],Tasks[[#This Row],[_Row]]+1):INDEX(Tasks[_LeafBudget],Tasks[[#This Row],[_Row]]+Tasks[[#This Row],[_Descendants]])),Tasks[[#This Row],[_LeafBudget]]))</f>
        <v/>
      </c>
      <c r="BC146" s="70" t="str">
        <f aca="false">IF(Tasks[[#This Row],[Task Name]]="","",IF(Tasks[[#This Row],[_IsSummary]],SUM(INDEX(Tasks[_LeafPV],Tasks[[#This Row],[_Row]]+1):INDEX(Tasks[_LeafPV],Tasks[[#This Row],[_Row]]+Tasks[[#This Row],[_Descendants]])),Tasks[[#This Row],[_LeafPV]]))</f>
        <v/>
      </c>
      <c r="BD146" s="70" t="str">
        <f aca="false">IF(Tasks[[#This Row],[Task Name]]="","",IF(Tasks[[#This Row],[_IsSummary]],SUM(INDEX(Tasks[_LeafAC],Tasks[[#This Row],[_Row]]+1):INDEX(Tasks[_LeafAC],Tasks[[#This Row],[_Row]]+Tasks[[#This Row],[_Descendants]])),Tasks[[#This Row],[_LeafAC]]))</f>
        <v/>
      </c>
      <c r="BE146" s="45" t="str">
        <f aca="false">IF(Tasks[[#This Row],[Task Name]]="","",MAX(1,N(Tasks[[#This Row],[Level]])))</f>
        <v/>
      </c>
      <c r="BF146" s="45" t="n">
        <f aca="false">ROW()-ROW(Tasks[[#Headers],[ID]])</f>
        <v>141</v>
      </c>
      <c r="BG146" s="45" t="n">
        <f aca="false">IF(OR(Tasks[[#This Row],[Task Name]]="",Tasks[[#This Row],[_Level]]&lt;=1),0,IFERROR(LOOKUP(2,1/(Tasks[[#Headers],[_Level]]:Tasks[[#This Row],[_Level]]=Tasks[[#This Row],[_Level]]-1),ROW(Tasks[[#Headers],[_Level]]:Tasks[[#This Row],[_Level]])),0))</f>
        <v>0</v>
      </c>
      <c r="BH146" s="45" t="n">
        <f aca="false">IFERROR(N(INDEX(Tasks[_Level],Tasks[[#This Row],[_Row]]+1)),0)</f>
        <v>0</v>
      </c>
      <c r="BI146" s="73" t="b">
        <f aca="false">AND(Tasks[[#This Row],[Task Name]]&lt;&gt;"",Tasks[[#This Row],[_NextLevel]]&gt;Tasks[[#This Row],[_Level]])</f>
        <v>0</v>
      </c>
      <c r="BJ146" s="45" t="n">
        <f aca="false">IF(Tasks[[#This Row],[_IsSummary]],COUNTIF(Tasks[WBS],Tasks[[#This Row],[WBS]]&amp;".*"),0)</f>
        <v>0</v>
      </c>
      <c r="BK146" s="45" t="n">
        <f aca="false">IF(AND(Tasks[[#This Row],[Task Name]]&lt;&gt;"",NOT(Tasks[[#This Row],[_IsSummary]])),1,0)</f>
        <v>0</v>
      </c>
      <c r="BL146" s="45" t="n">
        <f aca="false">IF(N(Tasks[[#This Row],[_Pred1UID]])=0,0,IFERROR(MATCH(Tasks[[#This Row],[_Pred1UID]],Tasks[UID],0),-1))</f>
        <v>0</v>
      </c>
      <c r="BM146" s="45" t="n">
        <f aca="false">IF(N(Tasks[[#This Row],[_Pred2UID]])=0,0,IFERROR(MATCH(Tasks[[#This Row],[_Pred2UID]],Tasks[UID],0),-1))</f>
        <v>0</v>
      </c>
      <c r="BN146" s="45" t="n">
        <f aca="false">IF(N(Tasks[[#This Row],[_Pred3UID]])=0,0,IFERROR(MATCH(Tasks[[#This Row],[_Pred3UID]],Tasks[UID],0),-1))</f>
        <v>0</v>
      </c>
      <c r="BO146" s="45" t="n">
        <f aca="false">IF(N(Tasks[[#This Row],[_Pred4UID]])=0,0,IFERROR(MATCH(Tasks[[#This Row],[_Pred4UID]],Tasks[UID],0),-1))</f>
        <v>0</v>
      </c>
      <c r="BP14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4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46" s="74" t="n">
        <f aca="false">IF(OR(Tasks[[#This Row],[_ConstraintCode]]=2,Tasks[[#This Row],[_ConstraintCode]]=3,Tasks[[#This Row],[_ConstraintCode]]=4,Tasks[[#This Row],[_ConstraintCode]]=6),Tasks[[#This Row],[_ConstraintStart]],0)</f>
        <v>0</v>
      </c>
      <c r="BS146" s="74" t="n">
        <f aca="false">IF(OR(Tasks[[#This Row],[_ConstraintCode]]=2,Tasks[[#This Row],[_ConstraintCode]]=3,Tasks[[#This Row],[_ConstraintCode]]=5,Tasks[[#This Row],[_ConstraintCode]]=7),Tasks[[#This Row],[_ConstraintStart]],2958465)</f>
        <v>2958465</v>
      </c>
      <c r="BT14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46" s="74" t="str">
        <f aca="false">IF(NOT(Tasks[[#This Row],[_IsLeaf]]=1),"",IF(N(Tasks[[#This Row],[Duration]])&lt;=0,Tasks[[#This Row],[_LeafCalcStart]],WORKDAY.INTL(Tasks[[#This Row],[_LeafCalcStart]],Tasks[[#This Row],[Duration]]-1,WorkWeek,Holidays)))</f>
        <v/>
      </c>
      <c r="BV14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4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46" s="45" t="str">
        <f aca="false">IF(Tasks[[#This Row],[Predecessors]]="","",TRIM(MID(SUBSTITUTE(SUBSTITUTE(SUBSTITUTE(UPPER(Tasks[[#This Row],[Predecessors]]),";",",")," ",""),",",REPT(" ",99)),1,99)))</f>
        <v/>
      </c>
      <c r="BY146" s="45" t="str">
        <f aca="false">IF(Tasks[[#This Row],[_Pred1Text]]="","",IFERROR(VALUE(LEFT(Tasks[[#This Row],[_Pred1Text]],MIN(FIND("F",Tasks[[#This Row],[_Pred1Text]]&amp;"F"),FIND("S",Tasks[[#This Row],[_Pred1Text]]&amp;"S"),FIND("+",Tasks[[#This Row],[_Pred1Text]]&amp;"+"),FIND("-",Tasks[[#This Row],[_Pred1Text]]&amp;"-"))-1)),""))</f>
        <v/>
      </c>
      <c r="BZ14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4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46" s="45" t="str">
        <f aca="false">IF(Tasks[[#This Row],[_Pred1Text]]="","",TRIM(MID(SUBSTITUTE(SUBSTITUTE(SUBSTITUTE(UPPER(Tasks[[#This Row],[Predecessors]]),";",",")," ",""),",",REPT(" ",99)),100,99)))</f>
        <v/>
      </c>
      <c r="CC146" s="45" t="str">
        <f aca="false">IF(Tasks[[#This Row],[_Pred2Text]]="","",IFERROR(VALUE(LEFT(Tasks[[#This Row],[_Pred2Text]],MIN(FIND("F",Tasks[[#This Row],[_Pred2Text]]&amp;"F"),FIND("S",Tasks[[#This Row],[_Pred2Text]]&amp;"S"),FIND("+",Tasks[[#This Row],[_Pred2Text]]&amp;"+"),FIND("-",Tasks[[#This Row],[_Pred2Text]]&amp;"-"))-1)),""))</f>
        <v/>
      </c>
      <c r="CD14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4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46" s="45" t="str">
        <f aca="false">IF(Tasks[[#This Row],[_Pred2Text]]="","",TRIM(MID(SUBSTITUTE(SUBSTITUTE(SUBSTITUTE(UPPER(Tasks[[#This Row],[Predecessors]]),";",",")," ",""),",",REPT(" ",99)),199,99)))</f>
        <v/>
      </c>
      <c r="CG146" s="45" t="str">
        <f aca="false">IF(Tasks[[#This Row],[_Pred3Text]]="","",IFERROR(VALUE(LEFT(Tasks[[#This Row],[_Pred3Text]],MIN(FIND("F",Tasks[[#This Row],[_Pred3Text]]&amp;"F"),FIND("S",Tasks[[#This Row],[_Pred3Text]]&amp;"S"),FIND("+",Tasks[[#This Row],[_Pred3Text]]&amp;"+"),FIND("-",Tasks[[#This Row],[_Pred3Text]]&amp;"-"))-1)),""))</f>
        <v/>
      </c>
      <c r="CH14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4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46" s="45" t="str">
        <f aca="false">IF(Tasks[[#This Row],[_Pred3Text]]="","",TRIM(MID(SUBSTITUTE(SUBSTITUTE(SUBSTITUTE(UPPER(Tasks[[#This Row],[Predecessors]]),";",",")," ",""),",",REPT(" ",99)),298,99)))</f>
        <v/>
      </c>
      <c r="CK146" s="45" t="str">
        <f aca="false">IF(Tasks[[#This Row],[_Pred4Text]]="","",IFERROR(VALUE(LEFT(Tasks[[#This Row],[_Pred4Text]],MIN(FIND("F",Tasks[[#This Row],[_Pred4Text]]&amp;"F"),FIND("S",Tasks[[#This Row],[_Pred4Text]]&amp;"S"),FIND("+",Tasks[[#This Row],[_Pred4Text]]&amp;"+"),FIND("-",Tasks[[#This Row],[_Pred4Text]]&amp;"-"))-1)),""))</f>
        <v/>
      </c>
      <c r="CL14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4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46" s="45" t="str">
        <f aca="false">IF(OR(Tasks[[#This Row],[Task Name]]="",Tasks[[#This Row],[Resources]]=""),"",TRIM(MID(SUBSTITUTE(Tasks[[#This Row],[Resources]],",",REPT(" ",99)),1,99)))</f>
        <v/>
      </c>
      <c r="CO146" s="45" t="str">
        <f aca="false">IF(Tasks[[#This Row],[_Res1Text]]="","",TRIM(MID(SUBSTITUTE(Tasks[[#This Row],[Resources]],",",REPT(" ",99)),100,99)))</f>
        <v/>
      </c>
      <c r="CP146" s="45" t="str">
        <f aca="false">IF(Tasks[[#This Row],[_Res2Text]]="","",TRIM(MID(SUBSTITUTE(Tasks[[#This Row],[Resources]],",",REPT(" ",99)),199,99)))</f>
        <v/>
      </c>
      <c r="CQ146" s="45" t="str">
        <f aca="false">IF(Tasks[[#This Row],[_Res3Text]]="","",TRIM(MID(SUBSTITUTE(Tasks[[#This Row],[Resources]],",",REPT(" ",99)),298,99)))</f>
        <v/>
      </c>
      <c r="CR14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4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6" s="45" t="n">
        <f aca="false">IF(NOT(Tasks[[#This Row],[_IsLeaf]]=1),0,(Tasks[[#This Row],[_Resource1]]&lt;&gt;"")+(Tasks[[#This Row],[_Res2]]&lt;&gt;"")+(Tasks[[#This Row],[_Res3]]&lt;&gt;"")+(Tasks[[#This Row],[_Res4]]&lt;&gt;""))</f>
        <v>0</v>
      </c>
      <c r="CU14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4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6" s="45" t="n">
        <f aca="false">IF(OR(NOT(Tasks[[#This Row],[_IsLeaf]]=1),Tasks[[#This Row],[_Res2]]=""),0,IF(ISNA(MATCH(Tasks[[#This Row],[_Res2]],res_Name,0)),0,N(Tasks[[#This Row],[Duration]])*HoursPerDay*IF(Tasks[[#This Row],[_Res2Units]]="",DefaultUnits,Tasks[[#This Row],[_Res2Units]])))</f>
        <v>0</v>
      </c>
      <c r="CX146" s="45" t="n">
        <f aca="false">IF(Tasks[[#This Row],[_Res2Work]]=0,0,Tasks[[#This Row],[_Res2Work]]*IFERROR(INDEX(res_Rate,MATCH(Tasks[[#This Row],[_Res2]],res_Name,0)),0))</f>
        <v>0</v>
      </c>
      <c r="CY146" s="45" t="n">
        <f aca="false">IF(AND(AND(Tasks[[#This Row],[_IsLeaf]]=1,Tasks[[#This Row],[_LeafTotalWork]]&gt;0),Tasks[[#This Row],[_Res2Work]]&gt;0),Tasks[[#This Row],[_Res2Work]]/(Tasks[[#This Row],[_FinishWorkday]]-Tasks[[#This Row],[_StartWorkday]]+1),0)</f>
        <v>0</v>
      </c>
      <c r="CZ146" s="45" t="n">
        <f aca="false">Tasks[[#This Row],[_Res2WorkPerWD]]*MAX(0,Tasks[[#This Row],[_StartWorkday]]-1)</f>
        <v>0</v>
      </c>
      <c r="DA146" s="45" t="n">
        <f aca="false">Tasks[[#This Row],[_Res2Work]]*Tasks[[#This Row],[_LeafProgress]]</f>
        <v>0</v>
      </c>
      <c r="DB146" s="45" t="n">
        <f aca="false">IF(Tasks[[#This Row],[_LeafTotalCost]]=0,0,Tasks[[#This Row],[_LeafAC]]*Tasks[[#This Row],[_Res2Cost]]/Tasks[[#This Row],[_LeafTotalCost]])</f>
        <v>0</v>
      </c>
      <c r="DC14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4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46" s="45" t="n">
        <f aca="false">IF(OR(NOT(Tasks[[#This Row],[_IsLeaf]]=1),Tasks[[#This Row],[_Res3]]=""),0,IF(ISNA(MATCH(Tasks[[#This Row],[_Res3]],res_Name,0)),0,N(Tasks[[#This Row],[Duration]])*HoursPerDay*IF(Tasks[[#This Row],[_Res3Units]]="",DefaultUnits,Tasks[[#This Row],[_Res3Units]])))</f>
        <v>0</v>
      </c>
      <c r="DF146" s="45" t="n">
        <f aca="false">IF(Tasks[[#This Row],[_Res3Work]]=0,0,Tasks[[#This Row],[_Res3Work]]*IFERROR(INDEX(res_Rate,MATCH(Tasks[[#This Row],[_Res3]],res_Name,0)),0))</f>
        <v>0</v>
      </c>
      <c r="DG146" s="45" t="n">
        <f aca="false">IF(AND(AND(Tasks[[#This Row],[_IsLeaf]]=1,Tasks[[#This Row],[_LeafTotalWork]]&gt;0),Tasks[[#This Row],[_Res3Work]]&gt;0),Tasks[[#This Row],[_Res3Work]]/(Tasks[[#This Row],[_FinishWorkday]]-Tasks[[#This Row],[_StartWorkday]]+1),0)</f>
        <v>0</v>
      </c>
      <c r="DH146" s="45" t="n">
        <f aca="false">Tasks[[#This Row],[_Res3WorkPerWD]]*MAX(0,Tasks[[#This Row],[_StartWorkday]]-1)</f>
        <v>0</v>
      </c>
      <c r="DI146" s="45" t="n">
        <f aca="false">Tasks[[#This Row],[_Res3Work]]*Tasks[[#This Row],[_LeafProgress]]</f>
        <v>0</v>
      </c>
      <c r="DJ146" s="45" t="n">
        <f aca="false">IF(Tasks[[#This Row],[_LeafTotalCost]]=0,0,Tasks[[#This Row],[_LeafAC]]*Tasks[[#This Row],[_Res3Cost]]/Tasks[[#This Row],[_LeafTotalCost]])</f>
        <v>0</v>
      </c>
      <c r="DK14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4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46" s="45" t="n">
        <f aca="false">IF(OR(NOT(Tasks[[#This Row],[_IsLeaf]]=1),Tasks[[#This Row],[_Res4]]=""),0,IF(ISNA(MATCH(Tasks[[#This Row],[_Res4]],res_Name,0)),0,N(Tasks[[#This Row],[Duration]])*HoursPerDay*IF(Tasks[[#This Row],[_Res4Units]]="",DefaultUnits,Tasks[[#This Row],[_Res4Units]])))</f>
        <v>0</v>
      </c>
      <c r="DN146" s="45" t="n">
        <f aca="false">IF(Tasks[[#This Row],[_Res4Work]]=0,0,Tasks[[#This Row],[_Res4Work]]*IFERROR(INDEX(res_Rate,MATCH(Tasks[[#This Row],[_Res4]],res_Name,0)),0))</f>
        <v>0</v>
      </c>
      <c r="DO146" s="45" t="n">
        <f aca="false">IF(AND(AND(Tasks[[#This Row],[_IsLeaf]]=1,Tasks[[#This Row],[_LeafTotalWork]]&gt;0),Tasks[[#This Row],[_Res4Work]]&gt;0),Tasks[[#This Row],[_Res4Work]]/(Tasks[[#This Row],[_FinishWorkday]]-Tasks[[#This Row],[_StartWorkday]]+1),0)</f>
        <v>0</v>
      </c>
      <c r="DP146" s="45" t="n">
        <f aca="false">Tasks[[#This Row],[_Res4WorkPerWD]]*MAX(0,Tasks[[#This Row],[_StartWorkday]]-1)</f>
        <v>0</v>
      </c>
      <c r="DQ146" s="45" t="n">
        <f aca="false">Tasks[[#This Row],[_Res4Work]]*Tasks[[#This Row],[_LeafProgress]]</f>
        <v>0</v>
      </c>
      <c r="DR146" s="45" t="n">
        <f aca="false">IF(Tasks[[#This Row],[_LeafTotalCost]]=0,0,Tasks[[#This Row],[_LeafAC]]*Tasks[[#This Row],[_Res4Cost]]/Tasks[[#This Row],[_LeafTotalCost]])</f>
        <v>0</v>
      </c>
      <c r="DS146" s="45" t="n">
        <f aca="false">IF(ISNUMBER(Tasks[[#This Row],[% Complete]]),Tasks[[#This Row],[% Complete]],IF(Tasks[[#This Row],[Stage]]="",0,IFERROR(INDEX(stg_Pct,MATCH(Tasks[[#This Row],[Stage]],stg_Name,0)),0)))</f>
        <v>0</v>
      </c>
      <c r="DT146" s="45" t="n">
        <f aca="false">IF(NOT(Tasks[[#This Row],[_IsLeaf]]=1),0,IF(N(Tasks[[#This Row],[Actual Finish]])&gt;0,1,MIN(1,Tasks[[#This Row],[_Pct]])))</f>
        <v>0</v>
      </c>
      <c r="DU146" s="45" t="n">
        <f aca="false">IF(OR(NOT(Tasks[[#This Row],[_IsLeaf]]=1),Tasks[[#This Row],[_Resource1]]=""),0,IF(ISNA(MATCH(Tasks[[#This Row],[_Resource1]],res_Name,0)),0,N(Tasks[[#This Row],[Duration]])*HoursPerDay*IF(Tasks[[#This Row],[_Units1]]="",DefaultUnits,Tasks[[#This Row],[_Units1]])))</f>
        <v>0</v>
      </c>
      <c r="DV146" s="45" t="n">
        <f aca="false">IF(Tasks[[#This Row],[_LeafWork]]=0,0,Tasks[[#This Row],[_LeafWork]]*IFERROR(INDEX(res_Rate,MATCH(Tasks[[#This Row],[_Resource1]],res_Name,0)),0))</f>
        <v>0</v>
      </c>
      <c r="DW146" s="45" t="n">
        <f aca="false">Tasks[[#This Row],[_LeafWork]]+Tasks[[#This Row],[_Res2Work]]+Tasks[[#This Row],[_Res3Work]]+Tasks[[#This Row],[_Res4Work]]</f>
        <v>0</v>
      </c>
      <c r="DX146" s="45" t="n">
        <f aca="false">Tasks[[#This Row],[_LeafCost]]+Tasks[[#This Row],[_Res2Cost]]+Tasks[[#This Row],[_Res3Cost]]+Tasks[[#This Row],[_Res4Cost]]</f>
        <v>0</v>
      </c>
      <c r="DY146" s="45" t="n">
        <f aca="false">IF(Tasks[[#This Row],[_LeafTotalCost]]=0,Tasks[[#This Row],[_LeafAC]],Tasks[[#This Row],[_LeafAC]]*Tasks[[#This Row],[_LeafCost]]/Tasks[[#This Row],[_LeafTotalCost]])</f>
        <v>0</v>
      </c>
      <c r="DZ14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4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4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4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4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4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4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4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46" s="45" t="n">
        <f aca="false">IF(NOT(Tasks[[#This Row],[_IsLeaf]]=1),0,MAX(_xlfn.MAXIFS(Tasks[_Row],Tasks[_Pred1UID],Tasks[[#This Row],[UID]]),_xlfn.MAXIFS(Tasks[_Row],Tasks[_Pred2UID],Tasks[[#This Row],[UID]]),_xlfn.MAXIFS(Tasks[_Row],Tasks[_Pred3UID],Tasks[[#This Row],[UID]]),_xlfn.MAXIFS(Tasks[_Row],Tasks[_Pred4UID],Tasks[[#This Row],[UID]])))</f>
        <v>0</v>
      </c>
      <c r="EI14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4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46" s="74" t="str">
        <f aca="false">IF(NOT(Tasks[[#This Row],[_IsLeaf]]=1),"",IF(N(Tasks[[#This Row],[Duration]])&lt;=0,Tasks[[#This Row],[_LeafLateFinish]],WORKDAY.INTL(Tasks[[#This Row],[_LeafLateFinish]],-(Tasks[[#This Row],[Duration]]-1),WorkWeek,Holidays)))</f>
        <v/>
      </c>
      <c r="EL14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46" s="73" t="b">
        <f aca="false">AND(Tasks[[#This Row],[_IsLeaf]]=1,Tasks[[#This Row],[_LeafProgress]]&lt;1,N(Tasks[[#This Row],[_LeafTotalSlack]])&lt;=CriticalSlackDays)</f>
        <v>0</v>
      </c>
      <c r="EN146" s="45" t="n">
        <f aca="false">IF(AND(Tasks[[#This Row],[_IsLeaf]]=1,Tasks[[#This Row],[_ConstraintCode]]=1,Tasks[[#This Row],[Mode]]&lt;&gt;"Manual",N(Tasks[[#This Row],[Actual Start]])=0),MAX(0,N(Tasks[[#This Row],[Free Slack]])),0)</f>
        <v>0</v>
      </c>
      <c r="EO146" s="74" t="str">
        <f aca="false">IF(NOT(Tasks[[#This Row],[_IsLeaf]]=1),"",IF(Tasks[[#This Row],[_AlapShift]]=0,Tasks[[#This Row],[_LeafCalcStart]],WORKDAY.INTL(Tasks[[#This Row],[_LeafCalcStart]],Tasks[[#This Row],[_AlapShift]],WorkWeek,Holidays)))</f>
        <v/>
      </c>
      <c r="EP146" s="74" t="str">
        <f aca="false">IF(NOT(Tasks[[#This Row],[_IsLeaf]]=1),"",IF(Tasks[[#This Row],[_AlapShift]]=0,Tasks[[#This Row],[_LeafCalcFinish]],WORKDAY.INTL(Tasks[[#This Row],[_LeafCalcFinish]],Tasks[[#This Row],[_AlapShift]],WorkWeek,Holidays)))</f>
        <v/>
      </c>
      <c r="EQ146" s="74" t="str">
        <f aca="false">IF(NOT(Tasks[[#This Row],[_IsLeaf]]=1),"",IF(Tasks[[#This Row],[_AlapShift]]=0,Tasks[[#This Row],[_LeafFcstStart]],WORKDAY.INTL(Tasks[[#This Row],[_LeafFcstStart]],Tasks[[#This Row],[_AlapShift]],WorkWeek,Holidays)))</f>
        <v/>
      </c>
      <c r="ER146" s="74" t="str">
        <f aca="false">IF(NOT(Tasks[[#This Row],[_IsLeaf]]=1),"",IF(Tasks[[#This Row],[_AlapShift]]=0,Tasks[[#This Row],[_LeafFcstFinish]],WORKDAY.INTL(Tasks[[#This Row],[_LeafFcstFinish]],Tasks[[#This Row],[_AlapShift]],WorkWeek,Holidays)))</f>
        <v/>
      </c>
      <c r="ES146" s="74" t="str">
        <f aca="false">IF(Tasks[[#This Row],[Task Name]]="","",IF(Tasks[[#This Row],[_IsSummary]],MIN(INDEX(Tasks[_ShownCalcStart],Tasks[[#This Row],[_Row]]+1):INDEX(Tasks[_ShownCalcStart],Tasks[[#This Row],[_Row]]+Tasks[[#This Row],[_Descendants]])),Tasks[[#This Row],[_ShownCalcStart]]))</f>
        <v/>
      </c>
      <c r="ET146" s="74" t="str">
        <f aca="false">IF(Tasks[[#This Row],[Task Name]]="","",IF(Tasks[[#This Row],[_IsSummary]],MAX(INDEX(Tasks[_ShownCalcFinish],Tasks[[#This Row],[_Row]]+1):INDEX(Tasks[_ShownCalcFinish],Tasks[[#This Row],[_Row]]+Tasks[[#This Row],[_Descendants]])),Tasks[[#This Row],[_ShownCalcFinish]]))</f>
        <v/>
      </c>
      <c r="EU14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4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4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4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4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4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4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4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4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4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4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4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46" s="45" t="n">
        <f aca="false">IF(AND(Tasks[[#This Row],[_IsLeaf]]=1,Tasks[[#This Row],[_LeafTotalWork]]&gt;0),NETWORKDAYS.INTL(ProjectStart,Tasks[[#This Row],[_ShownFcstStart]],WorkWeek,Holidays),0)</f>
        <v>0</v>
      </c>
      <c r="FH146" s="45" t="n">
        <f aca="false">IF(AND(Tasks[[#This Row],[_IsLeaf]]=1,Tasks[[#This Row],[_LeafTotalWork]]&gt;0),MAX(Tasks[[#This Row],[_StartWorkday]],NETWORKDAYS.INTL(ProjectStart,Tasks[[#This Row],[_ShownFcstFinish]],WorkWeek,Holidays)),0)</f>
        <v>0</v>
      </c>
      <c r="FI146" s="45" t="n">
        <f aca="false">IF(AND(Tasks[[#This Row],[_IsLeaf]]=1,Tasks[[#This Row],[_LeafTotalWork]]&gt;0),Tasks[[#This Row],[_LeafWork]]/(Tasks[[#This Row],[_FinishWorkday]]-Tasks[[#This Row],[_StartWorkday]]+1),0)</f>
        <v>0</v>
      </c>
      <c r="FJ146" s="45" t="n">
        <f aca="false">Tasks[[#This Row],[_WorkPerWorkday]]*(Tasks[[#This Row],[_StartWorkday]]-1)</f>
        <v>-0</v>
      </c>
      <c r="FK146" s="45" t="n">
        <f aca="false">IF(Tasks[[#This Row],[_IsLeaf]]=1,MAX(N(Tasks[[#This Row],[Duration]]),0.1),0)</f>
        <v>0</v>
      </c>
      <c r="FL146" s="45" t="n">
        <f aca="false">Tasks[[#This Row],[_WeightDur]]*Tasks[[#This Row],[_LeafProgress]]</f>
        <v>0</v>
      </c>
      <c r="FM14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46" s="45" t="str">
        <f aca="false">IF(AND(Tasks[[#This Row],[_IsLeaf]]=1,N(Tasks[[#This Row],[Duration]])=0,Tasks[[#This Row],[_LeafProgress]]&lt;1),Tasks[[#This Row],[_ShownFcstFinish]]+Tasks[[#This Row],[_Row]]/100000,"")</f>
        <v/>
      </c>
      <c r="FO14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46" s="45" t="n">
        <f aca="false">IF(NOT(Tasks[[#This Row],[_IsLeaf]]=1),0,IF(Tasks[[#This Row],[Baseline Cost]]="",Tasks[[#This Row],[_LeafTotalCost]],N(Tasks[[#This Row],[Baseline Cost]])))</f>
        <v>0</v>
      </c>
      <c r="FQ146" s="45" t="n">
        <f aca="false">Tasks[[#This Row],[_LeafBudget]]*Tasks[[#This Row],[_PlannedPct]]</f>
        <v>0</v>
      </c>
      <c r="FR146" s="45" t="n">
        <f aca="false">Tasks[[#This Row],[_LeafBudget]]*Tasks[[#This Row],[_LeafProgress]]</f>
        <v>0</v>
      </c>
      <c r="FS146" s="45" t="n">
        <f aca="false">IF(NOT(Tasks[[#This Row],[_IsLeaf]]=1),0,IF(Tasks[[#This Row],[Actual Cost]]="",Tasks[[#This Row],[_LeafTotalCost]]*Tasks[[#This Row],[_LeafProgress]],N(Tasks[[#This Row],[Actual Cost]])))</f>
        <v>0</v>
      </c>
      <c r="FT146" s="45" t="str">
        <f aca="false">IF(Tasks[[#This Row],[Task Name]]="","",LEFT(Tasks[[#This Row],[WBS]],FIND(".",Tasks[[#This Row],[WBS]]&amp;".")-1))</f>
        <v/>
      </c>
      <c r="FU146" s="45" t="str">
        <f aca="false">IF(AND(Tasks[[#This Row],[Task Name]]&lt;&gt;"",Tasks[[#This Row],[_Level]]=1),Tasks[[#This Row],[_Row]],"")</f>
        <v/>
      </c>
      <c r="FV146" s="45" t="str">
        <f aca="false">IF(AND(Tasks[[#This Row],[_IsLeaf]]=1,N(Tasks[[#This Row],[Duration]])=0),Tasks[[#This Row],[Planned Finish]]+Tasks[[#This Row],[_Row]]/100000,"")</f>
        <v/>
      </c>
      <c r="FW146" s="45" t="str">
        <f aca="false">IF(AND(Tasks[[#This Row],[_IsLeaf]]=1,Tasks[[#This Row],[_LeafProgress]]&lt;1,OR(N(Tasks[[#This Row],[Finish Var]])&gt;0,Tasks[[#This Row],[Status]]="Late Start")),MAX(0,Tasks[[#This Row],[Finish Var]])+1-Tasks[[#This Row],[_Row]]/1000000,"")</f>
        <v/>
      </c>
      <c r="FX146" s="45" t="str">
        <f aca="false">IF(AND(Tasks[[#This Row],[_IsLeaf]]=1,N(Tasks[[#This Row],[Actual Start]])=0,Tasks[[#This Row],[_ShownFcstStart]]&gt;=StatusDate,Tasks[[#This Row],[_ShownFcstStart]]&lt;=LookaheadEnd),Tasks[[#This Row],[_ShownFcstStart]]+Tasks[[#This Row],[_Row]]/100000,"")</f>
        <v/>
      </c>
      <c r="FY146" s="45" t="str">
        <f aca="false">IF(AND(Tasks[[#This Row],[_IsLeaf]]=1,Tasks[[#This Row],[_LeafProgress]]&lt;1,Tasks[[#This Row],[_ShownFcstFinish]]&gt;=StatusDate,Tasks[[#This Row],[_ShownFcstFinish]]&lt;=LookaheadEnd),Tasks[[#This Row],[_ShownFcstFinish]]+Tasks[[#This Row],[_Row]]/100000,"")</f>
        <v/>
      </c>
      <c r="FZ146" s="45" t="str">
        <f aca="false">IF(Tasks[[#This Row],[_LeafCritical]],Tasks[[#This Row],[_ShownFcstStart]]+Tasks[[#This Row],[_Row]]/100000,"")</f>
        <v/>
      </c>
      <c r="GA146" s="45" t="n">
        <f aca="false">Tasks[[#This Row],[_LeafWork]]*Tasks[[#This Row],[_LeafProgress]]</f>
        <v>0</v>
      </c>
      <c r="GB146" s="74" t="str">
        <f aca="false">IF(AND(Tasks[[#This Row],[_IsLeaf]]=1,Tasks[[#This Row],[_LeafProgress]]&gt;=1),IF(N(Tasks[[#This Row],[Actual Finish]])&gt;0,Tasks[[#This Row],[Actual Finish]],Tasks[[#This Row],[_ShownFcstFinish]]),"")</f>
        <v/>
      </c>
    </row>
    <row r="147" customFormat="false" ht="15" hidden="false" customHeight="false" outlineLevel="0" collapsed="false">
      <c r="A147" s="67" t="str">
        <f aca="false">IF(Tasks[[#This Row],[Task Name]]="","",COUNTA(Tasks[[#Headers],[Task Name]]:Tasks[[#This Row],[Task Name]])-1)</f>
        <v/>
      </c>
      <c r="B147" s="21" t="n">
        <v>142</v>
      </c>
      <c r="C14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21"/>
      <c r="E147" s="22"/>
      <c r="F147" s="21"/>
      <c r="G147" s="22"/>
      <c r="H147" s="22"/>
      <c r="I147" s="22"/>
      <c r="J147" s="7"/>
      <c r="K147" s="7"/>
      <c r="L147" s="22"/>
      <c r="M147" s="58" t="str">
        <f aca="false">IF(Tasks[[#This Row],[Task Name]]="","",IF(Tasks[[#This Row],[_IsSummary]],MIN(INDEX(Tasks[_ShownFcstStart],Tasks[[#This Row],[_Row]]+1):INDEX(Tasks[_ShownFcstStart],Tasks[[#This Row],[_Row]]+Tasks[[#This Row],[_Descendants]])),Tasks[[#This Row],[_ShownFcstStart]]))</f>
        <v/>
      </c>
      <c r="N147" s="58" t="str">
        <f aca="false">IF(Tasks[[#This Row],[Task Name]]="","",IF(Tasks[[#This Row],[_IsSummary]],MAX(INDEX(Tasks[_ShownFcstFinish],Tasks[[#This Row],[_Row]]+1):INDEX(Tasks[_ShownFcstFinish],Tasks[[#This Row],[_Row]]+Tasks[[#This Row],[_Descendants]])),Tasks[[#This Row],[_ShownFcstFinish]]))</f>
        <v/>
      </c>
      <c r="O147" s="20" t="str">
        <f aca="false">IF(Tasks[[#This Row],[Task Name]]="","",IF(Tasks[[#This Row],[Progress]]&gt;=1,"Complete",IF(OR(N(Tasks[[#This Row],[Actual Start]])&gt;0,Tasks[[#This Row],[Progress]]&gt;0),IF(Tasks[[#This Row],[Finish Var]]&gt;0,"Behind","In Progress"),IF(Tasks[[#This Row],[Planned Start]]&lt;StatusDate,"Late Start","Not Started"))))</f>
        <v/>
      </c>
      <c r="P147" s="20" t="str">
        <f aca="false">IF(Tasks[[#This Row],[Task Name]]="","",IF(IF(Tasks[[#This Row],[_IsSummary]],COUNTIF(INDEX(Tasks[_LeafCritical],Tasks[[#This Row],[_Row]]+1):INDEX(Tasks[_LeafCritical],Tasks[[#This Row],[_Row]]+Tasks[[#This Row],[_Descendants]]),TRUE())&gt;0,Tasks[[#This Row],[_LeafCritical]]),"Yes",""))</f>
        <v/>
      </c>
      <c r="Q14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47" s="67" t="str">
        <f aca="false">IF(Tasks[[#This Row],[Task Name]]="","",IF(Tasks[[#This Row],[_Level]]&lt;=OutlineShowLevel,"Yes","No"))</f>
        <v/>
      </c>
      <c r="S147" s="7"/>
      <c r="T147" s="21"/>
      <c r="U147" s="22"/>
      <c r="V147" s="7"/>
      <c r="W147" s="67" t="str">
        <f aca="false">IF(Tasks[[#This Row],[Task Name]]="","",IF(Tasks[[#This Row],[Finish]]&gt;=Tasks[[#This Row],[Planned Finish]],NETWORKDAYS.INTL(Tasks[[#This Row],[Planned Finish]],Tasks[[#This Row],[Finish]],WorkWeek,Holidays)-1,1-NETWORKDAYS.INTL(Tasks[[#This Row],[Finish]],Tasks[[#This Row],[Planned Finish]],WorkWeek,Holidays)))</f>
        <v/>
      </c>
      <c r="X147" s="58" t="str">
        <f aca="false">IF(Tasks[[#This Row],[Task Name]]="","",IF(N(Tasks[[#This Row],[Baseline Start]])&gt;0,Tasks[[#This Row],[Baseline Start]],Tasks[[#This Row],[_CalcStart]]))</f>
        <v/>
      </c>
      <c r="Y147" s="58" t="str">
        <f aca="false">IF(Tasks[[#This Row],[Task Name]]="","",IF(N(Tasks[[#This Row],[Baseline Finish]])&gt;0,Tasks[[#This Row],[Baseline Finish]],Tasks[[#This Row],[_CalcFinish]]))</f>
        <v/>
      </c>
      <c r="Z147" s="67" t="str">
        <f aca="false">IF(Tasks[[#This Row],[Task Name]]="","",IF(Tasks[[#This Row],[Start]]&gt;=Tasks[[#This Row],[Planned Start]],NETWORKDAYS.INTL(Tasks[[#This Row],[Planned Start]],Tasks[[#This Row],[Start]],WorkWeek,Holidays)-1,1-NETWORKDAYS.INTL(Tasks[[#This Row],[Start]],Tasks[[#This Row],[Planned Start]],WorkWeek,Holidays)))</f>
        <v/>
      </c>
      <c r="AA147" s="58" t="str">
        <f aca="false">IF(Tasks[[#This Row],[Task Name]]="","",IF(Tasks[[#This Row],[_IsSummary]],MIN(INDEX(Tasks[_LeafLateStart],Tasks[[#This Row],[_Row]]+1):INDEX(Tasks[_LeafLateStart],Tasks[[#This Row],[_Row]]+Tasks[[#This Row],[_Descendants]])),Tasks[[#This Row],[_LeafLateStart]]))</f>
        <v/>
      </c>
      <c r="AB147" s="58" t="str">
        <f aca="false">IF(Tasks[[#This Row],[Task Name]]="","",IF(Tasks[[#This Row],[_IsSummary]],MAX(INDEX(Tasks[_LeafLateFinish],Tasks[[#This Row],[_Row]]+1):INDEX(Tasks[_LeafLateFinish],Tasks[[#This Row],[_Row]]+Tasks[[#This Row],[_Descendants]])),Tasks[[#This Row],[_LeafLateFinish]]))</f>
        <v/>
      </c>
      <c r="AC147" s="67" t="str">
        <f aca="false">IF(Tasks[[#This Row],[Task Name]]="","",IF(Tasks[[#This Row],[_IsSummary]],MIN(INDEX(Tasks[_LeafTotalSlack],Tasks[[#This Row],[_Row]]+1):INDEX(Tasks[_LeafTotalSlack],Tasks[[#This Row],[_Row]]+Tasks[[#This Row],[_Descendants]])),Tasks[[#This Row],[_LeafTotalSlack]]))</f>
        <v/>
      </c>
      <c r="AD14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4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4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47" s="60"/>
      <c r="AH14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4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47" s="69" t="str">
        <f aca="false">IF(Tasks[[#This Row],[Task Name]]="","",IF(Tasks[[#This Row],[_IsSummary]],SUM(INDEX(Tasks[_LeafTotalWork],Tasks[[#This Row],[_Row]]+1):INDEX(Tasks[_LeafTotalWork],Tasks[[#This Row],[_Row]]+Tasks[[#This Row],[_Descendants]])),Tasks[[#This Row],[_LeafTotalWork]]))</f>
        <v/>
      </c>
      <c r="AK14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47" s="70" t="str">
        <f aca="false">IF(Tasks[[#This Row],[Task Name]]="","",IF(Tasks[[#This Row],[_IsSummary]],SUM(INDEX(Tasks[_LeafTotalCost],Tasks[[#This Row],[_Row]]+1):INDEX(Tasks[_LeafTotalCost],Tasks[[#This Row],[_Row]]+Tasks[[#This Row],[_Descendants]])),Tasks[[#This Row],[_LeafTotalCost]]))</f>
        <v/>
      </c>
      <c r="AM147" s="71"/>
      <c r="AN147" s="20" t="str">
        <f aca="false">IF(OR(Tasks[[#This Row],[Task Name]]="",Tasks[[#This Row],[Baseline Duration]]=""),"",Tasks[[#This Row],[BL Source Duration]]-N(Tasks[[#This Row],[Baseline Duration]]))</f>
        <v/>
      </c>
      <c r="AO147" s="69" t="str">
        <f aca="false">IF(OR(Tasks[[#This Row],[Task Name]]="",Tasks[[#This Row],[Baseline Work]]=""),"",Tasks[[#This Row],[Work]]-N(Tasks[[#This Row],[Baseline Work]]))</f>
        <v/>
      </c>
      <c r="AP147" s="70" t="str">
        <f aca="false">IF(OR(Tasks[[#This Row],[Task Name]]="",Tasks[[#This Row],[Baseline Cost]]=""),"",Tasks[[#This Row],[Cost]]-N(Tasks[[#This Row],[Baseline Cost]]))</f>
        <v/>
      </c>
      <c r="AQ147" s="58" t="str">
        <f aca="false">IF(Tasks[[#This Row],[Task Name]]="","",Tasks[[#This Row],[Start]])</f>
        <v/>
      </c>
      <c r="AR147" s="58" t="str">
        <f aca="false">IF(Tasks[[#This Row],[Task Name]]="","",Tasks[[#This Row],[Finish]])</f>
        <v/>
      </c>
      <c r="AS147" s="67" t="str">
        <f aca="false">IF(Tasks[[#This Row],[Task Name]]="","",IF(Tasks[[#This Row],[_IsSummary]],NETWORKDAYS.INTL(Tasks[[#This Row],[Start]],Tasks[[#This Row],[Finish]],WorkWeek,Holidays),N(Tasks[[#This Row],[Duration]])))</f>
        <v/>
      </c>
      <c r="AT147" s="69" t="str">
        <f aca="false">IF(Tasks[[#This Row],[Task Name]]="","",Tasks[[#This Row],[Work]])</f>
        <v/>
      </c>
      <c r="AU147" s="70" t="str">
        <f aca="false">IF(Tasks[[#This Row],[Task Name]]="","",Tasks[[#This Row],[Cost]])</f>
        <v/>
      </c>
      <c r="AV147" s="7"/>
      <c r="AW147" s="7"/>
      <c r="AX147" s="21"/>
      <c r="AY147" s="72"/>
      <c r="AZ147" s="71"/>
      <c r="BA147" s="70" t="str">
        <f aca="false">IF(Tasks[[#This Row],[Task Name]]="","",IF(Tasks[[#This Row],[_IsSummary]],SUM(INDEX(Tasks[_LeafEV],Tasks[[#This Row],[_Row]]+1):INDEX(Tasks[_LeafEV],Tasks[[#This Row],[_Row]]+Tasks[[#This Row],[_Descendants]])),Tasks[[#This Row],[_LeafEV]]))</f>
        <v/>
      </c>
      <c r="BB147" s="70" t="str">
        <f aca="false">IF(Tasks[[#This Row],[Task Name]]="","",IF(Tasks[[#This Row],[_IsSummary]],SUM(INDEX(Tasks[_LeafBudget],Tasks[[#This Row],[_Row]]+1):INDEX(Tasks[_LeafBudget],Tasks[[#This Row],[_Row]]+Tasks[[#This Row],[_Descendants]])),Tasks[[#This Row],[_LeafBudget]]))</f>
        <v/>
      </c>
      <c r="BC147" s="70" t="str">
        <f aca="false">IF(Tasks[[#This Row],[Task Name]]="","",IF(Tasks[[#This Row],[_IsSummary]],SUM(INDEX(Tasks[_LeafPV],Tasks[[#This Row],[_Row]]+1):INDEX(Tasks[_LeafPV],Tasks[[#This Row],[_Row]]+Tasks[[#This Row],[_Descendants]])),Tasks[[#This Row],[_LeafPV]]))</f>
        <v/>
      </c>
      <c r="BD147" s="70" t="str">
        <f aca="false">IF(Tasks[[#This Row],[Task Name]]="","",IF(Tasks[[#This Row],[_IsSummary]],SUM(INDEX(Tasks[_LeafAC],Tasks[[#This Row],[_Row]]+1):INDEX(Tasks[_LeafAC],Tasks[[#This Row],[_Row]]+Tasks[[#This Row],[_Descendants]])),Tasks[[#This Row],[_LeafAC]]))</f>
        <v/>
      </c>
      <c r="BE147" s="45" t="str">
        <f aca="false">IF(Tasks[[#This Row],[Task Name]]="","",MAX(1,N(Tasks[[#This Row],[Level]])))</f>
        <v/>
      </c>
      <c r="BF147" s="45" t="n">
        <f aca="false">ROW()-ROW(Tasks[[#Headers],[ID]])</f>
        <v>142</v>
      </c>
      <c r="BG147" s="45" t="n">
        <f aca="false">IF(OR(Tasks[[#This Row],[Task Name]]="",Tasks[[#This Row],[_Level]]&lt;=1),0,IFERROR(LOOKUP(2,1/(Tasks[[#Headers],[_Level]]:Tasks[[#This Row],[_Level]]=Tasks[[#This Row],[_Level]]-1),ROW(Tasks[[#Headers],[_Level]]:Tasks[[#This Row],[_Level]])),0))</f>
        <v>0</v>
      </c>
      <c r="BH147" s="45" t="n">
        <f aca="false">IFERROR(N(INDEX(Tasks[_Level],Tasks[[#This Row],[_Row]]+1)),0)</f>
        <v>0</v>
      </c>
      <c r="BI147" s="73" t="b">
        <f aca="false">AND(Tasks[[#This Row],[Task Name]]&lt;&gt;"",Tasks[[#This Row],[_NextLevel]]&gt;Tasks[[#This Row],[_Level]])</f>
        <v>0</v>
      </c>
      <c r="BJ147" s="45" t="n">
        <f aca="false">IF(Tasks[[#This Row],[_IsSummary]],COUNTIF(Tasks[WBS],Tasks[[#This Row],[WBS]]&amp;".*"),0)</f>
        <v>0</v>
      </c>
      <c r="BK147" s="45" t="n">
        <f aca="false">IF(AND(Tasks[[#This Row],[Task Name]]&lt;&gt;"",NOT(Tasks[[#This Row],[_IsSummary]])),1,0)</f>
        <v>0</v>
      </c>
      <c r="BL147" s="45" t="n">
        <f aca="false">IF(N(Tasks[[#This Row],[_Pred1UID]])=0,0,IFERROR(MATCH(Tasks[[#This Row],[_Pred1UID]],Tasks[UID],0),-1))</f>
        <v>0</v>
      </c>
      <c r="BM147" s="45" t="n">
        <f aca="false">IF(N(Tasks[[#This Row],[_Pred2UID]])=0,0,IFERROR(MATCH(Tasks[[#This Row],[_Pred2UID]],Tasks[UID],0),-1))</f>
        <v>0</v>
      </c>
      <c r="BN147" s="45" t="n">
        <f aca="false">IF(N(Tasks[[#This Row],[_Pred3UID]])=0,0,IFERROR(MATCH(Tasks[[#This Row],[_Pred3UID]],Tasks[UID],0),-1))</f>
        <v>0</v>
      </c>
      <c r="BO147" s="45" t="n">
        <f aca="false">IF(N(Tasks[[#This Row],[_Pred4UID]])=0,0,IFERROR(MATCH(Tasks[[#This Row],[_Pred4UID]],Tasks[UID],0),-1))</f>
        <v>0</v>
      </c>
      <c r="BP14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4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47" s="74" t="n">
        <f aca="false">IF(OR(Tasks[[#This Row],[_ConstraintCode]]=2,Tasks[[#This Row],[_ConstraintCode]]=3,Tasks[[#This Row],[_ConstraintCode]]=4,Tasks[[#This Row],[_ConstraintCode]]=6),Tasks[[#This Row],[_ConstraintStart]],0)</f>
        <v>0</v>
      </c>
      <c r="BS147" s="74" t="n">
        <f aca="false">IF(OR(Tasks[[#This Row],[_ConstraintCode]]=2,Tasks[[#This Row],[_ConstraintCode]]=3,Tasks[[#This Row],[_ConstraintCode]]=5,Tasks[[#This Row],[_ConstraintCode]]=7),Tasks[[#This Row],[_ConstraintStart]],2958465)</f>
        <v>2958465</v>
      </c>
      <c r="BT14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47" s="74" t="str">
        <f aca="false">IF(NOT(Tasks[[#This Row],[_IsLeaf]]=1),"",IF(N(Tasks[[#This Row],[Duration]])&lt;=0,Tasks[[#This Row],[_LeafCalcStart]],WORKDAY.INTL(Tasks[[#This Row],[_LeafCalcStart]],Tasks[[#This Row],[Duration]]-1,WorkWeek,Holidays)))</f>
        <v/>
      </c>
      <c r="BV14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4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47" s="45" t="str">
        <f aca="false">IF(Tasks[[#This Row],[Predecessors]]="","",TRIM(MID(SUBSTITUTE(SUBSTITUTE(SUBSTITUTE(UPPER(Tasks[[#This Row],[Predecessors]]),";",",")," ",""),",",REPT(" ",99)),1,99)))</f>
        <v/>
      </c>
      <c r="BY147" s="45" t="str">
        <f aca="false">IF(Tasks[[#This Row],[_Pred1Text]]="","",IFERROR(VALUE(LEFT(Tasks[[#This Row],[_Pred1Text]],MIN(FIND("F",Tasks[[#This Row],[_Pred1Text]]&amp;"F"),FIND("S",Tasks[[#This Row],[_Pred1Text]]&amp;"S"),FIND("+",Tasks[[#This Row],[_Pred1Text]]&amp;"+"),FIND("-",Tasks[[#This Row],[_Pred1Text]]&amp;"-"))-1)),""))</f>
        <v/>
      </c>
      <c r="BZ14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4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47" s="45" t="str">
        <f aca="false">IF(Tasks[[#This Row],[_Pred1Text]]="","",TRIM(MID(SUBSTITUTE(SUBSTITUTE(SUBSTITUTE(UPPER(Tasks[[#This Row],[Predecessors]]),";",",")," ",""),",",REPT(" ",99)),100,99)))</f>
        <v/>
      </c>
      <c r="CC147" s="45" t="str">
        <f aca="false">IF(Tasks[[#This Row],[_Pred2Text]]="","",IFERROR(VALUE(LEFT(Tasks[[#This Row],[_Pred2Text]],MIN(FIND("F",Tasks[[#This Row],[_Pred2Text]]&amp;"F"),FIND("S",Tasks[[#This Row],[_Pred2Text]]&amp;"S"),FIND("+",Tasks[[#This Row],[_Pred2Text]]&amp;"+"),FIND("-",Tasks[[#This Row],[_Pred2Text]]&amp;"-"))-1)),""))</f>
        <v/>
      </c>
      <c r="CD14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4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47" s="45" t="str">
        <f aca="false">IF(Tasks[[#This Row],[_Pred2Text]]="","",TRIM(MID(SUBSTITUTE(SUBSTITUTE(SUBSTITUTE(UPPER(Tasks[[#This Row],[Predecessors]]),";",",")," ",""),",",REPT(" ",99)),199,99)))</f>
        <v/>
      </c>
      <c r="CG147" s="45" t="str">
        <f aca="false">IF(Tasks[[#This Row],[_Pred3Text]]="","",IFERROR(VALUE(LEFT(Tasks[[#This Row],[_Pred3Text]],MIN(FIND("F",Tasks[[#This Row],[_Pred3Text]]&amp;"F"),FIND("S",Tasks[[#This Row],[_Pred3Text]]&amp;"S"),FIND("+",Tasks[[#This Row],[_Pred3Text]]&amp;"+"),FIND("-",Tasks[[#This Row],[_Pred3Text]]&amp;"-"))-1)),""))</f>
        <v/>
      </c>
      <c r="CH14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4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47" s="45" t="str">
        <f aca="false">IF(Tasks[[#This Row],[_Pred3Text]]="","",TRIM(MID(SUBSTITUTE(SUBSTITUTE(SUBSTITUTE(UPPER(Tasks[[#This Row],[Predecessors]]),";",",")," ",""),",",REPT(" ",99)),298,99)))</f>
        <v/>
      </c>
      <c r="CK147" s="45" t="str">
        <f aca="false">IF(Tasks[[#This Row],[_Pred4Text]]="","",IFERROR(VALUE(LEFT(Tasks[[#This Row],[_Pred4Text]],MIN(FIND("F",Tasks[[#This Row],[_Pred4Text]]&amp;"F"),FIND("S",Tasks[[#This Row],[_Pred4Text]]&amp;"S"),FIND("+",Tasks[[#This Row],[_Pred4Text]]&amp;"+"),FIND("-",Tasks[[#This Row],[_Pred4Text]]&amp;"-"))-1)),""))</f>
        <v/>
      </c>
      <c r="CL14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4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47" s="45" t="str">
        <f aca="false">IF(OR(Tasks[[#This Row],[Task Name]]="",Tasks[[#This Row],[Resources]]=""),"",TRIM(MID(SUBSTITUTE(Tasks[[#This Row],[Resources]],",",REPT(" ",99)),1,99)))</f>
        <v/>
      </c>
      <c r="CO147" s="45" t="str">
        <f aca="false">IF(Tasks[[#This Row],[_Res1Text]]="","",TRIM(MID(SUBSTITUTE(Tasks[[#This Row],[Resources]],",",REPT(" ",99)),100,99)))</f>
        <v/>
      </c>
      <c r="CP147" s="45" t="str">
        <f aca="false">IF(Tasks[[#This Row],[_Res2Text]]="","",TRIM(MID(SUBSTITUTE(Tasks[[#This Row],[Resources]],",",REPT(" ",99)),199,99)))</f>
        <v/>
      </c>
      <c r="CQ147" s="45" t="str">
        <f aca="false">IF(Tasks[[#This Row],[_Res3Text]]="","",TRIM(MID(SUBSTITUTE(Tasks[[#This Row],[Resources]],",",REPT(" ",99)),298,99)))</f>
        <v/>
      </c>
      <c r="CR14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4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7" s="45" t="n">
        <f aca="false">IF(NOT(Tasks[[#This Row],[_IsLeaf]]=1),0,(Tasks[[#This Row],[_Resource1]]&lt;&gt;"")+(Tasks[[#This Row],[_Res2]]&lt;&gt;"")+(Tasks[[#This Row],[_Res3]]&lt;&gt;"")+(Tasks[[#This Row],[_Res4]]&lt;&gt;""))</f>
        <v>0</v>
      </c>
      <c r="CU14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4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7" s="45" t="n">
        <f aca="false">IF(OR(NOT(Tasks[[#This Row],[_IsLeaf]]=1),Tasks[[#This Row],[_Res2]]=""),0,IF(ISNA(MATCH(Tasks[[#This Row],[_Res2]],res_Name,0)),0,N(Tasks[[#This Row],[Duration]])*HoursPerDay*IF(Tasks[[#This Row],[_Res2Units]]="",DefaultUnits,Tasks[[#This Row],[_Res2Units]])))</f>
        <v>0</v>
      </c>
      <c r="CX147" s="45" t="n">
        <f aca="false">IF(Tasks[[#This Row],[_Res2Work]]=0,0,Tasks[[#This Row],[_Res2Work]]*IFERROR(INDEX(res_Rate,MATCH(Tasks[[#This Row],[_Res2]],res_Name,0)),0))</f>
        <v>0</v>
      </c>
      <c r="CY147" s="45" t="n">
        <f aca="false">IF(AND(AND(Tasks[[#This Row],[_IsLeaf]]=1,Tasks[[#This Row],[_LeafTotalWork]]&gt;0),Tasks[[#This Row],[_Res2Work]]&gt;0),Tasks[[#This Row],[_Res2Work]]/(Tasks[[#This Row],[_FinishWorkday]]-Tasks[[#This Row],[_StartWorkday]]+1),0)</f>
        <v>0</v>
      </c>
      <c r="CZ147" s="45" t="n">
        <f aca="false">Tasks[[#This Row],[_Res2WorkPerWD]]*MAX(0,Tasks[[#This Row],[_StartWorkday]]-1)</f>
        <v>0</v>
      </c>
      <c r="DA147" s="45" t="n">
        <f aca="false">Tasks[[#This Row],[_Res2Work]]*Tasks[[#This Row],[_LeafProgress]]</f>
        <v>0</v>
      </c>
      <c r="DB147" s="45" t="n">
        <f aca="false">IF(Tasks[[#This Row],[_LeafTotalCost]]=0,0,Tasks[[#This Row],[_LeafAC]]*Tasks[[#This Row],[_Res2Cost]]/Tasks[[#This Row],[_LeafTotalCost]])</f>
        <v>0</v>
      </c>
      <c r="DC14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4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47" s="45" t="n">
        <f aca="false">IF(OR(NOT(Tasks[[#This Row],[_IsLeaf]]=1),Tasks[[#This Row],[_Res3]]=""),0,IF(ISNA(MATCH(Tasks[[#This Row],[_Res3]],res_Name,0)),0,N(Tasks[[#This Row],[Duration]])*HoursPerDay*IF(Tasks[[#This Row],[_Res3Units]]="",DefaultUnits,Tasks[[#This Row],[_Res3Units]])))</f>
        <v>0</v>
      </c>
      <c r="DF147" s="45" t="n">
        <f aca="false">IF(Tasks[[#This Row],[_Res3Work]]=0,0,Tasks[[#This Row],[_Res3Work]]*IFERROR(INDEX(res_Rate,MATCH(Tasks[[#This Row],[_Res3]],res_Name,0)),0))</f>
        <v>0</v>
      </c>
      <c r="DG147" s="45" t="n">
        <f aca="false">IF(AND(AND(Tasks[[#This Row],[_IsLeaf]]=1,Tasks[[#This Row],[_LeafTotalWork]]&gt;0),Tasks[[#This Row],[_Res3Work]]&gt;0),Tasks[[#This Row],[_Res3Work]]/(Tasks[[#This Row],[_FinishWorkday]]-Tasks[[#This Row],[_StartWorkday]]+1),0)</f>
        <v>0</v>
      </c>
      <c r="DH147" s="45" t="n">
        <f aca="false">Tasks[[#This Row],[_Res3WorkPerWD]]*MAX(0,Tasks[[#This Row],[_StartWorkday]]-1)</f>
        <v>0</v>
      </c>
      <c r="DI147" s="45" t="n">
        <f aca="false">Tasks[[#This Row],[_Res3Work]]*Tasks[[#This Row],[_LeafProgress]]</f>
        <v>0</v>
      </c>
      <c r="DJ147" s="45" t="n">
        <f aca="false">IF(Tasks[[#This Row],[_LeafTotalCost]]=0,0,Tasks[[#This Row],[_LeafAC]]*Tasks[[#This Row],[_Res3Cost]]/Tasks[[#This Row],[_LeafTotalCost]])</f>
        <v>0</v>
      </c>
      <c r="DK14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4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47" s="45" t="n">
        <f aca="false">IF(OR(NOT(Tasks[[#This Row],[_IsLeaf]]=1),Tasks[[#This Row],[_Res4]]=""),0,IF(ISNA(MATCH(Tasks[[#This Row],[_Res4]],res_Name,0)),0,N(Tasks[[#This Row],[Duration]])*HoursPerDay*IF(Tasks[[#This Row],[_Res4Units]]="",DefaultUnits,Tasks[[#This Row],[_Res4Units]])))</f>
        <v>0</v>
      </c>
      <c r="DN147" s="45" t="n">
        <f aca="false">IF(Tasks[[#This Row],[_Res4Work]]=0,0,Tasks[[#This Row],[_Res4Work]]*IFERROR(INDEX(res_Rate,MATCH(Tasks[[#This Row],[_Res4]],res_Name,0)),0))</f>
        <v>0</v>
      </c>
      <c r="DO147" s="45" t="n">
        <f aca="false">IF(AND(AND(Tasks[[#This Row],[_IsLeaf]]=1,Tasks[[#This Row],[_LeafTotalWork]]&gt;0),Tasks[[#This Row],[_Res4Work]]&gt;0),Tasks[[#This Row],[_Res4Work]]/(Tasks[[#This Row],[_FinishWorkday]]-Tasks[[#This Row],[_StartWorkday]]+1),0)</f>
        <v>0</v>
      </c>
      <c r="DP147" s="45" t="n">
        <f aca="false">Tasks[[#This Row],[_Res4WorkPerWD]]*MAX(0,Tasks[[#This Row],[_StartWorkday]]-1)</f>
        <v>0</v>
      </c>
      <c r="DQ147" s="45" t="n">
        <f aca="false">Tasks[[#This Row],[_Res4Work]]*Tasks[[#This Row],[_LeafProgress]]</f>
        <v>0</v>
      </c>
      <c r="DR147" s="45" t="n">
        <f aca="false">IF(Tasks[[#This Row],[_LeafTotalCost]]=0,0,Tasks[[#This Row],[_LeafAC]]*Tasks[[#This Row],[_Res4Cost]]/Tasks[[#This Row],[_LeafTotalCost]])</f>
        <v>0</v>
      </c>
      <c r="DS147" s="45" t="n">
        <f aca="false">IF(ISNUMBER(Tasks[[#This Row],[% Complete]]),Tasks[[#This Row],[% Complete]],IF(Tasks[[#This Row],[Stage]]="",0,IFERROR(INDEX(stg_Pct,MATCH(Tasks[[#This Row],[Stage]],stg_Name,0)),0)))</f>
        <v>0</v>
      </c>
      <c r="DT147" s="45" t="n">
        <f aca="false">IF(NOT(Tasks[[#This Row],[_IsLeaf]]=1),0,IF(N(Tasks[[#This Row],[Actual Finish]])&gt;0,1,MIN(1,Tasks[[#This Row],[_Pct]])))</f>
        <v>0</v>
      </c>
      <c r="DU147" s="45" t="n">
        <f aca="false">IF(OR(NOT(Tasks[[#This Row],[_IsLeaf]]=1),Tasks[[#This Row],[_Resource1]]=""),0,IF(ISNA(MATCH(Tasks[[#This Row],[_Resource1]],res_Name,0)),0,N(Tasks[[#This Row],[Duration]])*HoursPerDay*IF(Tasks[[#This Row],[_Units1]]="",DefaultUnits,Tasks[[#This Row],[_Units1]])))</f>
        <v>0</v>
      </c>
      <c r="DV147" s="45" t="n">
        <f aca="false">IF(Tasks[[#This Row],[_LeafWork]]=0,0,Tasks[[#This Row],[_LeafWork]]*IFERROR(INDEX(res_Rate,MATCH(Tasks[[#This Row],[_Resource1]],res_Name,0)),0))</f>
        <v>0</v>
      </c>
      <c r="DW147" s="45" t="n">
        <f aca="false">Tasks[[#This Row],[_LeafWork]]+Tasks[[#This Row],[_Res2Work]]+Tasks[[#This Row],[_Res3Work]]+Tasks[[#This Row],[_Res4Work]]</f>
        <v>0</v>
      </c>
      <c r="DX147" s="45" t="n">
        <f aca="false">Tasks[[#This Row],[_LeafCost]]+Tasks[[#This Row],[_Res2Cost]]+Tasks[[#This Row],[_Res3Cost]]+Tasks[[#This Row],[_Res4Cost]]</f>
        <v>0</v>
      </c>
      <c r="DY147" s="45" t="n">
        <f aca="false">IF(Tasks[[#This Row],[_LeafTotalCost]]=0,Tasks[[#This Row],[_LeafAC]],Tasks[[#This Row],[_LeafAC]]*Tasks[[#This Row],[_LeafCost]]/Tasks[[#This Row],[_LeafTotalCost]])</f>
        <v>0</v>
      </c>
      <c r="DZ14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4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4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4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4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4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4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4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47" s="45" t="n">
        <f aca="false">IF(NOT(Tasks[[#This Row],[_IsLeaf]]=1),0,MAX(_xlfn.MAXIFS(Tasks[_Row],Tasks[_Pred1UID],Tasks[[#This Row],[UID]]),_xlfn.MAXIFS(Tasks[_Row],Tasks[_Pred2UID],Tasks[[#This Row],[UID]]),_xlfn.MAXIFS(Tasks[_Row],Tasks[_Pred3UID],Tasks[[#This Row],[UID]]),_xlfn.MAXIFS(Tasks[_Row],Tasks[_Pred4UID],Tasks[[#This Row],[UID]])))</f>
        <v>0</v>
      </c>
      <c r="EI14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4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47" s="74" t="str">
        <f aca="false">IF(NOT(Tasks[[#This Row],[_IsLeaf]]=1),"",IF(N(Tasks[[#This Row],[Duration]])&lt;=0,Tasks[[#This Row],[_LeafLateFinish]],WORKDAY.INTL(Tasks[[#This Row],[_LeafLateFinish]],-(Tasks[[#This Row],[Duration]]-1),WorkWeek,Holidays)))</f>
        <v/>
      </c>
      <c r="EL14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47" s="73" t="b">
        <f aca="false">AND(Tasks[[#This Row],[_IsLeaf]]=1,Tasks[[#This Row],[_LeafProgress]]&lt;1,N(Tasks[[#This Row],[_LeafTotalSlack]])&lt;=CriticalSlackDays)</f>
        <v>0</v>
      </c>
      <c r="EN147" s="45" t="n">
        <f aca="false">IF(AND(Tasks[[#This Row],[_IsLeaf]]=1,Tasks[[#This Row],[_ConstraintCode]]=1,Tasks[[#This Row],[Mode]]&lt;&gt;"Manual",N(Tasks[[#This Row],[Actual Start]])=0),MAX(0,N(Tasks[[#This Row],[Free Slack]])),0)</f>
        <v>0</v>
      </c>
      <c r="EO147" s="74" t="str">
        <f aca="false">IF(NOT(Tasks[[#This Row],[_IsLeaf]]=1),"",IF(Tasks[[#This Row],[_AlapShift]]=0,Tasks[[#This Row],[_LeafCalcStart]],WORKDAY.INTL(Tasks[[#This Row],[_LeafCalcStart]],Tasks[[#This Row],[_AlapShift]],WorkWeek,Holidays)))</f>
        <v/>
      </c>
      <c r="EP147" s="74" t="str">
        <f aca="false">IF(NOT(Tasks[[#This Row],[_IsLeaf]]=1),"",IF(Tasks[[#This Row],[_AlapShift]]=0,Tasks[[#This Row],[_LeafCalcFinish]],WORKDAY.INTL(Tasks[[#This Row],[_LeafCalcFinish]],Tasks[[#This Row],[_AlapShift]],WorkWeek,Holidays)))</f>
        <v/>
      </c>
      <c r="EQ147" s="74" t="str">
        <f aca="false">IF(NOT(Tasks[[#This Row],[_IsLeaf]]=1),"",IF(Tasks[[#This Row],[_AlapShift]]=0,Tasks[[#This Row],[_LeafFcstStart]],WORKDAY.INTL(Tasks[[#This Row],[_LeafFcstStart]],Tasks[[#This Row],[_AlapShift]],WorkWeek,Holidays)))</f>
        <v/>
      </c>
      <c r="ER147" s="74" t="str">
        <f aca="false">IF(NOT(Tasks[[#This Row],[_IsLeaf]]=1),"",IF(Tasks[[#This Row],[_AlapShift]]=0,Tasks[[#This Row],[_LeafFcstFinish]],WORKDAY.INTL(Tasks[[#This Row],[_LeafFcstFinish]],Tasks[[#This Row],[_AlapShift]],WorkWeek,Holidays)))</f>
        <v/>
      </c>
      <c r="ES147" s="74" t="str">
        <f aca="false">IF(Tasks[[#This Row],[Task Name]]="","",IF(Tasks[[#This Row],[_IsSummary]],MIN(INDEX(Tasks[_ShownCalcStart],Tasks[[#This Row],[_Row]]+1):INDEX(Tasks[_ShownCalcStart],Tasks[[#This Row],[_Row]]+Tasks[[#This Row],[_Descendants]])),Tasks[[#This Row],[_ShownCalcStart]]))</f>
        <v/>
      </c>
      <c r="ET147" s="74" t="str">
        <f aca="false">IF(Tasks[[#This Row],[Task Name]]="","",IF(Tasks[[#This Row],[_IsSummary]],MAX(INDEX(Tasks[_ShownCalcFinish],Tasks[[#This Row],[_Row]]+1):INDEX(Tasks[_ShownCalcFinish],Tasks[[#This Row],[_Row]]+Tasks[[#This Row],[_Descendants]])),Tasks[[#This Row],[_ShownCalcFinish]]))</f>
        <v/>
      </c>
      <c r="EU14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4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4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4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4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4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4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4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4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4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4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4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47" s="45" t="n">
        <f aca="false">IF(AND(Tasks[[#This Row],[_IsLeaf]]=1,Tasks[[#This Row],[_LeafTotalWork]]&gt;0),NETWORKDAYS.INTL(ProjectStart,Tasks[[#This Row],[_ShownFcstStart]],WorkWeek,Holidays),0)</f>
        <v>0</v>
      </c>
      <c r="FH147" s="45" t="n">
        <f aca="false">IF(AND(Tasks[[#This Row],[_IsLeaf]]=1,Tasks[[#This Row],[_LeafTotalWork]]&gt;0),MAX(Tasks[[#This Row],[_StartWorkday]],NETWORKDAYS.INTL(ProjectStart,Tasks[[#This Row],[_ShownFcstFinish]],WorkWeek,Holidays)),0)</f>
        <v>0</v>
      </c>
      <c r="FI147" s="45" t="n">
        <f aca="false">IF(AND(Tasks[[#This Row],[_IsLeaf]]=1,Tasks[[#This Row],[_LeafTotalWork]]&gt;0),Tasks[[#This Row],[_LeafWork]]/(Tasks[[#This Row],[_FinishWorkday]]-Tasks[[#This Row],[_StartWorkday]]+1),0)</f>
        <v>0</v>
      </c>
      <c r="FJ147" s="45" t="n">
        <f aca="false">Tasks[[#This Row],[_WorkPerWorkday]]*(Tasks[[#This Row],[_StartWorkday]]-1)</f>
        <v>-0</v>
      </c>
      <c r="FK147" s="45" t="n">
        <f aca="false">IF(Tasks[[#This Row],[_IsLeaf]]=1,MAX(N(Tasks[[#This Row],[Duration]]),0.1),0)</f>
        <v>0</v>
      </c>
      <c r="FL147" s="45" t="n">
        <f aca="false">Tasks[[#This Row],[_WeightDur]]*Tasks[[#This Row],[_LeafProgress]]</f>
        <v>0</v>
      </c>
      <c r="FM14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47" s="45" t="str">
        <f aca="false">IF(AND(Tasks[[#This Row],[_IsLeaf]]=1,N(Tasks[[#This Row],[Duration]])=0,Tasks[[#This Row],[_LeafProgress]]&lt;1),Tasks[[#This Row],[_ShownFcstFinish]]+Tasks[[#This Row],[_Row]]/100000,"")</f>
        <v/>
      </c>
      <c r="FO14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47" s="45" t="n">
        <f aca="false">IF(NOT(Tasks[[#This Row],[_IsLeaf]]=1),0,IF(Tasks[[#This Row],[Baseline Cost]]="",Tasks[[#This Row],[_LeafTotalCost]],N(Tasks[[#This Row],[Baseline Cost]])))</f>
        <v>0</v>
      </c>
      <c r="FQ147" s="45" t="n">
        <f aca="false">Tasks[[#This Row],[_LeafBudget]]*Tasks[[#This Row],[_PlannedPct]]</f>
        <v>0</v>
      </c>
      <c r="FR147" s="45" t="n">
        <f aca="false">Tasks[[#This Row],[_LeafBudget]]*Tasks[[#This Row],[_LeafProgress]]</f>
        <v>0</v>
      </c>
      <c r="FS147" s="45" t="n">
        <f aca="false">IF(NOT(Tasks[[#This Row],[_IsLeaf]]=1),0,IF(Tasks[[#This Row],[Actual Cost]]="",Tasks[[#This Row],[_LeafTotalCost]]*Tasks[[#This Row],[_LeafProgress]],N(Tasks[[#This Row],[Actual Cost]])))</f>
        <v>0</v>
      </c>
      <c r="FT147" s="45" t="str">
        <f aca="false">IF(Tasks[[#This Row],[Task Name]]="","",LEFT(Tasks[[#This Row],[WBS]],FIND(".",Tasks[[#This Row],[WBS]]&amp;".")-1))</f>
        <v/>
      </c>
      <c r="FU147" s="45" t="str">
        <f aca="false">IF(AND(Tasks[[#This Row],[Task Name]]&lt;&gt;"",Tasks[[#This Row],[_Level]]=1),Tasks[[#This Row],[_Row]],"")</f>
        <v/>
      </c>
      <c r="FV147" s="45" t="str">
        <f aca="false">IF(AND(Tasks[[#This Row],[_IsLeaf]]=1,N(Tasks[[#This Row],[Duration]])=0),Tasks[[#This Row],[Planned Finish]]+Tasks[[#This Row],[_Row]]/100000,"")</f>
        <v/>
      </c>
      <c r="FW147" s="45" t="str">
        <f aca="false">IF(AND(Tasks[[#This Row],[_IsLeaf]]=1,Tasks[[#This Row],[_LeafProgress]]&lt;1,OR(N(Tasks[[#This Row],[Finish Var]])&gt;0,Tasks[[#This Row],[Status]]="Late Start")),MAX(0,Tasks[[#This Row],[Finish Var]])+1-Tasks[[#This Row],[_Row]]/1000000,"")</f>
        <v/>
      </c>
      <c r="FX147" s="45" t="str">
        <f aca="false">IF(AND(Tasks[[#This Row],[_IsLeaf]]=1,N(Tasks[[#This Row],[Actual Start]])=0,Tasks[[#This Row],[_ShownFcstStart]]&gt;=StatusDate,Tasks[[#This Row],[_ShownFcstStart]]&lt;=LookaheadEnd),Tasks[[#This Row],[_ShownFcstStart]]+Tasks[[#This Row],[_Row]]/100000,"")</f>
        <v/>
      </c>
      <c r="FY147" s="45" t="str">
        <f aca="false">IF(AND(Tasks[[#This Row],[_IsLeaf]]=1,Tasks[[#This Row],[_LeafProgress]]&lt;1,Tasks[[#This Row],[_ShownFcstFinish]]&gt;=StatusDate,Tasks[[#This Row],[_ShownFcstFinish]]&lt;=LookaheadEnd),Tasks[[#This Row],[_ShownFcstFinish]]+Tasks[[#This Row],[_Row]]/100000,"")</f>
        <v/>
      </c>
      <c r="FZ147" s="45" t="str">
        <f aca="false">IF(Tasks[[#This Row],[_LeafCritical]],Tasks[[#This Row],[_ShownFcstStart]]+Tasks[[#This Row],[_Row]]/100000,"")</f>
        <v/>
      </c>
      <c r="GA147" s="45" t="n">
        <f aca="false">Tasks[[#This Row],[_LeafWork]]*Tasks[[#This Row],[_LeafProgress]]</f>
        <v>0</v>
      </c>
      <c r="GB147" s="74" t="str">
        <f aca="false">IF(AND(Tasks[[#This Row],[_IsLeaf]]=1,Tasks[[#This Row],[_LeafProgress]]&gt;=1),IF(N(Tasks[[#This Row],[Actual Finish]])&gt;0,Tasks[[#This Row],[Actual Finish]],Tasks[[#This Row],[_ShownFcstFinish]]),"")</f>
        <v/>
      </c>
    </row>
    <row r="148" customFormat="false" ht="15" hidden="false" customHeight="false" outlineLevel="0" collapsed="false">
      <c r="A148" s="67" t="str">
        <f aca="false">IF(Tasks[[#This Row],[Task Name]]="","",COUNTA(Tasks[[#Headers],[Task Name]]:Tasks[[#This Row],[Task Name]])-1)</f>
        <v/>
      </c>
      <c r="B148" s="21" t="n">
        <v>143</v>
      </c>
      <c r="C14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21"/>
      <c r="E148" s="22"/>
      <c r="F148" s="21"/>
      <c r="G148" s="22"/>
      <c r="H148" s="22"/>
      <c r="I148" s="22"/>
      <c r="J148" s="7"/>
      <c r="K148" s="7"/>
      <c r="L148" s="22"/>
      <c r="M148" s="58" t="str">
        <f aca="false">IF(Tasks[[#This Row],[Task Name]]="","",IF(Tasks[[#This Row],[_IsSummary]],MIN(INDEX(Tasks[_ShownFcstStart],Tasks[[#This Row],[_Row]]+1):INDEX(Tasks[_ShownFcstStart],Tasks[[#This Row],[_Row]]+Tasks[[#This Row],[_Descendants]])),Tasks[[#This Row],[_ShownFcstStart]]))</f>
        <v/>
      </c>
      <c r="N148" s="58" t="str">
        <f aca="false">IF(Tasks[[#This Row],[Task Name]]="","",IF(Tasks[[#This Row],[_IsSummary]],MAX(INDEX(Tasks[_ShownFcstFinish],Tasks[[#This Row],[_Row]]+1):INDEX(Tasks[_ShownFcstFinish],Tasks[[#This Row],[_Row]]+Tasks[[#This Row],[_Descendants]])),Tasks[[#This Row],[_ShownFcstFinish]]))</f>
        <v/>
      </c>
      <c r="O148" s="20" t="str">
        <f aca="false">IF(Tasks[[#This Row],[Task Name]]="","",IF(Tasks[[#This Row],[Progress]]&gt;=1,"Complete",IF(OR(N(Tasks[[#This Row],[Actual Start]])&gt;0,Tasks[[#This Row],[Progress]]&gt;0),IF(Tasks[[#This Row],[Finish Var]]&gt;0,"Behind","In Progress"),IF(Tasks[[#This Row],[Planned Start]]&lt;StatusDate,"Late Start","Not Started"))))</f>
        <v/>
      </c>
      <c r="P148" s="20" t="str">
        <f aca="false">IF(Tasks[[#This Row],[Task Name]]="","",IF(IF(Tasks[[#This Row],[_IsSummary]],COUNTIF(INDEX(Tasks[_LeafCritical],Tasks[[#This Row],[_Row]]+1):INDEX(Tasks[_LeafCritical],Tasks[[#This Row],[_Row]]+Tasks[[#This Row],[_Descendants]]),TRUE())&gt;0,Tasks[[#This Row],[_LeafCritical]]),"Yes",""))</f>
        <v/>
      </c>
      <c r="Q14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48" s="67" t="str">
        <f aca="false">IF(Tasks[[#This Row],[Task Name]]="","",IF(Tasks[[#This Row],[_Level]]&lt;=OutlineShowLevel,"Yes","No"))</f>
        <v/>
      </c>
      <c r="S148" s="7"/>
      <c r="T148" s="21"/>
      <c r="U148" s="22"/>
      <c r="V148" s="7"/>
      <c r="W148" s="67" t="str">
        <f aca="false">IF(Tasks[[#This Row],[Task Name]]="","",IF(Tasks[[#This Row],[Finish]]&gt;=Tasks[[#This Row],[Planned Finish]],NETWORKDAYS.INTL(Tasks[[#This Row],[Planned Finish]],Tasks[[#This Row],[Finish]],WorkWeek,Holidays)-1,1-NETWORKDAYS.INTL(Tasks[[#This Row],[Finish]],Tasks[[#This Row],[Planned Finish]],WorkWeek,Holidays)))</f>
        <v/>
      </c>
      <c r="X148" s="58" t="str">
        <f aca="false">IF(Tasks[[#This Row],[Task Name]]="","",IF(N(Tasks[[#This Row],[Baseline Start]])&gt;0,Tasks[[#This Row],[Baseline Start]],Tasks[[#This Row],[_CalcStart]]))</f>
        <v/>
      </c>
      <c r="Y148" s="58" t="str">
        <f aca="false">IF(Tasks[[#This Row],[Task Name]]="","",IF(N(Tasks[[#This Row],[Baseline Finish]])&gt;0,Tasks[[#This Row],[Baseline Finish]],Tasks[[#This Row],[_CalcFinish]]))</f>
        <v/>
      </c>
      <c r="Z148" s="67" t="str">
        <f aca="false">IF(Tasks[[#This Row],[Task Name]]="","",IF(Tasks[[#This Row],[Start]]&gt;=Tasks[[#This Row],[Planned Start]],NETWORKDAYS.INTL(Tasks[[#This Row],[Planned Start]],Tasks[[#This Row],[Start]],WorkWeek,Holidays)-1,1-NETWORKDAYS.INTL(Tasks[[#This Row],[Start]],Tasks[[#This Row],[Planned Start]],WorkWeek,Holidays)))</f>
        <v/>
      </c>
      <c r="AA148" s="58" t="str">
        <f aca="false">IF(Tasks[[#This Row],[Task Name]]="","",IF(Tasks[[#This Row],[_IsSummary]],MIN(INDEX(Tasks[_LeafLateStart],Tasks[[#This Row],[_Row]]+1):INDEX(Tasks[_LeafLateStart],Tasks[[#This Row],[_Row]]+Tasks[[#This Row],[_Descendants]])),Tasks[[#This Row],[_LeafLateStart]]))</f>
        <v/>
      </c>
      <c r="AB148" s="58" t="str">
        <f aca="false">IF(Tasks[[#This Row],[Task Name]]="","",IF(Tasks[[#This Row],[_IsSummary]],MAX(INDEX(Tasks[_LeafLateFinish],Tasks[[#This Row],[_Row]]+1):INDEX(Tasks[_LeafLateFinish],Tasks[[#This Row],[_Row]]+Tasks[[#This Row],[_Descendants]])),Tasks[[#This Row],[_LeafLateFinish]]))</f>
        <v/>
      </c>
      <c r="AC148" s="67" t="str">
        <f aca="false">IF(Tasks[[#This Row],[Task Name]]="","",IF(Tasks[[#This Row],[_IsSummary]],MIN(INDEX(Tasks[_LeafTotalSlack],Tasks[[#This Row],[_Row]]+1):INDEX(Tasks[_LeafTotalSlack],Tasks[[#This Row],[_Row]]+Tasks[[#This Row],[_Descendants]])),Tasks[[#This Row],[_LeafTotalSlack]]))</f>
        <v/>
      </c>
      <c r="AD14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4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4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48" s="60"/>
      <c r="AH14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4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48" s="69" t="str">
        <f aca="false">IF(Tasks[[#This Row],[Task Name]]="","",IF(Tasks[[#This Row],[_IsSummary]],SUM(INDEX(Tasks[_LeafTotalWork],Tasks[[#This Row],[_Row]]+1):INDEX(Tasks[_LeafTotalWork],Tasks[[#This Row],[_Row]]+Tasks[[#This Row],[_Descendants]])),Tasks[[#This Row],[_LeafTotalWork]]))</f>
        <v/>
      </c>
      <c r="AK14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48" s="70" t="str">
        <f aca="false">IF(Tasks[[#This Row],[Task Name]]="","",IF(Tasks[[#This Row],[_IsSummary]],SUM(INDEX(Tasks[_LeafTotalCost],Tasks[[#This Row],[_Row]]+1):INDEX(Tasks[_LeafTotalCost],Tasks[[#This Row],[_Row]]+Tasks[[#This Row],[_Descendants]])),Tasks[[#This Row],[_LeafTotalCost]]))</f>
        <v/>
      </c>
      <c r="AM148" s="71"/>
      <c r="AN148" s="20" t="str">
        <f aca="false">IF(OR(Tasks[[#This Row],[Task Name]]="",Tasks[[#This Row],[Baseline Duration]]=""),"",Tasks[[#This Row],[BL Source Duration]]-N(Tasks[[#This Row],[Baseline Duration]]))</f>
        <v/>
      </c>
      <c r="AO148" s="69" t="str">
        <f aca="false">IF(OR(Tasks[[#This Row],[Task Name]]="",Tasks[[#This Row],[Baseline Work]]=""),"",Tasks[[#This Row],[Work]]-N(Tasks[[#This Row],[Baseline Work]]))</f>
        <v/>
      </c>
      <c r="AP148" s="70" t="str">
        <f aca="false">IF(OR(Tasks[[#This Row],[Task Name]]="",Tasks[[#This Row],[Baseline Cost]]=""),"",Tasks[[#This Row],[Cost]]-N(Tasks[[#This Row],[Baseline Cost]]))</f>
        <v/>
      </c>
      <c r="AQ148" s="58" t="str">
        <f aca="false">IF(Tasks[[#This Row],[Task Name]]="","",Tasks[[#This Row],[Start]])</f>
        <v/>
      </c>
      <c r="AR148" s="58" t="str">
        <f aca="false">IF(Tasks[[#This Row],[Task Name]]="","",Tasks[[#This Row],[Finish]])</f>
        <v/>
      </c>
      <c r="AS148" s="67" t="str">
        <f aca="false">IF(Tasks[[#This Row],[Task Name]]="","",IF(Tasks[[#This Row],[_IsSummary]],NETWORKDAYS.INTL(Tasks[[#This Row],[Start]],Tasks[[#This Row],[Finish]],WorkWeek,Holidays),N(Tasks[[#This Row],[Duration]])))</f>
        <v/>
      </c>
      <c r="AT148" s="69" t="str">
        <f aca="false">IF(Tasks[[#This Row],[Task Name]]="","",Tasks[[#This Row],[Work]])</f>
        <v/>
      </c>
      <c r="AU148" s="70" t="str">
        <f aca="false">IF(Tasks[[#This Row],[Task Name]]="","",Tasks[[#This Row],[Cost]])</f>
        <v/>
      </c>
      <c r="AV148" s="7"/>
      <c r="AW148" s="7"/>
      <c r="AX148" s="21"/>
      <c r="AY148" s="72"/>
      <c r="AZ148" s="71"/>
      <c r="BA148" s="70" t="str">
        <f aca="false">IF(Tasks[[#This Row],[Task Name]]="","",IF(Tasks[[#This Row],[_IsSummary]],SUM(INDEX(Tasks[_LeafEV],Tasks[[#This Row],[_Row]]+1):INDEX(Tasks[_LeafEV],Tasks[[#This Row],[_Row]]+Tasks[[#This Row],[_Descendants]])),Tasks[[#This Row],[_LeafEV]]))</f>
        <v/>
      </c>
      <c r="BB148" s="70" t="str">
        <f aca="false">IF(Tasks[[#This Row],[Task Name]]="","",IF(Tasks[[#This Row],[_IsSummary]],SUM(INDEX(Tasks[_LeafBudget],Tasks[[#This Row],[_Row]]+1):INDEX(Tasks[_LeafBudget],Tasks[[#This Row],[_Row]]+Tasks[[#This Row],[_Descendants]])),Tasks[[#This Row],[_LeafBudget]]))</f>
        <v/>
      </c>
      <c r="BC148" s="70" t="str">
        <f aca="false">IF(Tasks[[#This Row],[Task Name]]="","",IF(Tasks[[#This Row],[_IsSummary]],SUM(INDEX(Tasks[_LeafPV],Tasks[[#This Row],[_Row]]+1):INDEX(Tasks[_LeafPV],Tasks[[#This Row],[_Row]]+Tasks[[#This Row],[_Descendants]])),Tasks[[#This Row],[_LeafPV]]))</f>
        <v/>
      </c>
      <c r="BD148" s="70" t="str">
        <f aca="false">IF(Tasks[[#This Row],[Task Name]]="","",IF(Tasks[[#This Row],[_IsSummary]],SUM(INDEX(Tasks[_LeafAC],Tasks[[#This Row],[_Row]]+1):INDEX(Tasks[_LeafAC],Tasks[[#This Row],[_Row]]+Tasks[[#This Row],[_Descendants]])),Tasks[[#This Row],[_LeafAC]]))</f>
        <v/>
      </c>
      <c r="BE148" s="45" t="str">
        <f aca="false">IF(Tasks[[#This Row],[Task Name]]="","",MAX(1,N(Tasks[[#This Row],[Level]])))</f>
        <v/>
      </c>
      <c r="BF148" s="45" t="n">
        <f aca="false">ROW()-ROW(Tasks[[#Headers],[ID]])</f>
        <v>143</v>
      </c>
      <c r="BG148" s="45" t="n">
        <f aca="false">IF(OR(Tasks[[#This Row],[Task Name]]="",Tasks[[#This Row],[_Level]]&lt;=1),0,IFERROR(LOOKUP(2,1/(Tasks[[#Headers],[_Level]]:Tasks[[#This Row],[_Level]]=Tasks[[#This Row],[_Level]]-1),ROW(Tasks[[#Headers],[_Level]]:Tasks[[#This Row],[_Level]])),0))</f>
        <v>0</v>
      </c>
      <c r="BH148" s="45" t="n">
        <f aca="false">IFERROR(N(INDEX(Tasks[_Level],Tasks[[#This Row],[_Row]]+1)),0)</f>
        <v>0</v>
      </c>
      <c r="BI148" s="73" t="b">
        <f aca="false">AND(Tasks[[#This Row],[Task Name]]&lt;&gt;"",Tasks[[#This Row],[_NextLevel]]&gt;Tasks[[#This Row],[_Level]])</f>
        <v>0</v>
      </c>
      <c r="BJ148" s="45" t="n">
        <f aca="false">IF(Tasks[[#This Row],[_IsSummary]],COUNTIF(Tasks[WBS],Tasks[[#This Row],[WBS]]&amp;".*"),0)</f>
        <v>0</v>
      </c>
      <c r="BK148" s="45" t="n">
        <f aca="false">IF(AND(Tasks[[#This Row],[Task Name]]&lt;&gt;"",NOT(Tasks[[#This Row],[_IsSummary]])),1,0)</f>
        <v>0</v>
      </c>
      <c r="BL148" s="45" t="n">
        <f aca="false">IF(N(Tasks[[#This Row],[_Pred1UID]])=0,0,IFERROR(MATCH(Tasks[[#This Row],[_Pred1UID]],Tasks[UID],0),-1))</f>
        <v>0</v>
      </c>
      <c r="BM148" s="45" t="n">
        <f aca="false">IF(N(Tasks[[#This Row],[_Pred2UID]])=0,0,IFERROR(MATCH(Tasks[[#This Row],[_Pred2UID]],Tasks[UID],0),-1))</f>
        <v>0</v>
      </c>
      <c r="BN148" s="45" t="n">
        <f aca="false">IF(N(Tasks[[#This Row],[_Pred3UID]])=0,0,IFERROR(MATCH(Tasks[[#This Row],[_Pred3UID]],Tasks[UID],0),-1))</f>
        <v>0</v>
      </c>
      <c r="BO148" s="45" t="n">
        <f aca="false">IF(N(Tasks[[#This Row],[_Pred4UID]])=0,0,IFERROR(MATCH(Tasks[[#This Row],[_Pred4UID]],Tasks[UID],0),-1))</f>
        <v>0</v>
      </c>
      <c r="BP14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4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48" s="74" t="n">
        <f aca="false">IF(OR(Tasks[[#This Row],[_ConstraintCode]]=2,Tasks[[#This Row],[_ConstraintCode]]=3,Tasks[[#This Row],[_ConstraintCode]]=4,Tasks[[#This Row],[_ConstraintCode]]=6),Tasks[[#This Row],[_ConstraintStart]],0)</f>
        <v>0</v>
      </c>
      <c r="BS148" s="74" t="n">
        <f aca="false">IF(OR(Tasks[[#This Row],[_ConstraintCode]]=2,Tasks[[#This Row],[_ConstraintCode]]=3,Tasks[[#This Row],[_ConstraintCode]]=5,Tasks[[#This Row],[_ConstraintCode]]=7),Tasks[[#This Row],[_ConstraintStart]],2958465)</f>
        <v>2958465</v>
      </c>
      <c r="BT14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48" s="74" t="str">
        <f aca="false">IF(NOT(Tasks[[#This Row],[_IsLeaf]]=1),"",IF(N(Tasks[[#This Row],[Duration]])&lt;=0,Tasks[[#This Row],[_LeafCalcStart]],WORKDAY.INTL(Tasks[[#This Row],[_LeafCalcStart]],Tasks[[#This Row],[Duration]]-1,WorkWeek,Holidays)))</f>
        <v/>
      </c>
      <c r="BV14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4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48" s="45" t="str">
        <f aca="false">IF(Tasks[[#This Row],[Predecessors]]="","",TRIM(MID(SUBSTITUTE(SUBSTITUTE(SUBSTITUTE(UPPER(Tasks[[#This Row],[Predecessors]]),";",",")," ",""),",",REPT(" ",99)),1,99)))</f>
        <v/>
      </c>
      <c r="BY148" s="45" t="str">
        <f aca="false">IF(Tasks[[#This Row],[_Pred1Text]]="","",IFERROR(VALUE(LEFT(Tasks[[#This Row],[_Pred1Text]],MIN(FIND("F",Tasks[[#This Row],[_Pred1Text]]&amp;"F"),FIND("S",Tasks[[#This Row],[_Pred1Text]]&amp;"S"),FIND("+",Tasks[[#This Row],[_Pred1Text]]&amp;"+"),FIND("-",Tasks[[#This Row],[_Pred1Text]]&amp;"-"))-1)),""))</f>
        <v/>
      </c>
      <c r="BZ14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4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48" s="45" t="str">
        <f aca="false">IF(Tasks[[#This Row],[_Pred1Text]]="","",TRIM(MID(SUBSTITUTE(SUBSTITUTE(SUBSTITUTE(UPPER(Tasks[[#This Row],[Predecessors]]),";",",")," ",""),",",REPT(" ",99)),100,99)))</f>
        <v/>
      </c>
      <c r="CC148" s="45" t="str">
        <f aca="false">IF(Tasks[[#This Row],[_Pred2Text]]="","",IFERROR(VALUE(LEFT(Tasks[[#This Row],[_Pred2Text]],MIN(FIND("F",Tasks[[#This Row],[_Pred2Text]]&amp;"F"),FIND("S",Tasks[[#This Row],[_Pred2Text]]&amp;"S"),FIND("+",Tasks[[#This Row],[_Pred2Text]]&amp;"+"),FIND("-",Tasks[[#This Row],[_Pred2Text]]&amp;"-"))-1)),""))</f>
        <v/>
      </c>
      <c r="CD14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4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48" s="45" t="str">
        <f aca="false">IF(Tasks[[#This Row],[_Pred2Text]]="","",TRIM(MID(SUBSTITUTE(SUBSTITUTE(SUBSTITUTE(UPPER(Tasks[[#This Row],[Predecessors]]),";",",")," ",""),",",REPT(" ",99)),199,99)))</f>
        <v/>
      </c>
      <c r="CG148" s="45" t="str">
        <f aca="false">IF(Tasks[[#This Row],[_Pred3Text]]="","",IFERROR(VALUE(LEFT(Tasks[[#This Row],[_Pred3Text]],MIN(FIND("F",Tasks[[#This Row],[_Pred3Text]]&amp;"F"),FIND("S",Tasks[[#This Row],[_Pred3Text]]&amp;"S"),FIND("+",Tasks[[#This Row],[_Pred3Text]]&amp;"+"),FIND("-",Tasks[[#This Row],[_Pred3Text]]&amp;"-"))-1)),""))</f>
        <v/>
      </c>
      <c r="CH14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4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48" s="45" t="str">
        <f aca="false">IF(Tasks[[#This Row],[_Pred3Text]]="","",TRIM(MID(SUBSTITUTE(SUBSTITUTE(SUBSTITUTE(UPPER(Tasks[[#This Row],[Predecessors]]),";",",")," ",""),",",REPT(" ",99)),298,99)))</f>
        <v/>
      </c>
      <c r="CK148" s="45" t="str">
        <f aca="false">IF(Tasks[[#This Row],[_Pred4Text]]="","",IFERROR(VALUE(LEFT(Tasks[[#This Row],[_Pred4Text]],MIN(FIND("F",Tasks[[#This Row],[_Pred4Text]]&amp;"F"),FIND("S",Tasks[[#This Row],[_Pred4Text]]&amp;"S"),FIND("+",Tasks[[#This Row],[_Pred4Text]]&amp;"+"),FIND("-",Tasks[[#This Row],[_Pred4Text]]&amp;"-"))-1)),""))</f>
        <v/>
      </c>
      <c r="CL14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4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48" s="45" t="str">
        <f aca="false">IF(OR(Tasks[[#This Row],[Task Name]]="",Tasks[[#This Row],[Resources]]=""),"",TRIM(MID(SUBSTITUTE(Tasks[[#This Row],[Resources]],",",REPT(" ",99)),1,99)))</f>
        <v/>
      </c>
      <c r="CO148" s="45" t="str">
        <f aca="false">IF(Tasks[[#This Row],[_Res1Text]]="","",TRIM(MID(SUBSTITUTE(Tasks[[#This Row],[Resources]],",",REPT(" ",99)),100,99)))</f>
        <v/>
      </c>
      <c r="CP148" s="45" t="str">
        <f aca="false">IF(Tasks[[#This Row],[_Res2Text]]="","",TRIM(MID(SUBSTITUTE(Tasks[[#This Row],[Resources]],",",REPT(" ",99)),199,99)))</f>
        <v/>
      </c>
      <c r="CQ148" s="45" t="str">
        <f aca="false">IF(Tasks[[#This Row],[_Res3Text]]="","",TRIM(MID(SUBSTITUTE(Tasks[[#This Row],[Resources]],",",REPT(" ",99)),298,99)))</f>
        <v/>
      </c>
      <c r="CR14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4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8" s="45" t="n">
        <f aca="false">IF(NOT(Tasks[[#This Row],[_IsLeaf]]=1),0,(Tasks[[#This Row],[_Resource1]]&lt;&gt;"")+(Tasks[[#This Row],[_Res2]]&lt;&gt;"")+(Tasks[[#This Row],[_Res3]]&lt;&gt;"")+(Tasks[[#This Row],[_Res4]]&lt;&gt;""))</f>
        <v>0</v>
      </c>
      <c r="CU14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4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8" s="45" t="n">
        <f aca="false">IF(OR(NOT(Tasks[[#This Row],[_IsLeaf]]=1),Tasks[[#This Row],[_Res2]]=""),0,IF(ISNA(MATCH(Tasks[[#This Row],[_Res2]],res_Name,0)),0,N(Tasks[[#This Row],[Duration]])*HoursPerDay*IF(Tasks[[#This Row],[_Res2Units]]="",DefaultUnits,Tasks[[#This Row],[_Res2Units]])))</f>
        <v>0</v>
      </c>
      <c r="CX148" s="45" t="n">
        <f aca="false">IF(Tasks[[#This Row],[_Res2Work]]=0,0,Tasks[[#This Row],[_Res2Work]]*IFERROR(INDEX(res_Rate,MATCH(Tasks[[#This Row],[_Res2]],res_Name,0)),0))</f>
        <v>0</v>
      </c>
      <c r="CY148" s="45" t="n">
        <f aca="false">IF(AND(AND(Tasks[[#This Row],[_IsLeaf]]=1,Tasks[[#This Row],[_LeafTotalWork]]&gt;0),Tasks[[#This Row],[_Res2Work]]&gt;0),Tasks[[#This Row],[_Res2Work]]/(Tasks[[#This Row],[_FinishWorkday]]-Tasks[[#This Row],[_StartWorkday]]+1),0)</f>
        <v>0</v>
      </c>
      <c r="CZ148" s="45" t="n">
        <f aca="false">Tasks[[#This Row],[_Res2WorkPerWD]]*MAX(0,Tasks[[#This Row],[_StartWorkday]]-1)</f>
        <v>0</v>
      </c>
      <c r="DA148" s="45" t="n">
        <f aca="false">Tasks[[#This Row],[_Res2Work]]*Tasks[[#This Row],[_LeafProgress]]</f>
        <v>0</v>
      </c>
      <c r="DB148" s="45" t="n">
        <f aca="false">IF(Tasks[[#This Row],[_LeafTotalCost]]=0,0,Tasks[[#This Row],[_LeafAC]]*Tasks[[#This Row],[_Res2Cost]]/Tasks[[#This Row],[_LeafTotalCost]])</f>
        <v>0</v>
      </c>
      <c r="DC14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4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48" s="45" t="n">
        <f aca="false">IF(OR(NOT(Tasks[[#This Row],[_IsLeaf]]=1),Tasks[[#This Row],[_Res3]]=""),0,IF(ISNA(MATCH(Tasks[[#This Row],[_Res3]],res_Name,0)),0,N(Tasks[[#This Row],[Duration]])*HoursPerDay*IF(Tasks[[#This Row],[_Res3Units]]="",DefaultUnits,Tasks[[#This Row],[_Res3Units]])))</f>
        <v>0</v>
      </c>
      <c r="DF148" s="45" t="n">
        <f aca="false">IF(Tasks[[#This Row],[_Res3Work]]=0,0,Tasks[[#This Row],[_Res3Work]]*IFERROR(INDEX(res_Rate,MATCH(Tasks[[#This Row],[_Res3]],res_Name,0)),0))</f>
        <v>0</v>
      </c>
      <c r="DG148" s="45" t="n">
        <f aca="false">IF(AND(AND(Tasks[[#This Row],[_IsLeaf]]=1,Tasks[[#This Row],[_LeafTotalWork]]&gt;0),Tasks[[#This Row],[_Res3Work]]&gt;0),Tasks[[#This Row],[_Res3Work]]/(Tasks[[#This Row],[_FinishWorkday]]-Tasks[[#This Row],[_StartWorkday]]+1),0)</f>
        <v>0</v>
      </c>
      <c r="DH148" s="45" t="n">
        <f aca="false">Tasks[[#This Row],[_Res3WorkPerWD]]*MAX(0,Tasks[[#This Row],[_StartWorkday]]-1)</f>
        <v>0</v>
      </c>
      <c r="DI148" s="45" t="n">
        <f aca="false">Tasks[[#This Row],[_Res3Work]]*Tasks[[#This Row],[_LeafProgress]]</f>
        <v>0</v>
      </c>
      <c r="DJ148" s="45" t="n">
        <f aca="false">IF(Tasks[[#This Row],[_LeafTotalCost]]=0,0,Tasks[[#This Row],[_LeafAC]]*Tasks[[#This Row],[_Res3Cost]]/Tasks[[#This Row],[_LeafTotalCost]])</f>
        <v>0</v>
      </c>
      <c r="DK14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4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48" s="45" t="n">
        <f aca="false">IF(OR(NOT(Tasks[[#This Row],[_IsLeaf]]=1),Tasks[[#This Row],[_Res4]]=""),0,IF(ISNA(MATCH(Tasks[[#This Row],[_Res4]],res_Name,0)),0,N(Tasks[[#This Row],[Duration]])*HoursPerDay*IF(Tasks[[#This Row],[_Res4Units]]="",DefaultUnits,Tasks[[#This Row],[_Res4Units]])))</f>
        <v>0</v>
      </c>
      <c r="DN148" s="45" t="n">
        <f aca="false">IF(Tasks[[#This Row],[_Res4Work]]=0,0,Tasks[[#This Row],[_Res4Work]]*IFERROR(INDEX(res_Rate,MATCH(Tasks[[#This Row],[_Res4]],res_Name,0)),0))</f>
        <v>0</v>
      </c>
      <c r="DO148" s="45" t="n">
        <f aca="false">IF(AND(AND(Tasks[[#This Row],[_IsLeaf]]=1,Tasks[[#This Row],[_LeafTotalWork]]&gt;0),Tasks[[#This Row],[_Res4Work]]&gt;0),Tasks[[#This Row],[_Res4Work]]/(Tasks[[#This Row],[_FinishWorkday]]-Tasks[[#This Row],[_StartWorkday]]+1),0)</f>
        <v>0</v>
      </c>
      <c r="DP148" s="45" t="n">
        <f aca="false">Tasks[[#This Row],[_Res4WorkPerWD]]*MAX(0,Tasks[[#This Row],[_StartWorkday]]-1)</f>
        <v>0</v>
      </c>
      <c r="DQ148" s="45" t="n">
        <f aca="false">Tasks[[#This Row],[_Res4Work]]*Tasks[[#This Row],[_LeafProgress]]</f>
        <v>0</v>
      </c>
      <c r="DR148" s="45" t="n">
        <f aca="false">IF(Tasks[[#This Row],[_LeafTotalCost]]=0,0,Tasks[[#This Row],[_LeafAC]]*Tasks[[#This Row],[_Res4Cost]]/Tasks[[#This Row],[_LeafTotalCost]])</f>
        <v>0</v>
      </c>
      <c r="DS148" s="45" t="n">
        <f aca="false">IF(ISNUMBER(Tasks[[#This Row],[% Complete]]),Tasks[[#This Row],[% Complete]],IF(Tasks[[#This Row],[Stage]]="",0,IFERROR(INDEX(stg_Pct,MATCH(Tasks[[#This Row],[Stage]],stg_Name,0)),0)))</f>
        <v>0</v>
      </c>
      <c r="DT148" s="45" t="n">
        <f aca="false">IF(NOT(Tasks[[#This Row],[_IsLeaf]]=1),0,IF(N(Tasks[[#This Row],[Actual Finish]])&gt;0,1,MIN(1,Tasks[[#This Row],[_Pct]])))</f>
        <v>0</v>
      </c>
      <c r="DU148" s="45" t="n">
        <f aca="false">IF(OR(NOT(Tasks[[#This Row],[_IsLeaf]]=1),Tasks[[#This Row],[_Resource1]]=""),0,IF(ISNA(MATCH(Tasks[[#This Row],[_Resource1]],res_Name,0)),0,N(Tasks[[#This Row],[Duration]])*HoursPerDay*IF(Tasks[[#This Row],[_Units1]]="",DefaultUnits,Tasks[[#This Row],[_Units1]])))</f>
        <v>0</v>
      </c>
      <c r="DV148" s="45" t="n">
        <f aca="false">IF(Tasks[[#This Row],[_LeafWork]]=0,0,Tasks[[#This Row],[_LeafWork]]*IFERROR(INDEX(res_Rate,MATCH(Tasks[[#This Row],[_Resource1]],res_Name,0)),0))</f>
        <v>0</v>
      </c>
      <c r="DW148" s="45" t="n">
        <f aca="false">Tasks[[#This Row],[_LeafWork]]+Tasks[[#This Row],[_Res2Work]]+Tasks[[#This Row],[_Res3Work]]+Tasks[[#This Row],[_Res4Work]]</f>
        <v>0</v>
      </c>
      <c r="DX148" s="45" t="n">
        <f aca="false">Tasks[[#This Row],[_LeafCost]]+Tasks[[#This Row],[_Res2Cost]]+Tasks[[#This Row],[_Res3Cost]]+Tasks[[#This Row],[_Res4Cost]]</f>
        <v>0</v>
      </c>
      <c r="DY148" s="45" t="n">
        <f aca="false">IF(Tasks[[#This Row],[_LeafTotalCost]]=0,Tasks[[#This Row],[_LeafAC]],Tasks[[#This Row],[_LeafAC]]*Tasks[[#This Row],[_LeafCost]]/Tasks[[#This Row],[_LeafTotalCost]])</f>
        <v>0</v>
      </c>
      <c r="DZ14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4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4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4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4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4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4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4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48" s="45" t="n">
        <f aca="false">IF(NOT(Tasks[[#This Row],[_IsLeaf]]=1),0,MAX(_xlfn.MAXIFS(Tasks[_Row],Tasks[_Pred1UID],Tasks[[#This Row],[UID]]),_xlfn.MAXIFS(Tasks[_Row],Tasks[_Pred2UID],Tasks[[#This Row],[UID]]),_xlfn.MAXIFS(Tasks[_Row],Tasks[_Pred3UID],Tasks[[#This Row],[UID]]),_xlfn.MAXIFS(Tasks[_Row],Tasks[_Pred4UID],Tasks[[#This Row],[UID]])))</f>
        <v>0</v>
      </c>
      <c r="EI14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4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48" s="74" t="str">
        <f aca="false">IF(NOT(Tasks[[#This Row],[_IsLeaf]]=1),"",IF(N(Tasks[[#This Row],[Duration]])&lt;=0,Tasks[[#This Row],[_LeafLateFinish]],WORKDAY.INTL(Tasks[[#This Row],[_LeafLateFinish]],-(Tasks[[#This Row],[Duration]]-1),WorkWeek,Holidays)))</f>
        <v/>
      </c>
      <c r="EL14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48" s="73" t="b">
        <f aca="false">AND(Tasks[[#This Row],[_IsLeaf]]=1,Tasks[[#This Row],[_LeafProgress]]&lt;1,N(Tasks[[#This Row],[_LeafTotalSlack]])&lt;=CriticalSlackDays)</f>
        <v>0</v>
      </c>
      <c r="EN148" s="45" t="n">
        <f aca="false">IF(AND(Tasks[[#This Row],[_IsLeaf]]=1,Tasks[[#This Row],[_ConstraintCode]]=1,Tasks[[#This Row],[Mode]]&lt;&gt;"Manual",N(Tasks[[#This Row],[Actual Start]])=0),MAX(0,N(Tasks[[#This Row],[Free Slack]])),0)</f>
        <v>0</v>
      </c>
      <c r="EO148" s="74" t="str">
        <f aca="false">IF(NOT(Tasks[[#This Row],[_IsLeaf]]=1),"",IF(Tasks[[#This Row],[_AlapShift]]=0,Tasks[[#This Row],[_LeafCalcStart]],WORKDAY.INTL(Tasks[[#This Row],[_LeafCalcStart]],Tasks[[#This Row],[_AlapShift]],WorkWeek,Holidays)))</f>
        <v/>
      </c>
      <c r="EP148" s="74" t="str">
        <f aca="false">IF(NOT(Tasks[[#This Row],[_IsLeaf]]=1),"",IF(Tasks[[#This Row],[_AlapShift]]=0,Tasks[[#This Row],[_LeafCalcFinish]],WORKDAY.INTL(Tasks[[#This Row],[_LeafCalcFinish]],Tasks[[#This Row],[_AlapShift]],WorkWeek,Holidays)))</f>
        <v/>
      </c>
      <c r="EQ148" s="74" t="str">
        <f aca="false">IF(NOT(Tasks[[#This Row],[_IsLeaf]]=1),"",IF(Tasks[[#This Row],[_AlapShift]]=0,Tasks[[#This Row],[_LeafFcstStart]],WORKDAY.INTL(Tasks[[#This Row],[_LeafFcstStart]],Tasks[[#This Row],[_AlapShift]],WorkWeek,Holidays)))</f>
        <v/>
      </c>
      <c r="ER148" s="74" t="str">
        <f aca="false">IF(NOT(Tasks[[#This Row],[_IsLeaf]]=1),"",IF(Tasks[[#This Row],[_AlapShift]]=0,Tasks[[#This Row],[_LeafFcstFinish]],WORKDAY.INTL(Tasks[[#This Row],[_LeafFcstFinish]],Tasks[[#This Row],[_AlapShift]],WorkWeek,Holidays)))</f>
        <v/>
      </c>
      <c r="ES148" s="74" t="str">
        <f aca="false">IF(Tasks[[#This Row],[Task Name]]="","",IF(Tasks[[#This Row],[_IsSummary]],MIN(INDEX(Tasks[_ShownCalcStart],Tasks[[#This Row],[_Row]]+1):INDEX(Tasks[_ShownCalcStart],Tasks[[#This Row],[_Row]]+Tasks[[#This Row],[_Descendants]])),Tasks[[#This Row],[_ShownCalcStart]]))</f>
        <v/>
      </c>
      <c r="ET148" s="74" t="str">
        <f aca="false">IF(Tasks[[#This Row],[Task Name]]="","",IF(Tasks[[#This Row],[_IsSummary]],MAX(INDEX(Tasks[_ShownCalcFinish],Tasks[[#This Row],[_Row]]+1):INDEX(Tasks[_ShownCalcFinish],Tasks[[#This Row],[_Row]]+Tasks[[#This Row],[_Descendants]])),Tasks[[#This Row],[_ShownCalcFinish]]))</f>
        <v/>
      </c>
      <c r="EU14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4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4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4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4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4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4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4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4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4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4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4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48" s="45" t="n">
        <f aca="false">IF(AND(Tasks[[#This Row],[_IsLeaf]]=1,Tasks[[#This Row],[_LeafTotalWork]]&gt;0),NETWORKDAYS.INTL(ProjectStart,Tasks[[#This Row],[_ShownFcstStart]],WorkWeek,Holidays),0)</f>
        <v>0</v>
      </c>
      <c r="FH148" s="45" t="n">
        <f aca="false">IF(AND(Tasks[[#This Row],[_IsLeaf]]=1,Tasks[[#This Row],[_LeafTotalWork]]&gt;0),MAX(Tasks[[#This Row],[_StartWorkday]],NETWORKDAYS.INTL(ProjectStart,Tasks[[#This Row],[_ShownFcstFinish]],WorkWeek,Holidays)),0)</f>
        <v>0</v>
      </c>
      <c r="FI148" s="45" t="n">
        <f aca="false">IF(AND(Tasks[[#This Row],[_IsLeaf]]=1,Tasks[[#This Row],[_LeafTotalWork]]&gt;0),Tasks[[#This Row],[_LeafWork]]/(Tasks[[#This Row],[_FinishWorkday]]-Tasks[[#This Row],[_StartWorkday]]+1),0)</f>
        <v>0</v>
      </c>
      <c r="FJ148" s="45" t="n">
        <f aca="false">Tasks[[#This Row],[_WorkPerWorkday]]*(Tasks[[#This Row],[_StartWorkday]]-1)</f>
        <v>-0</v>
      </c>
      <c r="FK148" s="45" t="n">
        <f aca="false">IF(Tasks[[#This Row],[_IsLeaf]]=1,MAX(N(Tasks[[#This Row],[Duration]]),0.1),0)</f>
        <v>0</v>
      </c>
      <c r="FL148" s="45" t="n">
        <f aca="false">Tasks[[#This Row],[_WeightDur]]*Tasks[[#This Row],[_LeafProgress]]</f>
        <v>0</v>
      </c>
      <c r="FM14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48" s="45" t="str">
        <f aca="false">IF(AND(Tasks[[#This Row],[_IsLeaf]]=1,N(Tasks[[#This Row],[Duration]])=0,Tasks[[#This Row],[_LeafProgress]]&lt;1),Tasks[[#This Row],[_ShownFcstFinish]]+Tasks[[#This Row],[_Row]]/100000,"")</f>
        <v/>
      </c>
      <c r="FO14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48" s="45" t="n">
        <f aca="false">IF(NOT(Tasks[[#This Row],[_IsLeaf]]=1),0,IF(Tasks[[#This Row],[Baseline Cost]]="",Tasks[[#This Row],[_LeafTotalCost]],N(Tasks[[#This Row],[Baseline Cost]])))</f>
        <v>0</v>
      </c>
      <c r="FQ148" s="45" t="n">
        <f aca="false">Tasks[[#This Row],[_LeafBudget]]*Tasks[[#This Row],[_PlannedPct]]</f>
        <v>0</v>
      </c>
      <c r="FR148" s="45" t="n">
        <f aca="false">Tasks[[#This Row],[_LeafBudget]]*Tasks[[#This Row],[_LeafProgress]]</f>
        <v>0</v>
      </c>
      <c r="FS148" s="45" t="n">
        <f aca="false">IF(NOT(Tasks[[#This Row],[_IsLeaf]]=1),0,IF(Tasks[[#This Row],[Actual Cost]]="",Tasks[[#This Row],[_LeafTotalCost]]*Tasks[[#This Row],[_LeafProgress]],N(Tasks[[#This Row],[Actual Cost]])))</f>
        <v>0</v>
      </c>
      <c r="FT148" s="45" t="str">
        <f aca="false">IF(Tasks[[#This Row],[Task Name]]="","",LEFT(Tasks[[#This Row],[WBS]],FIND(".",Tasks[[#This Row],[WBS]]&amp;".")-1))</f>
        <v/>
      </c>
      <c r="FU148" s="45" t="str">
        <f aca="false">IF(AND(Tasks[[#This Row],[Task Name]]&lt;&gt;"",Tasks[[#This Row],[_Level]]=1),Tasks[[#This Row],[_Row]],"")</f>
        <v/>
      </c>
      <c r="FV148" s="45" t="str">
        <f aca="false">IF(AND(Tasks[[#This Row],[_IsLeaf]]=1,N(Tasks[[#This Row],[Duration]])=0),Tasks[[#This Row],[Planned Finish]]+Tasks[[#This Row],[_Row]]/100000,"")</f>
        <v/>
      </c>
      <c r="FW148" s="45" t="str">
        <f aca="false">IF(AND(Tasks[[#This Row],[_IsLeaf]]=1,Tasks[[#This Row],[_LeafProgress]]&lt;1,OR(N(Tasks[[#This Row],[Finish Var]])&gt;0,Tasks[[#This Row],[Status]]="Late Start")),MAX(0,Tasks[[#This Row],[Finish Var]])+1-Tasks[[#This Row],[_Row]]/1000000,"")</f>
        <v/>
      </c>
      <c r="FX148" s="45" t="str">
        <f aca="false">IF(AND(Tasks[[#This Row],[_IsLeaf]]=1,N(Tasks[[#This Row],[Actual Start]])=0,Tasks[[#This Row],[_ShownFcstStart]]&gt;=StatusDate,Tasks[[#This Row],[_ShownFcstStart]]&lt;=LookaheadEnd),Tasks[[#This Row],[_ShownFcstStart]]+Tasks[[#This Row],[_Row]]/100000,"")</f>
        <v/>
      </c>
      <c r="FY148" s="45" t="str">
        <f aca="false">IF(AND(Tasks[[#This Row],[_IsLeaf]]=1,Tasks[[#This Row],[_LeafProgress]]&lt;1,Tasks[[#This Row],[_ShownFcstFinish]]&gt;=StatusDate,Tasks[[#This Row],[_ShownFcstFinish]]&lt;=LookaheadEnd),Tasks[[#This Row],[_ShownFcstFinish]]+Tasks[[#This Row],[_Row]]/100000,"")</f>
        <v/>
      </c>
      <c r="FZ148" s="45" t="str">
        <f aca="false">IF(Tasks[[#This Row],[_LeafCritical]],Tasks[[#This Row],[_ShownFcstStart]]+Tasks[[#This Row],[_Row]]/100000,"")</f>
        <v/>
      </c>
      <c r="GA148" s="45" t="n">
        <f aca="false">Tasks[[#This Row],[_LeafWork]]*Tasks[[#This Row],[_LeafProgress]]</f>
        <v>0</v>
      </c>
      <c r="GB148" s="74" t="str">
        <f aca="false">IF(AND(Tasks[[#This Row],[_IsLeaf]]=1,Tasks[[#This Row],[_LeafProgress]]&gt;=1),IF(N(Tasks[[#This Row],[Actual Finish]])&gt;0,Tasks[[#This Row],[Actual Finish]],Tasks[[#This Row],[_ShownFcstFinish]]),"")</f>
        <v/>
      </c>
    </row>
    <row r="149" customFormat="false" ht="15" hidden="false" customHeight="false" outlineLevel="0" collapsed="false">
      <c r="A149" s="67" t="str">
        <f aca="false">IF(Tasks[[#This Row],[Task Name]]="","",COUNTA(Tasks[[#Headers],[Task Name]]:Tasks[[#This Row],[Task Name]])-1)</f>
        <v/>
      </c>
      <c r="B149" s="21" t="n">
        <v>144</v>
      </c>
      <c r="C14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21"/>
      <c r="E149" s="22"/>
      <c r="F149" s="21"/>
      <c r="G149" s="22"/>
      <c r="H149" s="22"/>
      <c r="I149" s="22"/>
      <c r="J149" s="7"/>
      <c r="K149" s="7"/>
      <c r="L149" s="22"/>
      <c r="M149" s="58" t="str">
        <f aca="false">IF(Tasks[[#This Row],[Task Name]]="","",IF(Tasks[[#This Row],[_IsSummary]],MIN(INDEX(Tasks[_ShownFcstStart],Tasks[[#This Row],[_Row]]+1):INDEX(Tasks[_ShownFcstStart],Tasks[[#This Row],[_Row]]+Tasks[[#This Row],[_Descendants]])),Tasks[[#This Row],[_ShownFcstStart]]))</f>
        <v/>
      </c>
      <c r="N149" s="58" t="str">
        <f aca="false">IF(Tasks[[#This Row],[Task Name]]="","",IF(Tasks[[#This Row],[_IsSummary]],MAX(INDEX(Tasks[_ShownFcstFinish],Tasks[[#This Row],[_Row]]+1):INDEX(Tasks[_ShownFcstFinish],Tasks[[#This Row],[_Row]]+Tasks[[#This Row],[_Descendants]])),Tasks[[#This Row],[_ShownFcstFinish]]))</f>
        <v/>
      </c>
      <c r="O149" s="20" t="str">
        <f aca="false">IF(Tasks[[#This Row],[Task Name]]="","",IF(Tasks[[#This Row],[Progress]]&gt;=1,"Complete",IF(OR(N(Tasks[[#This Row],[Actual Start]])&gt;0,Tasks[[#This Row],[Progress]]&gt;0),IF(Tasks[[#This Row],[Finish Var]]&gt;0,"Behind","In Progress"),IF(Tasks[[#This Row],[Planned Start]]&lt;StatusDate,"Late Start","Not Started"))))</f>
        <v/>
      </c>
      <c r="P149" s="20" t="str">
        <f aca="false">IF(Tasks[[#This Row],[Task Name]]="","",IF(IF(Tasks[[#This Row],[_IsSummary]],COUNTIF(INDEX(Tasks[_LeafCritical],Tasks[[#This Row],[_Row]]+1):INDEX(Tasks[_LeafCritical],Tasks[[#This Row],[_Row]]+Tasks[[#This Row],[_Descendants]]),TRUE())&gt;0,Tasks[[#This Row],[_LeafCritical]]),"Yes",""))</f>
        <v/>
      </c>
      <c r="Q14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49" s="67" t="str">
        <f aca="false">IF(Tasks[[#This Row],[Task Name]]="","",IF(Tasks[[#This Row],[_Level]]&lt;=OutlineShowLevel,"Yes","No"))</f>
        <v/>
      </c>
      <c r="S149" s="7"/>
      <c r="T149" s="21"/>
      <c r="U149" s="22"/>
      <c r="V149" s="7"/>
      <c r="W149" s="67" t="str">
        <f aca="false">IF(Tasks[[#This Row],[Task Name]]="","",IF(Tasks[[#This Row],[Finish]]&gt;=Tasks[[#This Row],[Planned Finish]],NETWORKDAYS.INTL(Tasks[[#This Row],[Planned Finish]],Tasks[[#This Row],[Finish]],WorkWeek,Holidays)-1,1-NETWORKDAYS.INTL(Tasks[[#This Row],[Finish]],Tasks[[#This Row],[Planned Finish]],WorkWeek,Holidays)))</f>
        <v/>
      </c>
      <c r="X149" s="58" t="str">
        <f aca="false">IF(Tasks[[#This Row],[Task Name]]="","",IF(N(Tasks[[#This Row],[Baseline Start]])&gt;0,Tasks[[#This Row],[Baseline Start]],Tasks[[#This Row],[_CalcStart]]))</f>
        <v/>
      </c>
      <c r="Y149" s="58" t="str">
        <f aca="false">IF(Tasks[[#This Row],[Task Name]]="","",IF(N(Tasks[[#This Row],[Baseline Finish]])&gt;0,Tasks[[#This Row],[Baseline Finish]],Tasks[[#This Row],[_CalcFinish]]))</f>
        <v/>
      </c>
      <c r="Z149" s="67" t="str">
        <f aca="false">IF(Tasks[[#This Row],[Task Name]]="","",IF(Tasks[[#This Row],[Start]]&gt;=Tasks[[#This Row],[Planned Start]],NETWORKDAYS.INTL(Tasks[[#This Row],[Planned Start]],Tasks[[#This Row],[Start]],WorkWeek,Holidays)-1,1-NETWORKDAYS.INTL(Tasks[[#This Row],[Start]],Tasks[[#This Row],[Planned Start]],WorkWeek,Holidays)))</f>
        <v/>
      </c>
      <c r="AA149" s="58" t="str">
        <f aca="false">IF(Tasks[[#This Row],[Task Name]]="","",IF(Tasks[[#This Row],[_IsSummary]],MIN(INDEX(Tasks[_LeafLateStart],Tasks[[#This Row],[_Row]]+1):INDEX(Tasks[_LeafLateStart],Tasks[[#This Row],[_Row]]+Tasks[[#This Row],[_Descendants]])),Tasks[[#This Row],[_LeafLateStart]]))</f>
        <v/>
      </c>
      <c r="AB149" s="58" t="str">
        <f aca="false">IF(Tasks[[#This Row],[Task Name]]="","",IF(Tasks[[#This Row],[_IsSummary]],MAX(INDEX(Tasks[_LeafLateFinish],Tasks[[#This Row],[_Row]]+1):INDEX(Tasks[_LeafLateFinish],Tasks[[#This Row],[_Row]]+Tasks[[#This Row],[_Descendants]])),Tasks[[#This Row],[_LeafLateFinish]]))</f>
        <v/>
      </c>
      <c r="AC149" s="67" t="str">
        <f aca="false">IF(Tasks[[#This Row],[Task Name]]="","",IF(Tasks[[#This Row],[_IsSummary]],MIN(INDEX(Tasks[_LeafTotalSlack],Tasks[[#This Row],[_Row]]+1):INDEX(Tasks[_LeafTotalSlack],Tasks[[#This Row],[_Row]]+Tasks[[#This Row],[_Descendants]])),Tasks[[#This Row],[_LeafTotalSlack]]))</f>
        <v/>
      </c>
      <c r="AD14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4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4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49" s="60"/>
      <c r="AH14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4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49" s="69" t="str">
        <f aca="false">IF(Tasks[[#This Row],[Task Name]]="","",IF(Tasks[[#This Row],[_IsSummary]],SUM(INDEX(Tasks[_LeafTotalWork],Tasks[[#This Row],[_Row]]+1):INDEX(Tasks[_LeafTotalWork],Tasks[[#This Row],[_Row]]+Tasks[[#This Row],[_Descendants]])),Tasks[[#This Row],[_LeafTotalWork]]))</f>
        <v/>
      </c>
      <c r="AK14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49" s="70" t="str">
        <f aca="false">IF(Tasks[[#This Row],[Task Name]]="","",IF(Tasks[[#This Row],[_IsSummary]],SUM(INDEX(Tasks[_LeafTotalCost],Tasks[[#This Row],[_Row]]+1):INDEX(Tasks[_LeafTotalCost],Tasks[[#This Row],[_Row]]+Tasks[[#This Row],[_Descendants]])),Tasks[[#This Row],[_LeafTotalCost]]))</f>
        <v/>
      </c>
      <c r="AM149" s="71"/>
      <c r="AN149" s="20" t="str">
        <f aca="false">IF(OR(Tasks[[#This Row],[Task Name]]="",Tasks[[#This Row],[Baseline Duration]]=""),"",Tasks[[#This Row],[BL Source Duration]]-N(Tasks[[#This Row],[Baseline Duration]]))</f>
        <v/>
      </c>
      <c r="AO149" s="69" t="str">
        <f aca="false">IF(OR(Tasks[[#This Row],[Task Name]]="",Tasks[[#This Row],[Baseline Work]]=""),"",Tasks[[#This Row],[Work]]-N(Tasks[[#This Row],[Baseline Work]]))</f>
        <v/>
      </c>
      <c r="AP149" s="70" t="str">
        <f aca="false">IF(OR(Tasks[[#This Row],[Task Name]]="",Tasks[[#This Row],[Baseline Cost]]=""),"",Tasks[[#This Row],[Cost]]-N(Tasks[[#This Row],[Baseline Cost]]))</f>
        <v/>
      </c>
      <c r="AQ149" s="58" t="str">
        <f aca="false">IF(Tasks[[#This Row],[Task Name]]="","",Tasks[[#This Row],[Start]])</f>
        <v/>
      </c>
      <c r="AR149" s="58" t="str">
        <f aca="false">IF(Tasks[[#This Row],[Task Name]]="","",Tasks[[#This Row],[Finish]])</f>
        <v/>
      </c>
      <c r="AS149" s="67" t="str">
        <f aca="false">IF(Tasks[[#This Row],[Task Name]]="","",IF(Tasks[[#This Row],[_IsSummary]],NETWORKDAYS.INTL(Tasks[[#This Row],[Start]],Tasks[[#This Row],[Finish]],WorkWeek,Holidays),N(Tasks[[#This Row],[Duration]])))</f>
        <v/>
      </c>
      <c r="AT149" s="69" t="str">
        <f aca="false">IF(Tasks[[#This Row],[Task Name]]="","",Tasks[[#This Row],[Work]])</f>
        <v/>
      </c>
      <c r="AU149" s="70" t="str">
        <f aca="false">IF(Tasks[[#This Row],[Task Name]]="","",Tasks[[#This Row],[Cost]])</f>
        <v/>
      </c>
      <c r="AV149" s="7"/>
      <c r="AW149" s="7"/>
      <c r="AX149" s="21"/>
      <c r="AY149" s="72"/>
      <c r="AZ149" s="71"/>
      <c r="BA149" s="70" t="str">
        <f aca="false">IF(Tasks[[#This Row],[Task Name]]="","",IF(Tasks[[#This Row],[_IsSummary]],SUM(INDEX(Tasks[_LeafEV],Tasks[[#This Row],[_Row]]+1):INDEX(Tasks[_LeafEV],Tasks[[#This Row],[_Row]]+Tasks[[#This Row],[_Descendants]])),Tasks[[#This Row],[_LeafEV]]))</f>
        <v/>
      </c>
      <c r="BB149" s="70" t="str">
        <f aca="false">IF(Tasks[[#This Row],[Task Name]]="","",IF(Tasks[[#This Row],[_IsSummary]],SUM(INDEX(Tasks[_LeafBudget],Tasks[[#This Row],[_Row]]+1):INDEX(Tasks[_LeafBudget],Tasks[[#This Row],[_Row]]+Tasks[[#This Row],[_Descendants]])),Tasks[[#This Row],[_LeafBudget]]))</f>
        <v/>
      </c>
      <c r="BC149" s="70" t="str">
        <f aca="false">IF(Tasks[[#This Row],[Task Name]]="","",IF(Tasks[[#This Row],[_IsSummary]],SUM(INDEX(Tasks[_LeafPV],Tasks[[#This Row],[_Row]]+1):INDEX(Tasks[_LeafPV],Tasks[[#This Row],[_Row]]+Tasks[[#This Row],[_Descendants]])),Tasks[[#This Row],[_LeafPV]]))</f>
        <v/>
      </c>
      <c r="BD149" s="70" t="str">
        <f aca="false">IF(Tasks[[#This Row],[Task Name]]="","",IF(Tasks[[#This Row],[_IsSummary]],SUM(INDEX(Tasks[_LeafAC],Tasks[[#This Row],[_Row]]+1):INDEX(Tasks[_LeafAC],Tasks[[#This Row],[_Row]]+Tasks[[#This Row],[_Descendants]])),Tasks[[#This Row],[_LeafAC]]))</f>
        <v/>
      </c>
      <c r="BE149" s="45" t="str">
        <f aca="false">IF(Tasks[[#This Row],[Task Name]]="","",MAX(1,N(Tasks[[#This Row],[Level]])))</f>
        <v/>
      </c>
      <c r="BF149" s="45" t="n">
        <f aca="false">ROW()-ROW(Tasks[[#Headers],[ID]])</f>
        <v>144</v>
      </c>
      <c r="BG149" s="45" t="n">
        <f aca="false">IF(OR(Tasks[[#This Row],[Task Name]]="",Tasks[[#This Row],[_Level]]&lt;=1),0,IFERROR(LOOKUP(2,1/(Tasks[[#Headers],[_Level]]:Tasks[[#This Row],[_Level]]=Tasks[[#This Row],[_Level]]-1),ROW(Tasks[[#Headers],[_Level]]:Tasks[[#This Row],[_Level]])),0))</f>
        <v>0</v>
      </c>
      <c r="BH149" s="45" t="n">
        <f aca="false">IFERROR(N(INDEX(Tasks[_Level],Tasks[[#This Row],[_Row]]+1)),0)</f>
        <v>0</v>
      </c>
      <c r="BI149" s="73" t="b">
        <f aca="false">AND(Tasks[[#This Row],[Task Name]]&lt;&gt;"",Tasks[[#This Row],[_NextLevel]]&gt;Tasks[[#This Row],[_Level]])</f>
        <v>0</v>
      </c>
      <c r="BJ149" s="45" t="n">
        <f aca="false">IF(Tasks[[#This Row],[_IsSummary]],COUNTIF(Tasks[WBS],Tasks[[#This Row],[WBS]]&amp;".*"),0)</f>
        <v>0</v>
      </c>
      <c r="BK149" s="45" t="n">
        <f aca="false">IF(AND(Tasks[[#This Row],[Task Name]]&lt;&gt;"",NOT(Tasks[[#This Row],[_IsSummary]])),1,0)</f>
        <v>0</v>
      </c>
      <c r="BL149" s="45" t="n">
        <f aca="false">IF(N(Tasks[[#This Row],[_Pred1UID]])=0,0,IFERROR(MATCH(Tasks[[#This Row],[_Pred1UID]],Tasks[UID],0),-1))</f>
        <v>0</v>
      </c>
      <c r="BM149" s="45" t="n">
        <f aca="false">IF(N(Tasks[[#This Row],[_Pred2UID]])=0,0,IFERROR(MATCH(Tasks[[#This Row],[_Pred2UID]],Tasks[UID],0),-1))</f>
        <v>0</v>
      </c>
      <c r="BN149" s="45" t="n">
        <f aca="false">IF(N(Tasks[[#This Row],[_Pred3UID]])=0,0,IFERROR(MATCH(Tasks[[#This Row],[_Pred3UID]],Tasks[UID],0),-1))</f>
        <v>0</v>
      </c>
      <c r="BO149" s="45" t="n">
        <f aca="false">IF(N(Tasks[[#This Row],[_Pred4UID]])=0,0,IFERROR(MATCH(Tasks[[#This Row],[_Pred4UID]],Tasks[UID],0),-1))</f>
        <v>0</v>
      </c>
      <c r="BP14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4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49" s="74" t="n">
        <f aca="false">IF(OR(Tasks[[#This Row],[_ConstraintCode]]=2,Tasks[[#This Row],[_ConstraintCode]]=3,Tasks[[#This Row],[_ConstraintCode]]=4,Tasks[[#This Row],[_ConstraintCode]]=6),Tasks[[#This Row],[_ConstraintStart]],0)</f>
        <v>0</v>
      </c>
      <c r="BS149" s="74" t="n">
        <f aca="false">IF(OR(Tasks[[#This Row],[_ConstraintCode]]=2,Tasks[[#This Row],[_ConstraintCode]]=3,Tasks[[#This Row],[_ConstraintCode]]=5,Tasks[[#This Row],[_ConstraintCode]]=7),Tasks[[#This Row],[_ConstraintStart]],2958465)</f>
        <v>2958465</v>
      </c>
      <c r="BT14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49" s="74" t="str">
        <f aca="false">IF(NOT(Tasks[[#This Row],[_IsLeaf]]=1),"",IF(N(Tasks[[#This Row],[Duration]])&lt;=0,Tasks[[#This Row],[_LeafCalcStart]],WORKDAY.INTL(Tasks[[#This Row],[_LeafCalcStart]],Tasks[[#This Row],[Duration]]-1,WorkWeek,Holidays)))</f>
        <v/>
      </c>
      <c r="BV14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4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49" s="45" t="str">
        <f aca="false">IF(Tasks[[#This Row],[Predecessors]]="","",TRIM(MID(SUBSTITUTE(SUBSTITUTE(SUBSTITUTE(UPPER(Tasks[[#This Row],[Predecessors]]),";",",")," ",""),",",REPT(" ",99)),1,99)))</f>
        <v/>
      </c>
      <c r="BY149" s="45" t="str">
        <f aca="false">IF(Tasks[[#This Row],[_Pred1Text]]="","",IFERROR(VALUE(LEFT(Tasks[[#This Row],[_Pred1Text]],MIN(FIND("F",Tasks[[#This Row],[_Pred1Text]]&amp;"F"),FIND("S",Tasks[[#This Row],[_Pred1Text]]&amp;"S"),FIND("+",Tasks[[#This Row],[_Pred1Text]]&amp;"+"),FIND("-",Tasks[[#This Row],[_Pred1Text]]&amp;"-"))-1)),""))</f>
        <v/>
      </c>
      <c r="BZ14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4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49" s="45" t="str">
        <f aca="false">IF(Tasks[[#This Row],[_Pred1Text]]="","",TRIM(MID(SUBSTITUTE(SUBSTITUTE(SUBSTITUTE(UPPER(Tasks[[#This Row],[Predecessors]]),";",",")," ",""),",",REPT(" ",99)),100,99)))</f>
        <v/>
      </c>
      <c r="CC149" s="45" t="str">
        <f aca="false">IF(Tasks[[#This Row],[_Pred2Text]]="","",IFERROR(VALUE(LEFT(Tasks[[#This Row],[_Pred2Text]],MIN(FIND("F",Tasks[[#This Row],[_Pred2Text]]&amp;"F"),FIND("S",Tasks[[#This Row],[_Pred2Text]]&amp;"S"),FIND("+",Tasks[[#This Row],[_Pred2Text]]&amp;"+"),FIND("-",Tasks[[#This Row],[_Pred2Text]]&amp;"-"))-1)),""))</f>
        <v/>
      </c>
      <c r="CD14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4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49" s="45" t="str">
        <f aca="false">IF(Tasks[[#This Row],[_Pred2Text]]="","",TRIM(MID(SUBSTITUTE(SUBSTITUTE(SUBSTITUTE(UPPER(Tasks[[#This Row],[Predecessors]]),";",",")," ",""),",",REPT(" ",99)),199,99)))</f>
        <v/>
      </c>
      <c r="CG149" s="45" t="str">
        <f aca="false">IF(Tasks[[#This Row],[_Pred3Text]]="","",IFERROR(VALUE(LEFT(Tasks[[#This Row],[_Pred3Text]],MIN(FIND("F",Tasks[[#This Row],[_Pred3Text]]&amp;"F"),FIND("S",Tasks[[#This Row],[_Pred3Text]]&amp;"S"),FIND("+",Tasks[[#This Row],[_Pred3Text]]&amp;"+"),FIND("-",Tasks[[#This Row],[_Pred3Text]]&amp;"-"))-1)),""))</f>
        <v/>
      </c>
      <c r="CH14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4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49" s="45" t="str">
        <f aca="false">IF(Tasks[[#This Row],[_Pred3Text]]="","",TRIM(MID(SUBSTITUTE(SUBSTITUTE(SUBSTITUTE(UPPER(Tasks[[#This Row],[Predecessors]]),";",",")," ",""),",",REPT(" ",99)),298,99)))</f>
        <v/>
      </c>
      <c r="CK149" s="45" t="str">
        <f aca="false">IF(Tasks[[#This Row],[_Pred4Text]]="","",IFERROR(VALUE(LEFT(Tasks[[#This Row],[_Pred4Text]],MIN(FIND("F",Tasks[[#This Row],[_Pred4Text]]&amp;"F"),FIND("S",Tasks[[#This Row],[_Pred4Text]]&amp;"S"),FIND("+",Tasks[[#This Row],[_Pred4Text]]&amp;"+"),FIND("-",Tasks[[#This Row],[_Pred4Text]]&amp;"-"))-1)),""))</f>
        <v/>
      </c>
      <c r="CL14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4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49" s="45" t="str">
        <f aca="false">IF(OR(Tasks[[#This Row],[Task Name]]="",Tasks[[#This Row],[Resources]]=""),"",TRIM(MID(SUBSTITUTE(Tasks[[#This Row],[Resources]],",",REPT(" ",99)),1,99)))</f>
        <v/>
      </c>
      <c r="CO149" s="45" t="str">
        <f aca="false">IF(Tasks[[#This Row],[_Res1Text]]="","",TRIM(MID(SUBSTITUTE(Tasks[[#This Row],[Resources]],",",REPT(" ",99)),100,99)))</f>
        <v/>
      </c>
      <c r="CP149" s="45" t="str">
        <f aca="false">IF(Tasks[[#This Row],[_Res2Text]]="","",TRIM(MID(SUBSTITUTE(Tasks[[#This Row],[Resources]],",",REPT(" ",99)),199,99)))</f>
        <v/>
      </c>
      <c r="CQ149" s="45" t="str">
        <f aca="false">IF(Tasks[[#This Row],[_Res3Text]]="","",TRIM(MID(SUBSTITUTE(Tasks[[#This Row],[Resources]],",",REPT(" ",99)),298,99)))</f>
        <v/>
      </c>
      <c r="CR14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4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9" s="45" t="n">
        <f aca="false">IF(NOT(Tasks[[#This Row],[_IsLeaf]]=1),0,(Tasks[[#This Row],[_Resource1]]&lt;&gt;"")+(Tasks[[#This Row],[_Res2]]&lt;&gt;"")+(Tasks[[#This Row],[_Res3]]&lt;&gt;"")+(Tasks[[#This Row],[_Res4]]&lt;&gt;""))</f>
        <v>0</v>
      </c>
      <c r="CU14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4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9" s="45" t="n">
        <f aca="false">IF(OR(NOT(Tasks[[#This Row],[_IsLeaf]]=1),Tasks[[#This Row],[_Res2]]=""),0,IF(ISNA(MATCH(Tasks[[#This Row],[_Res2]],res_Name,0)),0,N(Tasks[[#This Row],[Duration]])*HoursPerDay*IF(Tasks[[#This Row],[_Res2Units]]="",DefaultUnits,Tasks[[#This Row],[_Res2Units]])))</f>
        <v>0</v>
      </c>
      <c r="CX149" s="45" t="n">
        <f aca="false">IF(Tasks[[#This Row],[_Res2Work]]=0,0,Tasks[[#This Row],[_Res2Work]]*IFERROR(INDEX(res_Rate,MATCH(Tasks[[#This Row],[_Res2]],res_Name,0)),0))</f>
        <v>0</v>
      </c>
      <c r="CY149" s="45" t="n">
        <f aca="false">IF(AND(AND(Tasks[[#This Row],[_IsLeaf]]=1,Tasks[[#This Row],[_LeafTotalWork]]&gt;0),Tasks[[#This Row],[_Res2Work]]&gt;0),Tasks[[#This Row],[_Res2Work]]/(Tasks[[#This Row],[_FinishWorkday]]-Tasks[[#This Row],[_StartWorkday]]+1),0)</f>
        <v>0</v>
      </c>
      <c r="CZ149" s="45" t="n">
        <f aca="false">Tasks[[#This Row],[_Res2WorkPerWD]]*MAX(0,Tasks[[#This Row],[_StartWorkday]]-1)</f>
        <v>0</v>
      </c>
      <c r="DA149" s="45" t="n">
        <f aca="false">Tasks[[#This Row],[_Res2Work]]*Tasks[[#This Row],[_LeafProgress]]</f>
        <v>0</v>
      </c>
      <c r="DB149" s="45" t="n">
        <f aca="false">IF(Tasks[[#This Row],[_LeafTotalCost]]=0,0,Tasks[[#This Row],[_LeafAC]]*Tasks[[#This Row],[_Res2Cost]]/Tasks[[#This Row],[_LeafTotalCost]])</f>
        <v>0</v>
      </c>
      <c r="DC14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4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49" s="45" t="n">
        <f aca="false">IF(OR(NOT(Tasks[[#This Row],[_IsLeaf]]=1),Tasks[[#This Row],[_Res3]]=""),0,IF(ISNA(MATCH(Tasks[[#This Row],[_Res3]],res_Name,0)),0,N(Tasks[[#This Row],[Duration]])*HoursPerDay*IF(Tasks[[#This Row],[_Res3Units]]="",DefaultUnits,Tasks[[#This Row],[_Res3Units]])))</f>
        <v>0</v>
      </c>
      <c r="DF149" s="45" t="n">
        <f aca="false">IF(Tasks[[#This Row],[_Res3Work]]=0,0,Tasks[[#This Row],[_Res3Work]]*IFERROR(INDEX(res_Rate,MATCH(Tasks[[#This Row],[_Res3]],res_Name,0)),0))</f>
        <v>0</v>
      </c>
      <c r="DG149" s="45" t="n">
        <f aca="false">IF(AND(AND(Tasks[[#This Row],[_IsLeaf]]=1,Tasks[[#This Row],[_LeafTotalWork]]&gt;0),Tasks[[#This Row],[_Res3Work]]&gt;0),Tasks[[#This Row],[_Res3Work]]/(Tasks[[#This Row],[_FinishWorkday]]-Tasks[[#This Row],[_StartWorkday]]+1),0)</f>
        <v>0</v>
      </c>
      <c r="DH149" s="45" t="n">
        <f aca="false">Tasks[[#This Row],[_Res3WorkPerWD]]*MAX(0,Tasks[[#This Row],[_StartWorkday]]-1)</f>
        <v>0</v>
      </c>
      <c r="DI149" s="45" t="n">
        <f aca="false">Tasks[[#This Row],[_Res3Work]]*Tasks[[#This Row],[_LeafProgress]]</f>
        <v>0</v>
      </c>
      <c r="DJ149" s="45" t="n">
        <f aca="false">IF(Tasks[[#This Row],[_LeafTotalCost]]=0,0,Tasks[[#This Row],[_LeafAC]]*Tasks[[#This Row],[_Res3Cost]]/Tasks[[#This Row],[_LeafTotalCost]])</f>
        <v>0</v>
      </c>
      <c r="DK14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4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49" s="45" t="n">
        <f aca="false">IF(OR(NOT(Tasks[[#This Row],[_IsLeaf]]=1),Tasks[[#This Row],[_Res4]]=""),0,IF(ISNA(MATCH(Tasks[[#This Row],[_Res4]],res_Name,0)),0,N(Tasks[[#This Row],[Duration]])*HoursPerDay*IF(Tasks[[#This Row],[_Res4Units]]="",DefaultUnits,Tasks[[#This Row],[_Res4Units]])))</f>
        <v>0</v>
      </c>
      <c r="DN149" s="45" t="n">
        <f aca="false">IF(Tasks[[#This Row],[_Res4Work]]=0,0,Tasks[[#This Row],[_Res4Work]]*IFERROR(INDEX(res_Rate,MATCH(Tasks[[#This Row],[_Res4]],res_Name,0)),0))</f>
        <v>0</v>
      </c>
      <c r="DO149" s="45" t="n">
        <f aca="false">IF(AND(AND(Tasks[[#This Row],[_IsLeaf]]=1,Tasks[[#This Row],[_LeafTotalWork]]&gt;0),Tasks[[#This Row],[_Res4Work]]&gt;0),Tasks[[#This Row],[_Res4Work]]/(Tasks[[#This Row],[_FinishWorkday]]-Tasks[[#This Row],[_StartWorkday]]+1),0)</f>
        <v>0</v>
      </c>
      <c r="DP149" s="45" t="n">
        <f aca="false">Tasks[[#This Row],[_Res4WorkPerWD]]*MAX(0,Tasks[[#This Row],[_StartWorkday]]-1)</f>
        <v>0</v>
      </c>
      <c r="DQ149" s="45" t="n">
        <f aca="false">Tasks[[#This Row],[_Res4Work]]*Tasks[[#This Row],[_LeafProgress]]</f>
        <v>0</v>
      </c>
      <c r="DR149" s="45" t="n">
        <f aca="false">IF(Tasks[[#This Row],[_LeafTotalCost]]=0,0,Tasks[[#This Row],[_LeafAC]]*Tasks[[#This Row],[_Res4Cost]]/Tasks[[#This Row],[_LeafTotalCost]])</f>
        <v>0</v>
      </c>
      <c r="DS149" s="45" t="n">
        <f aca="false">IF(ISNUMBER(Tasks[[#This Row],[% Complete]]),Tasks[[#This Row],[% Complete]],IF(Tasks[[#This Row],[Stage]]="",0,IFERROR(INDEX(stg_Pct,MATCH(Tasks[[#This Row],[Stage]],stg_Name,0)),0)))</f>
        <v>0</v>
      </c>
      <c r="DT149" s="45" t="n">
        <f aca="false">IF(NOT(Tasks[[#This Row],[_IsLeaf]]=1),0,IF(N(Tasks[[#This Row],[Actual Finish]])&gt;0,1,MIN(1,Tasks[[#This Row],[_Pct]])))</f>
        <v>0</v>
      </c>
      <c r="DU149" s="45" t="n">
        <f aca="false">IF(OR(NOT(Tasks[[#This Row],[_IsLeaf]]=1),Tasks[[#This Row],[_Resource1]]=""),0,IF(ISNA(MATCH(Tasks[[#This Row],[_Resource1]],res_Name,0)),0,N(Tasks[[#This Row],[Duration]])*HoursPerDay*IF(Tasks[[#This Row],[_Units1]]="",DefaultUnits,Tasks[[#This Row],[_Units1]])))</f>
        <v>0</v>
      </c>
      <c r="DV149" s="45" t="n">
        <f aca="false">IF(Tasks[[#This Row],[_LeafWork]]=0,0,Tasks[[#This Row],[_LeafWork]]*IFERROR(INDEX(res_Rate,MATCH(Tasks[[#This Row],[_Resource1]],res_Name,0)),0))</f>
        <v>0</v>
      </c>
      <c r="DW149" s="45" t="n">
        <f aca="false">Tasks[[#This Row],[_LeafWork]]+Tasks[[#This Row],[_Res2Work]]+Tasks[[#This Row],[_Res3Work]]+Tasks[[#This Row],[_Res4Work]]</f>
        <v>0</v>
      </c>
      <c r="DX149" s="45" t="n">
        <f aca="false">Tasks[[#This Row],[_LeafCost]]+Tasks[[#This Row],[_Res2Cost]]+Tasks[[#This Row],[_Res3Cost]]+Tasks[[#This Row],[_Res4Cost]]</f>
        <v>0</v>
      </c>
      <c r="DY149" s="45" t="n">
        <f aca="false">IF(Tasks[[#This Row],[_LeafTotalCost]]=0,Tasks[[#This Row],[_LeafAC]],Tasks[[#This Row],[_LeafAC]]*Tasks[[#This Row],[_LeafCost]]/Tasks[[#This Row],[_LeafTotalCost]])</f>
        <v>0</v>
      </c>
      <c r="DZ14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4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4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4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4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4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4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4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49" s="45" t="n">
        <f aca="false">IF(NOT(Tasks[[#This Row],[_IsLeaf]]=1),0,MAX(_xlfn.MAXIFS(Tasks[_Row],Tasks[_Pred1UID],Tasks[[#This Row],[UID]]),_xlfn.MAXIFS(Tasks[_Row],Tasks[_Pred2UID],Tasks[[#This Row],[UID]]),_xlfn.MAXIFS(Tasks[_Row],Tasks[_Pred3UID],Tasks[[#This Row],[UID]]),_xlfn.MAXIFS(Tasks[_Row],Tasks[_Pred4UID],Tasks[[#This Row],[UID]])))</f>
        <v>0</v>
      </c>
      <c r="EI14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4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49" s="74" t="str">
        <f aca="false">IF(NOT(Tasks[[#This Row],[_IsLeaf]]=1),"",IF(N(Tasks[[#This Row],[Duration]])&lt;=0,Tasks[[#This Row],[_LeafLateFinish]],WORKDAY.INTL(Tasks[[#This Row],[_LeafLateFinish]],-(Tasks[[#This Row],[Duration]]-1),WorkWeek,Holidays)))</f>
        <v/>
      </c>
      <c r="EL14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49" s="73" t="b">
        <f aca="false">AND(Tasks[[#This Row],[_IsLeaf]]=1,Tasks[[#This Row],[_LeafProgress]]&lt;1,N(Tasks[[#This Row],[_LeafTotalSlack]])&lt;=CriticalSlackDays)</f>
        <v>0</v>
      </c>
      <c r="EN149" s="45" t="n">
        <f aca="false">IF(AND(Tasks[[#This Row],[_IsLeaf]]=1,Tasks[[#This Row],[_ConstraintCode]]=1,Tasks[[#This Row],[Mode]]&lt;&gt;"Manual",N(Tasks[[#This Row],[Actual Start]])=0),MAX(0,N(Tasks[[#This Row],[Free Slack]])),0)</f>
        <v>0</v>
      </c>
      <c r="EO149" s="74" t="str">
        <f aca="false">IF(NOT(Tasks[[#This Row],[_IsLeaf]]=1),"",IF(Tasks[[#This Row],[_AlapShift]]=0,Tasks[[#This Row],[_LeafCalcStart]],WORKDAY.INTL(Tasks[[#This Row],[_LeafCalcStart]],Tasks[[#This Row],[_AlapShift]],WorkWeek,Holidays)))</f>
        <v/>
      </c>
      <c r="EP149" s="74" t="str">
        <f aca="false">IF(NOT(Tasks[[#This Row],[_IsLeaf]]=1),"",IF(Tasks[[#This Row],[_AlapShift]]=0,Tasks[[#This Row],[_LeafCalcFinish]],WORKDAY.INTL(Tasks[[#This Row],[_LeafCalcFinish]],Tasks[[#This Row],[_AlapShift]],WorkWeek,Holidays)))</f>
        <v/>
      </c>
      <c r="EQ149" s="74" t="str">
        <f aca="false">IF(NOT(Tasks[[#This Row],[_IsLeaf]]=1),"",IF(Tasks[[#This Row],[_AlapShift]]=0,Tasks[[#This Row],[_LeafFcstStart]],WORKDAY.INTL(Tasks[[#This Row],[_LeafFcstStart]],Tasks[[#This Row],[_AlapShift]],WorkWeek,Holidays)))</f>
        <v/>
      </c>
      <c r="ER149" s="74" t="str">
        <f aca="false">IF(NOT(Tasks[[#This Row],[_IsLeaf]]=1),"",IF(Tasks[[#This Row],[_AlapShift]]=0,Tasks[[#This Row],[_LeafFcstFinish]],WORKDAY.INTL(Tasks[[#This Row],[_LeafFcstFinish]],Tasks[[#This Row],[_AlapShift]],WorkWeek,Holidays)))</f>
        <v/>
      </c>
      <c r="ES149" s="74" t="str">
        <f aca="false">IF(Tasks[[#This Row],[Task Name]]="","",IF(Tasks[[#This Row],[_IsSummary]],MIN(INDEX(Tasks[_ShownCalcStart],Tasks[[#This Row],[_Row]]+1):INDEX(Tasks[_ShownCalcStart],Tasks[[#This Row],[_Row]]+Tasks[[#This Row],[_Descendants]])),Tasks[[#This Row],[_ShownCalcStart]]))</f>
        <v/>
      </c>
      <c r="ET149" s="74" t="str">
        <f aca="false">IF(Tasks[[#This Row],[Task Name]]="","",IF(Tasks[[#This Row],[_IsSummary]],MAX(INDEX(Tasks[_ShownCalcFinish],Tasks[[#This Row],[_Row]]+1):INDEX(Tasks[_ShownCalcFinish],Tasks[[#This Row],[_Row]]+Tasks[[#This Row],[_Descendants]])),Tasks[[#This Row],[_ShownCalcFinish]]))</f>
        <v/>
      </c>
      <c r="EU14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4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4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4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4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4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4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4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4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4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4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4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49" s="45" t="n">
        <f aca="false">IF(AND(Tasks[[#This Row],[_IsLeaf]]=1,Tasks[[#This Row],[_LeafTotalWork]]&gt;0),NETWORKDAYS.INTL(ProjectStart,Tasks[[#This Row],[_ShownFcstStart]],WorkWeek,Holidays),0)</f>
        <v>0</v>
      </c>
      <c r="FH149" s="45" t="n">
        <f aca="false">IF(AND(Tasks[[#This Row],[_IsLeaf]]=1,Tasks[[#This Row],[_LeafTotalWork]]&gt;0),MAX(Tasks[[#This Row],[_StartWorkday]],NETWORKDAYS.INTL(ProjectStart,Tasks[[#This Row],[_ShownFcstFinish]],WorkWeek,Holidays)),0)</f>
        <v>0</v>
      </c>
      <c r="FI149" s="45" t="n">
        <f aca="false">IF(AND(Tasks[[#This Row],[_IsLeaf]]=1,Tasks[[#This Row],[_LeafTotalWork]]&gt;0),Tasks[[#This Row],[_LeafWork]]/(Tasks[[#This Row],[_FinishWorkday]]-Tasks[[#This Row],[_StartWorkday]]+1),0)</f>
        <v>0</v>
      </c>
      <c r="FJ149" s="45" t="n">
        <f aca="false">Tasks[[#This Row],[_WorkPerWorkday]]*(Tasks[[#This Row],[_StartWorkday]]-1)</f>
        <v>-0</v>
      </c>
      <c r="FK149" s="45" t="n">
        <f aca="false">IF(Tasks[[#This Row],[_IsLeaf]]=1,MAX(N(Tasks[[#This Row],[Duration]]),0.1),0)</f>
        <v>0</v>
      </c>
      <c r="FL149" s="45" t="n">
        <f aca="false">Tasks[[#This Row],[_WeightDur]]*Tasks[[#This Row],[_LeafProgress]]</f>
        <v>0</v>
      </c>
      <c r="FM14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49" s="45" t="str">
        <f aca="false">IF(AND(Tasks[[#This Row],[_IsLeaf]]=1,N(Tasks[[#This Row],[Duration]])=0,Tasks[[#This Row],[_LeafProgress]]&lt;1),Tasks[[#This Row],[_ShownFcstFinish]]+Tasks[[#This Row],[_Row]]/100000,"")</f>
        <v/>
      </c>
      <c r="FO14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49" s="45" t="n">
        <f aca="false">IF(NOT(Tasks[[#This Row],[_IsLeaf]]=1),0,IF(Tasks[[#This Row],[Baseline Cost]]="",Tasks[[#This Row],[_LeafTotalCost]],N(Tasks[[#This Row],[Baseline Cost]])))</f>
        <v>0</v>
      </c>
      <c r="FQ149" s="45" t="n">
        <f aca="false">Tasks[[#This Row],[_LeafBudget]]*Tasks[[#This Row],[_PlannedPct]]</f>
        <v>0</v>
      </c>
      <c r="FR149" s="45" t="n">
        <f aca="false">Tasks[[#This Row],[_LeafBudget]]*Tasks[[#This Row],[_LeafProgress]]</f>
        <v>0</v>
      </c>
      <c r="FS149" s="45" t="n">
        <f aca="false">IF(NOT(Tasks[[#This Row],[_IsLeaf]]=1),0,IF(Tasks[[#This Row],[Actual Cost]]="",Tasks[[#This Row],[_LeafTotalCost]]*Tasks[[#This Row],[_LeafProgress]],N(Tasks[[#This Row],[Actual Cost]])))</f>
        <v>0</v>
      </c>
      <c r="FT149" s="45" t="str">
        <f aca="false">IF(Tasks[[#This Row],[Task Name]]="","",LEFT(Tasks[[#This Row],[WBS]],FIND(".",Tasks[[#This Row],[WBS]]&amp;".")-1))</f>
        <v/>
      </c>
      <c r="FU149" s="45" t="str">
        <f aca="false">IF(AND(Tasks[[#This Row],[Task Name]]&lt;&gt;"",Tasks[[#This Row],[_Level]]=1),Tasks[[#This Row],[_Row]],"")</f>
        <v/>
      </c>
      <c r="FV149" s="45" t="str">
        <f aca="false">IF(AND(Tasks[[#This Row],[_IsLeaf]]=1,N(Tasks[[#This Row],[Duration]])=0),Tasks[[#This Row],[Planned Finish]]+Tasks[[#This Row],[_Row]]/100000,"")</f>
        <v/>
      </c>
      <c r="FW149" s="45" t="str">
        <f aca="false">IF(AND(Tasks[[#This Row],[_IsLeaf]]=1,Tasks[[#This Row],[_LeafProgress]]&lt;1,OR(N(Tasks[[#This Row],[Finish Var]])&gt;0,Tasks[[#This Row],[Status]]="Late Start")),MAX(0,Tasks[[#This Row],[Finish Var]])+1-Tasks[[#This Row],[_Row]]/1000000,"")</f>
        <v/>
      </c>
      <c r="FX149" s="45" t="str">
        <f aca="false">IF(AND(Tasks[[#This Row],[_IsLeaf]]=1,N(Tasks[[#This Row],[Actual Start]])=0,Tasks[[#This Row],[_ShownFcstStart]]&gt;=StatusDate,Tasks[[#This Row],[_ShownFcstStart]]&lt;=LookaheadEnd),Tasks[[#This Row],[_ShownFcstStart]]+Tasks[[#This Row],[_Row]]/100000,"")</f>
        <v/>
      </c>
      <c r="FY149" s="45" t="str">
        <f aca="false">IF(AND(Tasks[[#This Row],[_IsLeaf]]=1,Tasks[[#This Row],[_LeafProgress]]&lt;1,Tasks[[#This Row],[_ShownFcstFinish]]&gt;=StatusDate,Tasks[[#This Row],[_ShownFcstFinish]]&lt;=LookaheadEnd),Tasks[[#This Row],[_ShownFcstFinish]]+Tasks[[#This Row],[_Row]]/100000,"")</f>
        <v/>
      </c>
      <c r="FZ149" s="45" t="str">
        <f aca="false">IF(Tasks[[#This Row],[_LeafCritical]],Tasks[[#This Row],[_ShownFcstStart]]+Tasks[[#This Row],[_Row]]/100000,"")</f>
        <v/>
      </c>
      <c r="GA149" s="45" t="n">
        <f aca="false">Tasks[[#This Row],[_LeafWork]]*Tasks[[#This Row],[_LeafProgress]]</f>
        <v>0</v>
      </c>
      <c r="GB149" s="74" t="str">
        <f aca="false">IF(AND(Tasks[[#This Row],[_IsLeaf]]=1,Tasks[[#This Row],[_LeafProgress]]&gt;=1),IF(N(Tasks[[#This Row],[Actual Finish]])&gt;0,Tasks[[#This Row],[Actual Finish]],Tasks[[#This Row],[_ShownFcstFinish]]),"")</f>
        <v/>
      </c>
    </row>
    <row r="150" customFormat="false" ht="15" hidden="false" customHeight="false" outlineLevel="0" collapsed="false">
      <c r="A150" s="67" t="str">
        <f aca="false">IF(Tasks[[#This Row],[Task Name]]="","",COUNTA(Tasks[[#Headers],[Task Name]]:Tasks[[#This Row],[Task Name]])-1)</f>
        <v/>
      </c>
      <c r="B150" s="21" t="n">
        <v>145</v>
      </c>
      <c r="C15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21"/>
      <c r="E150" s="22"/>
      <c r="F150" s="21"/>
      <c r="G150" s="22"/>
      <c r="H150" s="22"/>
      <c r="I150" s="22"/>
      <c r="J150" s="7"/>
      <c r="K150" s="7"/>
      <c r="L150" s="22"/>
      <c r="M150" s="58" t="str">
        <f aca="false">IF(Tasks[[#This Row],[Task Name]]="","",IF(Tasks[[#This Row],[_IsSummary]],MIN(INDEX(Tasks[_ShownFcstStart],Tasks[[#This Row],[_Row]]+1):INDEX(Tasks[_ShownFcstStart],Tasks[[#This Row],[_Row]]+Tasks[[#This Row],[_Descendants]])),Tasks[[#This Row],[_ShownFcstStart]]))</f>
        <v/>
      </c>
      <c r="N150" s="58" t="str">
        <f aca="false">IF(Tasks[[#This Row],[Task Name]]="","",IF(Tasks[[#This Row],[_IsSummary]],MAX(INDEX(Tasks[_ShownFcstFinish],Tasks[[#This Row],[_Row]]+1):INDEX(Tasks[_ShownFcstFinish],Tasks[[#This Row],[_Row]]+Tasks[[#This Row],[_Descendants]])),Tasks[[#This Row],[_ShownFcstFinish]]))</f>
        <v/>
      </c>
      <c r="O150" s="20" t="str">
        <f aca="false">IF(Tasks[[#This Row],[Task Name]]="","",IF(Tasks[[#This Row],[Progress]]&gt;=1,"Complete",IF(OR(N(Tasks[[#This Row],[Actual Start]])&gt;0,Tasks[[#This Row],[Progress]]&gt;0),IF(Tasks[[#This Row],[Finish Var]]&gt;0,"Behind","In Progress"),IF(Tasks[[#This Row],[Planned Start]]&lt;StatusDate,"Late Start","Not Started"))))</f>
        <v/>
      </c>
      <c r="P150" s="20" t="str">
        <f aca="false">IF(Tasks[[#This Row],[Task Name]]="","",IF(IF(Tasks[[#This Row],[_IsSummary]],COUNTIF(INDEX(Tasks[_LeafCritical],Tasks[[#This Row],[_Row]]+1):INDEX(Tasks[_LeafCritical],Tasks[[#This Row],[_Row]]+Tasks[[#This Row],[_Descendants]]),TRUE())&gt;0,Tasks[[#This Row],[_LeafCritical]]),"Yes",""))</f>
        <v/>
      </c>
      <c r="Q15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50" s="67" t="str">
        <f aca="false">IF(Tasks[[#This Row],[Task Name]]="","",IF(Tasks[[#This Row],[_Level]]&lt;=OutlineShowLevel,"Yes","No"))</f>
        <v/>
      </c>
      <c r="S150" s="7"/>
      <c r="T150" s="21"/>
      <c r="U150" s="22"/>
      <c r="V150" s="7"/>
      <c r="W150" s="67" t="str">
        <f aca="false">IF(Tasks[[#This Row],[Task Name]]="","",IF(Tasks[[#This Row],[Finish]]&gt;=Tasks[[#This Row],[Planned Finish]],NETWORKDAYS.INTL(Tasks[[#This Row],[Planned Finish]],Tasks[[#This Row],[Finish]],WorkWeek,Holidays)-1,1-NETWORKDAYS.INTL(Tasks[[#This Row],[Finish]],Tasks[[#This Row],[Planned Finish]],WorkWeek,Holidays)))</f>
        <v/>
      </c>
      <c r="X150" s="58" t="str">
        <f aca="false">IF(Tasks[[#This Row],[Task Name]]="","",IF(N(Tasks[[#This Row],[Baseline Start]])&gt;0,Tasks[[#This Row],[Baseline Start]],Tasks[[#This Row],[_CalcStart]]))</f>
        <v/>
      </c>
      <c r="Y150" s="58" t="str">
        <f aca="false">IF(Tasks[[#This Row],[Task Name]]="","",IF(N(Tasks[[#This Row],[Baseline Finish]])&gt;0,Tasks[[#This Row],[Baseline Finish]],Tasks[[#This Row],[_CalcFinish]]))</f>
        <v/>
      </c>
      <c r="Z150" s="67" t="str">
        <f aca="false">IF(Tasks[[#This Row],[Task Name]]="","",IF(Tasks[[#This Row],[Start]]&gt;=Tasks[[#This Row],[Planned Start]],NETWORKDAYS.INTL(Tasks[[#This Row],[Planned Start]],Tasks[[#This Row],[Start]],WorkWeek,Holidays)-1,1-NETWORKDAYS.INTL(Tasks[[#This Row],[Start]],Tasks[[#This Row],[Planned Start]],WorkWeek,Holidays)))</f>
        <v/>
      </c>
      <c r="AA150" s="58" t="str">
        <f aca="false">IF(Tasks[[#This Row],[Task Name]]="","",IF(Tasks[[#This Row],[_IsSummary]],MIN(INDEX(Tasks[_LeafLateStart],Tasks[[#This Row],[_Row]]+1):INDEX(Tasks[_LeafLateStart],Tasks[[#This Row],[_Row]]+Tasks[[#This Row],[_Descendants]])),Tasks[[#This Row],[_LeafLateStart]]))</f>
        <v/>
      </c>
      <c r="AB150" s="58" t="str">
        <f aca="false">IF(Tasks[[#This Row],[Task Name]]="","",IF(Tasks[[#This Row],[_IsSummary]],MAX(INDEX(Tasks[_LeafLateFinish],Tasks[[#This Row],[_Row]]+1):INDEX(Tasks[_LeafLateFinish],Tasks[[#This Row],[_Row]]+Tasks[[#This Row],[_Descendants]])),Tasks[[#This Row],[_LeafLateFinish]]))</f>
        <v/>
      </c>
      <c r="AC150" s="67" t="str">
        <f aca="false">IF(Tasks[[#This Row],[Task Name]]="","",IF(Tasks[[#This Row],[_IsSummary]],MIN(INDEX(Tasks[_LeafTotalSlack],Tasks[[#This Row],[_Row]]+1):INDEX(Tasks[_LeafTotalSlack],Tasks[[#This Row],[_Row]]+Tasks[[#This Row],[_Descendants]])),Tasks[[#This Row],[_LeafTotalSlack]]))</f>
        <v/>
      </c>
      <c r="AD15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5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5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50" s="60"/>
      <c r="AH15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5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50" s="69" t="str">
        <f aca="false">IF(Tasks[[#This Row],[Task Name]]="","",IF(Tasks[[#This Row],[_IsSummary]],SUM(INDEX(Tasks[_LeafTotalWork],Tasks[[#This Row],[_Row]]+1):INDEX(Tasks[_LeafTotalWork],Tasks[[#This Row],[_Row]]+Tasks[[#This Row],[_Descendants]])),Tasks[[#This Row],[_LeafTotalWork]]))</f>
        <v/>
      </c>
      <c r="AK15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50" s="70" t="str">
        <f aca="false">IF(Tasks[[#This Row],[Task Name]]="","",IF(Tasks[[#This Row],[_IsSummary]],SUM(INDEX(Tasks[_LeafTotalCost],Tasks[[#This Row],[_Row]]+1):INDEX(Tasks[_LeafTotalCost],Tasks[[#This Row],[_Row]]+Tasks[[#This Row],[_Descendants]])),Tasks[[#This Row],[_LeafTotalCost]]))</f>
        <v/>
      </c>
      <c r="AM150" s="71"/>
      <c r="AN150" s="20" t="str">
        <f aca="false">IF(OR(Tasks[[#This Row],[Task Name]]="",Tasks[[#This Row],[Baseline Duration]]=""),"",Tasks[[#This Row],[BL Source Duration]]-N(Tasks[[#This Row],[Baseline Duration]]))</f>
        <v/>
      </c>
      <c r="AO150" s="69" t="str">
        <f aca="false">IF(OR(Tasks[[#This Row],[Task Name]]="",Tasks[[#This Row],[Baseline Work]]=""),"",Tasks[[#This Row],[Work]]-N(Tasks[[#This Row],[Baseline Work]]))</f>
        <v/>
      </c>
      <c r="AP150" s="70" t="str">
        <f aca="false">IF(OR(Tasks[[#This Row],[Task Name]]="",Tasks[[#This Row],[Baseline Cost]]=""),"",Tasks[[#This Row],[Cost]]-N(Tasks[[#This Row],[Baseline Cost]]))</f>
        <v/>
      </c>
      <c r="AQ150" s="58" t="str">
        <f aca="false">IF(Tasks[[#This Row],[Task Name]]="","",Tasks[[#This Row],[Start]])</f>
        <v/>
      </c>
      <c r="AR150" s="58" t="str">
        <f aca="false">IF(Tasks[[#This Row],[Task Name]]="","",Tasks[[#This Row],[Finish]])</f>
        <v/>
      </c>
      <c r="AS150" s="67" t="str">
        <f aca="false">IF(Tasks[[#This Row],[Task Name]]="","",IF(Tasks[[#This Row],[_IsSummary]],NETWORKDAYS.INTL(Tasks[[#This Row],[Start]],Tasks[[#This Row],[Finish]],WorkWeek,Holidays),N(Tasks[[#This Row],[Duration]])))</f>
        <v/>
      </c>
      <c r="AT150" s="69" t="str">
        <f aca="false">IF(Tasks[[#This Row],[Task Name]]="","",Tasks[[#This Row],[Work]])</f>
        <v/>
      </c>
      <c r="AU150" s="70" t="str">
        <f aca="false">IF(Tasks[[#This Row],[Task Name]]="","",Tasks[[#This Row],[Cost]])</f>
        <v/>
      </c>
      <c r="AV150" s="7"/>
      <c r="AW150" s="7"/>
      <c r="AX150" s="21"/>
      <c r="AY150" s="72"/>
      <c r="AZ150" s="71"/>
      <c r="BA150" s="70" t="str">
        <f aca="false">IF(Tasks[[#This Row],[Task Name]]="","",IF(Tasks[[#This Row],[_IsSummary]],SUM(INDEX(Tasks[_LeafEV],Tasks[[#This Row],[_Row]]+1):INDEX(Tasks[_LeafEV],Tasks[[#This Row],[_Row]]+Tasks[[#This Row],[_Descendants]])),Tasks[[#This Row],[_LeafEV]]))</f>
        <v/>
      </c>
      <c r="BB150" s="70" t="str">
        <f aca="false">IF(Tasks[[#This Row],[Task Name]]="","",IF(Tasks[[#This Row],[_IsSummary]],SUM(INDEX(Tasks[_LeafBudget],Tasks[[#This Row],[_Row]]+1):INDEX(Tasks[_LeafBudget],Tasks[[#This Row],[_Row]]+Tasks[[#This Row],[_Descendants]])),Tasks[[#This Row],[_LeafBudget]]))</f>
        <v/>
      </c>
      <c r="BC150" s="70" t="str">
        <f aca="false">IF(Tasks[[#This Row],[Task Name]]="","",IF(Tasks[[#This Row],[_IsSummary]],SUM(INDEX(Tasks[_LeafPV],Tasks[[#This Row],[_Row]]+1):INDEX(Tasks[_LeafPV],Tasks[[#This Row],[_Row]]+Tasks[[#This Row],[_Descendants]])),Tasks[[#This Row],[_LeafPV]]))</f>
        <v/>
      </c>
      <c r="BD150" s="70" t="str">
        <f aca="false">IF(Tasks[[#This Row],[Task Name]]="","",IF(Tasks[[#This Row],[_IsSummary]],SUM(INDEX(Tasks[_LeafAC],Tasks[[#This Row],[_Row]]+1):INDEX(Tasks[_LeafAC],Tasks[[#This Row],[_Row]]+Tasks[[#This Row],[_Descendants]])),Tasks[[#This Row],[_LeafAC]]))</f>
        <v/>
      </c>
      <c r="BE150" s="45" t="str">
        <f aca="false">IF(Tasks[[#This Row],[Task Name]]="","",MAX(1,N(Tasks[[#This Row],[Level]])))</f>
        <v/>
      </c>
      <c r="BF150" s="45" t="n">
        <f aca="false">ROW()-ROW(Tasks[[#Headers],[ID]])</f>
        <v>145</v>
      </c>
      <c r="BG150" s="45" t="n">
        <f aca="false">IF(OR(Tasks[[#This Row],[Task Name]]="",Tasks[[#This Row],[_Level]]&lt;=1),0,IFERROR(LOOKUP(2,1/(Tasks[[#Headers],[_Level]]:Tasks[[#This Row],[_Level]]=Tasks[[#This Row],[_Level]]-1),ROW(Tasks[[#Headers],[_Level]]:Tasks[[#This Row],[_Level]])),0))</f>
        <v>0</v>
      </c>
      <c r="BH150" s="45" t="n">
        <f aca="false">IFERROR(N(INDEX(Tasks[_Level],Tasks[[#This Row],[_Row]]+1)),0)</f>
        <v>0</v>
      </c>
      <c r="BI150" s="73" t="b">
        <f aca="false">AND(Tasks[[#This Row],[Task Name]]&lt;&gt;"",Tasks[[#This Row],[_NextLevel]]&gt;Tasks[[#This Row],[_Level]])</f>
        <v>0</v>
      </c>
      <c r="BJ150" s="45" t="n">
        <f aca="false">IF(Tasks[[#This Row],[_IsSummary]],COUNTIF(Tasks[WBS],Tasks[[#This Row],[WBS]]&amp;".*"),0)</f>
        <v>0</v>
      </c>
      <c r="BK150" s="45" t="n">
        <f aca="false">IF(AND(Tasks[[#This Row],[Task Name]]&lt;&gt;"",NOT(Tasks[[#This Row],[_IsSummary]])),1,0)</f>
        <v>0</v>
      </c>
      <c r="BL150" s="45" t="n">
        <f aca="false">IF(N(Tasks[[#This Row],[_Pred1UID]])=0,0,IFERROR(MATCH(Tasks[[#This Row],[_Pred1UID]],Tasks[UID],0),-1))</f>
        <v>0</v>
      </c>
      <c r="BM150" s="45" t="n">
        <f aca="false">IF(N(Tasks[[#This Row],[_Pred2UID]])=0,0,IFERROR(MATCH(Tasks[[#This Row],[_Pred2UID]],Tasks[UID],0),-1))</f>
        <v>0</v>
      </c>
      <c r="BN150" s="45" t="n">
        <f aca="false">IF(N(Tasks[[#This Row],[_Pred3UID]])=0,0,IFERROR(MATCH(Tasks[[#This Row],[_Pred3UID]],Tasks[UID],0),-1))</f>
        <v>0</v>
      </c>
      <c r="BO150" s="45" t="n">
        <f aca="false">IF(N(Tasks[[#This Row],[_Pred4UID]])=0,0,IFERROR(MATCH(Tasks[[#This Row],[_Pred4UID]],Tasks[UID],0),-1))</f>
        <v>0</v>
      </c>
      <c r="BP15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5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50" s="74" t="n">
        <f aca="false">IF(OR(Tasks[[#This Row],[_ConstraintCode]]=2,Tasks[[#This Row],[_ConstraintCode]]=3,Tasks[[#This Row],[_ConstraintCode]]=4,Tasks[[#This Row],[_ConstraintCode]]=6),Tasks[[#This Row],[_ConstraintStart]],0)</f>
        <v>0</v>
      </c>
      <c r="BS150" s="74" t="n">
        <f aca="false">IF(OR(Tasks[[#This Row],[_ConstraintCode]]=2,Tasks[[#This Row],[_ConstraintCode]]=3,Tasks[[#This Row],[_ConstraintCode]]=5,Tasks[[#This Row],[_ConstraintCode]]=7),Tasks[[#This Row],[_ConstraintStart]],2958465)</f>
        <v>2958465</v>
      </c>
      <c r="BT15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50" s="74" t="str">
        <f aca="false">IF(NOT(Tasks[[#This Row],[_IsLeaf]]=1),"",IF(N(Tasks[[#This Row],[Duration]])&lt;=0,Tasks[[#This Row],[_LeafCalcStart]],WORKDAY.INTL(Tasks[[#This Row],[_LeafCalcStart]],Tasks[[#This Row],[Duration]]-1,WorkWeek,Holidays)))</f>
        <v/>
      </c>
      <c r="BV15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5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50" s="45" t="str">
        <f aca="false">IF(Tasks[[#This Row],[Predecessors]]="","",TRIM(MID(SUBSTITUTE(SUBSTITUTE(SUBSTITUTE(UPPER(Tasks[[#This Row],[Predecessors]]),";",",")," ",""),",",REPT(" ",99)),1,99)))</f>
        <v/>
      </c>
      <c r="BY150" s="45" t="str">
        <f aca="false">IF(Tasks[[#This Row],[_Pred1Text]]="","",IFERROR(VALUE(LEFT(Tasks[[#This Row],[_Pred1Text]],MIN(FIND("F",Tasks[[#This Row],[_Pred1Text]]&amp;"F"),FIND("S",Tasks[[#This Row],[_Pred1Text]]&amp;"S"),FIND("+",Tasks[[#This Row],[_Pred1Text]]&amp;"+"),FIND("-",Tasks[[#This Row],[_Pred1Text]]&amp;"-"))-1)),""))</f>
        <v/>
      </c>
      <c r="BZ15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5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50" s="45" t="str">
        <f aca="false">IF(Tasks[[#This Row],[_Pred1Text]]="","",TRIM(MID(SUBSTITUTE(SUBSTITUTE(SUBSTITUTE(UPPER(Tasks[[#This Row],[Predecessors]]),";",",")," ",""),",",REPT(" ",99)),100,99)))</f>
        <v/>
      </c>
      <c r="CC150" s="45" t="str">
        <f aca="false">IF(Tasks[[#This Row],[_Pred2Text]]="","",IFERROR(VALUE(LEFT(Tasks[[#This Row],[_Pred2Text]],MIN(FIND("F",Tasks[[#This Row],[_Pred2Text]]&amp;"F"),FIND("S",Tasks[[#This Row],[_Pred2Text]]&amp;"S"),FIND("+",Tasks[[#This Row],[_Pred2Text]]&amp;"+"),FIND("-",Tasks[[#This Row],[_Pred2Text]]&amp;"-"))-1)),""))</f>
        <v/>
      </c>
      <c r="CD15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5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50" s="45" t="str">
        <f aca="false">IF(Tasks[[#This Row],[_Pred2Text]]="","",TRIM(MID(SUBSTITUTE(SUBSTITUTE(SUBSTITUTE(UPPER(Tasks[[#This Row],[Predecessors]]),";",",")," ",""),",",REPT(" ",99)),199,99)))</f>
        <v/>
      </c>
      <c r="CG150" s="45" t="str">
        <f aca="false">IF(Tasks[[#This Row],[_Pred3Text]]="","",IFERROR(VALUE(LEFT(Tasks[[#This Row],[_Pred3Text]],MIN(FIND("F",Tasks[[#This Row],[_Pred3Text]]&amp;"F"),FIND("S",Tasks[[#This Row],[_Pred3Text]]&amp;"S"),FIND("+",Tasks[[#This Row],[_Pred3Text]]&amp;"+"),FIND("-",Tasks[[#This Row],[_Pred3Text]]&amp;"-"))-1)),""))</f>
        <v/>
      </c>
      <c r="CH15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5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50" s="45" t="str">
        <f aca="false">IF(Tasks[[#This Row],[_Pred3Text]]="","",TRIM(MID(SUBSTITUTE(SUBSTITUTE(SUBSTITUTE(UPPER(Tasks[[#This Row],[Predecessors]]),";",",")," ",""),",",REPT(" ",99)),298,99)))</f>
        <v/>
      </c>
      <c r="CK150" s="45" t="str">
        <f aca="false">IF(Tasks[[#This Row],[_Pred4Text]]="","",IFERROR(VALUE(LEFT(Tasks[[#This Row],[_Pred4Text]],MIN(FIND("F",Tasks[[#This Row],[_Pred4Text]]&amp;"F"),FIND("S",Tasks[[#This Row],[_Pred4Text]]&amp;"S"),FIND("+",Tasks[[#This Row],[_Pred4Text]]&amp;"+"),FIND("-",Tasks[[#This Row],[_Pred4Text]]&amp;"-"))-1)),""))</f>
        <v/>
      </c>
      <c r="CL15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5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50" s="45" t="str">
        <f aca="false">IF(OR(Tasks[[#This Row],[Task Name]]="",Tasks[[#This Row],[Resources]]=""),"",TRIM(MID(SUBSTITUTE(Tasks[[#This Row],[Resources]],",",REPT(" ",99)),1,99)))</f>
        <v/>
      </c>
      <c r="CO150" s="45" t="str">
        <f aca="false">IF(Tasks[[#This Row],[_Res1Text]]="","",TRIM(MID(SUBSTITUTE(Tasks[[#This Row],[Resources]],",",REPT(" ",99)),100,99)))</f>
        <v/>
      </c>
      <c r="CP150" s="45" t="str">
        <f aca="false">IF(Tasks[[#This Row],[_Res2Text]]="","",TRIM(MID(SUBSTITUTE(Tasks[[#This Row],[Resources]],",",REPT(" ",99)),199,99)))</f>
        <v/>
      </c>
      <c r="CQ150" s="45" t="str">
        <f aca="false">IF(Tasks[[#This Row],[_Res3Text]]="","",TRIM(MID(SUBSTITUTE(Tasks[[#This Row],[Resources]],",",REPT(" ",99)),298,99)))</f>
        <v/>
      </c>
      <c r="CR15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5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0" s="45" t="n">
        <f aca="false">IF(NOT(Tasks[[#This Row],[_IsLeaf]]=1),0,(Tasks[[#This Row],[_Resource1]]&lt;&gt;"")+(Tasks[[#This Row],[_Res2]]&lt;&gt;"")+(Tasks[[#This Row],[_Res3]]&lt;&gt;"")+(Tasks[[#This Row],[_Res4]]&lt;&gt;""))</f>
        <v>0</v>
      </c>
      <c r="CU15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5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0" s="45" t="n">
        <f aca="false">IF(OR(NOT(Tasks[[#This Row],[_IsLeaf]]=1),Tasks[[#This Row],[_Res2]]=""),0,IF(ISNA(MATCH(Tasks[[#This Row],[_Res2]],res_Name,0)),0,N(Tasks[[#This Row],[Duration]])*HoursPerDay*IF(Tasks[[#This Row],[_Res2Units]]="",DefaultUnits,Tasks[[#This Row],[_Res2Units]])))</f>
        <v>0</v>
      </c>
      <c r="CX150" s="45" t="n">
        <f aca="false">IF(Tasks[[#This Row],[_Res2Work]]=0,0,Tasks[[#This Row],[_Res2Work]]*IFERROR(INDEX(res_Rate,MATCH(Tasks[[#This Row],[_Res2]],res_Name,0)),0))</f>
        <v>0</v>
      </c>
      <c r="CY150" s="45" t="n">
        <f aca="false">IF(AND(AND(Tasks[[#This Row],[_IsLeaf]]=1,Tasks[[#This Row],[_LeafTotalWork]]&gt;0),Tasks[[#This Row],[_Res2Work]]&gt;0),Tasks[[#This Row],[_Res2Work]]/(Tasks[[#This Row],[_FinishWorkday]]-Tasks[[#This Row],[_StartWorkday]]+1),0)</f>
        <v>0</v>
      </c>
      <c r="CZ150" s="45" t="n">
        <f aca="false">Tasks[[#This Row],[_Res2WorkPerWD]]*MAX(0,Tasks[[#This Row],[_StartWorkday]]-1)</f>
        <v>0</v>
      </c>
      <c r="DA150" s="45" t="n">
        <f aca="false">Tasks[[#This Row],[_Res2Work]]*Tasks[[#This Row],[_LeafProgress]]</f>
        <v>0</v>
      </c>
      <c r="DB150" s="45" t="n">
        <f aca="false">IF(Tasks[[#This Row],[_LeafTotalCost]]=0,0,Tasks[[#This Row],[_LeafAC]]*Tasks[[#This Row],[_Res2Cost]]/Tasks[[#This Row],[_LeafTotalCost]])</f>
        <v>0</v>
      </c>
      <c r="DC15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5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50" s="45" t="n">
        <f aca="false">IF(OR(NOT(Tasks[[#This Row],[_IsLeaf]]=1),Tasks[[#This Row],[_Res3]]=""),0,IF(ISNA(MATCH(Tasks[[#This Row],[_Res3]],res_Name,0)),0,N(Tasks[[#This Row],[Duration]])*HoursPerDay*IF(Tasks[[#This Row],[_Res3Units]]="",DefaultUnits,Tasks[[#This Row],[_Res3Units]])))</f>
        <v>0</v>
      </c>
      <c r="DF150" s="45" t="n">
        <f aca="false">IF(Tasks[[#This Row],[_Res3Work]]=0,0,Tasks[[#This Row],[_Res3Work]]*IFERROR(INDEX(res_Rate,MATCH(Tasks[[#This Row],[_Res3]],res_Name,0)),0))</f>
        <v>0</v>
      </c>
      <c r="DG150" s="45" t="n">
        <f aca="false">IF(AND(AND(Tasks[[#This Row],[_IsLeaf]]=1,Tasks[[#This Row],[_LeafTotalWork]]&gt;0),Tasks[[#This Row],[_Res3Work]]&gt;0),Tasks[[#This Row],[_Res3Work]]/(Tasks[[#This Row],[_FinishWorkday]]-Tasks[[#This Row],[_StartWorkday]]+1),0)</f>
        <v>0</v>
      </c>
      <c r="DH150" s="45" t="n">
        <f aca="false">Tasks[[#This Row],[_Res3WorkPerWD]]*MAX(0,Tasks[[#This Row],[_StartWorkday]]-1)</f>
        <v>0</v>
      </c>
      <c r="DI150" s="45" t="n">
        <f aca="false">Tasks[[#This Row],[_Res3Work]]*Tasks[[#This Row],[_LeafProgress]]</f>
        <v>0</v>
      </c>
      <c r="DJ150" s="45" t="n">
        <f aca="false">IF(Tasks[[#This Row],[_LeafTotalCost]]=0,0,Tasks[[#This Row],[_LeafAC]]*Tasks[[#This Row],[_Res3Cost]]/Tasks[[#This Row],[_LeafTotalCost]])</f>
        <v>0</v>
      </c>
      <c r="DK15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5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50" s="45" t="n">
        <f aca="false">IF(OR(NOT(Tasks[[#This Row],[_IsLeaf]]=1),Tasks[[#This Row],[_Res4]]=""),0,IF(ISNA(MATCH(Tasks[[#This Row],[_Res4]],res_Name,0)),0,N(Tasks[[#This Row],[Duration]])*HoursPerDay*IF(Tasks[[#This Row],[_Res4Units]]="",DefaultUnits,Tasks[[#This Row],[_Res4Units]])))</f>
        <v>0</v>
      </c>
      <c r="DN150" s="45" t="n">
        <f aca="false">IF(Tasks[[#This Row],[_Res4Work]]=0,0,Tasks[[#This Row],[_Res4Work]]*IFERROR(INDEX(res_Rate,MATCH(Tasks[[#This Row],[_Res4]],res_Name,0)),0))</f>
        <v>0</v>
      </c>
      <c r="DO150" s="45" t="n">
        <f aca="false">IF(AND(AND(Tasks[[#This Row],[_IsLeaf]]=1,Tasks[[#This Row],[_LeafTotalWork]]&gt;0),Tasks[[#This Row],[_Res4Work]]&gt;0),Tasks[[#This Row],[_Res4Work]]/(Tasks[[#This Row],[_FinishWorkday]]-Tasks[[#This Row],[_StartWorkday]]+1),0)</f>
        <v>0</v>
      </c>
      <c r="DP150" s="45" t="n">
        <f aca="false">Tasks[[#This Row],[_Res4WorkPerWD]]*MAX(0,Tasks[[#This Row],[_StartWorkday]]-1)</f>
        <v>0</v>
      </c>
      <c r="DQ150" s="45" t="n">
        <f aca="false">Tasks[[#This Row],[_Res4Work]]*Tasks[[#This Row],[_LeafProgress]]</f>
        <v>0</v>
      </c>
      <c r="DR150" s="45" t="n">
        <f aca="false">IF(Tasks[[#This Row],[_LeafTotalCost]]=0,0,Tasks[[#This Row],[_LeafAC]]*Tasks[[#This Row],[_Res4Cost]]/Tasks[[#This Row],[_LeafTotalCost]])</f>
        <v>0</v>
      </c>
      <c r="DS150" s="45" t="n">
        <f aca="false">IF(ISNUMBER(Tasks[[#This Row],[% Complete]]),Tasks[[#This Row],[% Complete]],IF(Tasks[[#This Row],[Stage]]="",0,IFERROR(INDEX(stg_Pct,MATCH(Tasks[[#This Row],[Stage]],stg_Name,0)),0)))</f>
        <v>0</v>
      </c>
      <c r="DT150" s="45" t="n">
        <f aca="false">IF(NOT(Tasks[[#This Row],[_IsLeaf]]=1),0,IF(N(Tasks[[#This Row],[Actual Finish]])&gt;0,1,MIN(1,Tasks[[#This Row],[_Pct]])))</f>
        <v>0</v>
      </c>
      <c r="DU150" s="45" t="n">
        <f aca="false">IF(OR(NOT(Tasks[[#This Row],[_IsLeaf]]=1),Tasks[[#This Row],[_Resource1]]=""),0,IF(ISNA(MATCH(Tasks[[#This Row],[_Resource1]],res_Name,0)),0,N(Tasks[[#This Row],[Duration]])*HoursPerDay*IF(Tasks[[#This Row],[_Units1]]="",DefaultUnits,Tasks[[#This Row],[_Units1]])))</f>
        <v>0</v>
      </c>
      <c r="DV150" s="45" t="n">
        <f aca="false">IF(Tasks[[#This Row],[_LeafWork]]=0,0,Tasks[[#This Row],[_LeafWork]]*IFERROR(INDEX(res_Rate,MATCH(Tasks[[#This Row],[_Resource1]],res_Name,0)),0))</f>
        <v>0</v>
      </c>
      <c r="DW150" s="45" t="n">
        <f aca="false">Tasks[[#This Row],[_LeafWork]]+Tasks[[#This Row],[_Res2Work]]+Tasks[[#This Row],[_Res3Work]]+Tasks[[#This Row],[_Res4Work]]</f>
        <v>0</v>
      </c>
      <c r="DX150" s="45" t="n">
        <f aca="false">Tasks[[#This Row],[_LeafCost]]+Tasks[[#This Row],[_Res2Cost]]+Tasks[[#This Row],[_Res3Cost]]+Tasks[[#This Row],[_Res4Cost]]</f>
        <v>0</v>
      </c>
      <c r="DY150" s="45" t="n">
        <f aca="false">IF(Tasks[[#This Row],[_LeafTotalCost]]=0,Tasks[[#This Row],[_LeafAC]],Tasks[[#This Row],[_LeafAC]]*Tasks[[#This Row],[_LeafCost]]/Tasks[[#This Row],[_LeafTotalCost]])</f>
        <v>0</v>
      </c>
      <c r="DZ15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5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5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5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5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5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5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5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50" s="45" t="n">
        <f aca="false">IF(NOT(Tasks[[#This Row],[_IsLeaf]]=1),0,MAX(_xlfn.MAXIFS(Tasks[_Row],Tasks[_Pred1UID],Tasks[[#This Row],[UID]]),_xlfn.MAXIFS(Tasks[_Row],Tasks[_Pred2UID],Tasks[[#This Row],[UID]]),_xlfn.MAXIFS(Tasks[_Row],Tasks[_Pred3UID],Tasks[[#This Row],[UID]]),_xlfn.MAXIFS(Tasks[_Row],Tasks[_Pred4UID],Tasks[[#This Row],[UID]])))</f>
        <v>0</v>
      </c>
      <c r="EI15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5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50" s="74" t="str">
        <f aca="false">IF(NOT(Tasks[[#This Row],[_IsLeaf]]=1),"",IF(N(Tasks[[#This Row],[Duration]])&lt;=0,Tasks[[#This Row],[_LeafLateFinish]],WORKDAY.INTL(Tasks[[#This Row],[_LeafLateFinish]],-(Tasks[[#This Row],[Duration]]-1),WorkWeek,Holidays)))</f>
        <v/>
      </c>
      <c r="EL15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50" s="73" t="b">
        <f aca="false">AND(Tasks[[#This Row],[_IsLeaf]]=1,Tasks[[#This Row],[_LeafProgress]]&lt;1,N(Tasks[[#This Row],[_LeafTotalSlack]])&lt;=CriticalSlackDays)</f>
        <v>0</v>
      </c>
      <c r="EN150" s="45" t="n">
        <f aca="false">IF(AND(Tasks[[#This Row],[_IsLeaf]]=1,Tasks[[#This Row],[_ConstraintCode]]=1,Tasks[[#This Row],[Mode]]&lt;&gt;"Manual",N(Tasks[[#This Row],[Actual Start]])=0),MAX(0,N(Tasks[[#This Row],[Free Slack]])),0)</f>
        <v>0</v>
      </c>
      <c r="EO150" s="74" t="str">
        <f aca="false">IF(NOT(Tasks[[#This Row],[_IsLeaf]]=1),"",IF(Tasks[[#This Row],[_AlapShift]]=0,Tasks[[#This Row],[_LeafCalcStart]],WORKDAY.INTL(Tasks[[#This Row],[_LeafCalcStart]],Tasks[[#This Row],[_AlapShift]],WorkWeek,Holidays)))</f>
        <v/>
      </c>
      <c r="EP150" s="74" t="str">
        <f aca="false">IF(NOT(Tasks[[#This Row],[_IsLeaf]]=1),"",IF(Tasks[[#This Row],[_AlapShift]]=0,Tasks[[#This Row],[_LeafCalcFinish]],WORKDAY.INTL(Tasks[[#This Row],[_LeafCalcFinish]],Tasks[[#This Row],[_AlapShift]],WorkWeek,Holidays)))</f>
        <v/>
      </c>
      <c r="EQ150" s="74" t="str">
        <f aca="false">IF(NOT(Tasks[[#This Row],[_IsLeaf]]=1),"",IF(Tasks[[#This Row],[_AlapShift]]=0,Tasks[[#This Row],[_LeafFcstStart]],WORKDAY.INTL(Tasks[[#This Row],[_LeafFcstStart]],Tasks[[#This Row],[_AlapShift]],WorkWeek,Holidays)))</f>
        <v/>
      </c>
      <c r="ER150" s="74" t="str">
        <f aca="false">IF(NOT(Tasks[[#This Row],[_IsLeaf]]=1),"",IF(Tasks[[#This Row],[_AlapShift]]=0,Tasks[[#This Row],[_LeafFcstFinish]],WORKDAY.INTL(Tasks[[#This Row],[_LeafFcstFinish]],Tasks[[#This Row],[_AlapShift]],WorkWeek,Holidays)))</f>
        <v/>
      </c>
      <c r="ES150" s="74" t="str">
        <f aca="false">IF(Tasks[[#This Row],[Task Name]]="","",IF(Tasks[[#This Row],[_IsSummary]],MIN(INDEX(Tasks[_ShownCalcStart],Tasks[[#This Row],[_Row]]+1):INDEX(Tasks[_ShownCalcStart],Tasks[[#This Row],[_Row]]+Tasks[[#This Row],[_Descendants]])),Tasks[[#This Row],[_ShownCalcStart]]))</f>
        <v/>
      </c>
      <c r="ET150" s="74" t="str">
        <f aca="false">IF(Tasks[[#This Row],[Task Name]]="","",IF(Tasks[[#This Row],[_IsSummary]],MAX(INDEX(Tasks[_ShownCalcFinish],Tasks[[#This Row],[_Row]]+1):INDEX(Tasks[_ShownCalcFinish],Tasks[[#This Row],[_Row]]+Tasks[[#This Row],[_Descendants]])),Tasks[[#This Row],[_ShownCalcFinish]]))</f>
        <v/>
      </c>
      <c r="EU15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5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5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5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5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5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5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5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5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5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5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5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50" s="45" t="n">
        <f aca="false">IF(AND(Tasks[[#This Row],[_IsLeaf]]=1,Tasks[[#This Row],[_LeafTotalWork]]&gt;0),NETWORKDAYS.INTL(ProjectStart,Tasks[[#This Row],[_ShownFcstStart]],WorkWeek,Holidays),0)</f>
        <v>0</v>
      </c>
      <c r="FH150" s="45" t="n">
        <f aca="false">IF(AND(Tasks[[#This Row],[_IsLeaf]]=1,Tasks[[#This Row],[_LeafTotalWork]]&gt;0),MAX(Tasks[[#This Row],[_StartWorkday]],NETWORKDAYS.INTL(ProjectStart,Tasks[[#This Row],[_ShownFcstFinish]],WorkWeek,Holidays)),0)</f>
        <v>0</v>
      </c>
      <c r="FI150" s="45" t="n">
        <f aca="false">IF(AND(Tasks[[#This Row],[_IsLeaf]]=1,Tasks[[#This Row],[_LeafTotalWork]]&gt;0),Tasks[[#This Row],[_LeafWork]]/(Tasks[[#This Row],[_FinishWorkday]]-Tasks[[#This Row],[_StartWorkday]]+1),0)</f>
        <v>0</v>
      </c>
      <c r="FJ150" s="45" t="n">
        <f aca="false">Tasks[[#This Row],[_WorkPerWorkday]]*(Tasks[[#This Row],[_StartWorkday]]-1)</f>
        <v>-0</v>
      </c>
      <c r="FK150" s="45" t="n">
        <f aca="false">IF(Tasks[[#This Row],[_IsLeaf]]=1,MAX(N(Tasks[[#This Row],[Duration]]),0.1),0)</f>
        <v>0</v>
      </c>
      <c r="FL150" s="45" t="n">
        <f aca="false">Tasks[[#This Row],[_WeightDur]]*Tasks[[#This Row],[_LeafProgress]]</f>
        <v>0</v>
      </c>
      <c r="FM15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50" s="45" t="str">
        <f aca="false">IF(AND(Tasks[[#This Row],[_IsLeaf]]=1,N(Tasks[[#This Row],[Duration]])=0,Tasks[[#This Row],[_LeafProgress]]&lt;1),Tasks[[#This Row],[_ShownFcstFinish]]+Tasks[[#This Row],[_Row]]/100000,"")</f>
        <v/>
      </c>
      <c r="FO15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50" s="45" t="n">
        <f aca="false">IF(NOT(Tasks[[#This Row],[_IsLeaf]]=1),0,IF(Tasks[[#This Row],[Baseline Cost]]="",Tasks[[#This Row],[_LeafTotalCost]],N(Tasks[[#This Row],[Baseline Cost]])))</f>
        <v>0</v>
      </c>
      <c r="FQ150" s="45" t="n">
        <f aca="false">Tasks[[#This Row],[_LeafBudget]]*Tasks[[#This Row],[_PlannedPct]]</f>
        <v>0</v>
      </c>
      <c r="FR150" s="45" t="n">
        <f aca="false">Tasks[[#This Row],[_LeafBudget]]*Tasks[[#This Row],[_LeafProgress]]</f>
        <v>0</v>
      </c>
      <c r="FS150" s="45" t="n">
        <f aca="false">IF(NOT(Tasks[[#This Row],[_IsLeaf]]=1),0,IF(Tasks[[#This Row],[Actual Cost]]="",Tasks[[#This Row],[_LeafTotalCost]]*Tasks[[#This Row],[_LeafProgress]],N(Tasks[[#This Row],[Actual Cost]])))</f>
        <v>0</v>
      </c>
      <c r="FT150" s="45" t="str">
        <f aca="false">IF(Tasks[[#This Row],[Task Name]]="","",LEFT(Tasks[[#This Row],[WBS]],FIND(".",Tasks[[#This Row],[WBS]]&amp;".")-1))</f>
        <v/>
      </c>
      <c r="FU150" s="45" t="str">
        <f aca="false">IF(AND(Tasks[[#This Row],[Task Name]]&lt;&gt;"",Tasks[[#This Row],[_Level]]=1),Tasks[[#This Row],[_Row]],"")</f>
        <v/>
      </c>
      <c r="FV150" s="45" t="str">
        <f aca="false">IF(AND(Tasks[[#This Row],[_IsLeaf]]=1,N(Tasks[[#This Row],[Duration]])=0),Tasks[[#This Row],[Planned Finish]]+Tasks[[#This Row],[_Row]]/100000,"")</f>
        <v/>
      </c>
      <c r="FW150" s="45" t="str">
        <f aca="false">IF(AND(Tasks[[#This Row],[_IsLeaf]]=1,Tasks[[#This Row],[_LeafProgress]]&lt;1,OR(N(Tasks[[#This Row],[Finish Var]])&gt;0,Tasks[[#This Row],[Status]]="Late Start")),MAX(0,Tasks[[#This Row],[Finish Var]])+1-Tasks[[#This Row],[_Row]]/1000000,"")</f>
        <v/>
      </c>
      <c r="FX150" s="45" t="str">
        <f aca="false">IF(AND(Tasks[[#This Row],[_IsLeaf]]=1,N(Tasks[[#This Row],[Actual Start]])=0,Tasks[[#This Row],[_ShownFcstStart]]&gt;=StatusDate,Tasks[[#This Row],[_ShownFcstStart]]&lt;=LookaheadEnd),Tasks[[#This Row],[_ShownFcstStart]]+Tasks[[#This Row],[_Row]]/100000,"")</f>
        <v/>
      </c>
      <c r="FY150" s="45" t="str">
        <f aca="false">IF(AND(Tasks[[#This Row],[_IsLeaf]]=1,Tasks[[#This Row],[_LeafProgress]]&lt;1,Tasks[[#This Row],[_ShownFcstFinish]]&gt;=StatusDate,Tasks[[#This Row],[_ShownFcstFinish]]&lt;=LookaheadEnd),Tasks[[#This Row],[_ShownFcstFinish]]+Tasks[[#This Row],[_Row]]/100000,"")</f>
        <v/>
      </c>
      <c r="FZ150" s="45" t="str">
        <f aca="false">IF(Tasks[[#This Row],[_LeafCritical]],Tasks[[#This Row],[_ShownFcstStart]]+Tasks[[#This Row],[_Row]]/100000,"")</f>
        <v/>
      </c>
      <c r="GA150" s="45" t="n">
        <f aca="false">Tasks[[#This Row],[_LeafWork]]*Tasks[[#This Row],[_LeafProgress]]</f>
        <v>0</v>
      </c>
      <c r="GB150" s="74" t="str">
        <f aca="false">IF(AND(Tasks[[#This Row],[_IsLeaf]]=1,Tasks[[#This Row],[_LeafProgress]]&gt;=1),IF(N(Tasks[[#This Row],[Actual Finish]])&gt;0,Tasks[[#This Row],[Actual Finish]],Tasks[[#This Row],[_ShownFcstFinish]]),"")</f>
        <v/>
      </c>
    </row>
    <row r="151" customFormat="false" ht="15" hidden="false" customHeight="false" outlineLevel="0" collapsed="false">
      <c r="A151" s="67" t="str">
        <f aca="false">IF(Tasks[[#This Row],[Task Name]]="","",COUNTA(Tasks[[#Headers],[Task Name]]:Tasks[[#This Row],[Task Name]])-1)</f>
        <v/>
      </c>
      <c r="B151" s="21" t="n">
        <v>146</v>
      </c>
      <c r="C15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21"/>
      <c r="E151" s="22"/>
      <c r="F151" s="21"/>
      <c r="G151" s="22"/>
      <c r="H151" s="22"/>
      <c r="I151" s="22"/>
      <c r="J151" s="7"/>
      <c r="K151" s="7"/>
      <c r="L151" s="22"/>
      <c r="M151" s="58" t="str">
        <f aca="false">IF(Tasks[[#This Row],[Task Name]]="","",IF(Tasks[[#This Row],[_IsSummary]],MIN(INDEX(Tasks[_ShownFcstStart],Tasks[[#This Row],[_Row]]+1):INDEX(Tasks[_ShownFcstStart],Tasks[[#This Row],[_Row]]+Tasks[[#This Row],[_Descendants]])),Tasks[[#This Row],[_ShownFcstStart]]))</f>
        <v/>
      </c>
      <c r="N151" s="58" t="str">
        <f aca="false">IF(Tasks[[#This Row],[Task Name]]="","",IF(Tasks[[#This Row],[_IsSummary]],MAX(INDEX(Tasks[_ShownFcstFinish],Tasks[[#This Row],[_Row]]+1):INDEX(Tasks[_ShownFcstFinish],Tasks[[#This Row],[_Row]]+Tasks[[#This Row],[_Descendants]])),Tasks[[#This Row],[_ShownFcstFinish]]))</f>
        <v/>
      </c>
      <c r="O151" s="20" t="str">
        <f aca="false">IF(Tasks[[#This Row],[Task Name]]="","",IF(Tasks[[#This Row],[Progress]]&gt;=1,"Complete",IF(OR(N(Tasks[[#This Row],[Actual Start]])&gt;0,Tasks[[#This Row],[Progress]]&gt;0),IF(Tasks[[#This Row],[Finish Var]]&gt;0,"Behind","In Progress"),IF(Tasks[[#This Row],[Planned Start]]&lt;StatusDate,"Late Start","Not Started"))))</f>
        <v/>
      </c>
      <c r="P151" s="20" t="str">
        <f aca="false">IF(Tasks[[#This Row],[Task Name]]="","",IF(IF(Tasks[[#This Row],[_IsSummary]],COUNTIF(INDEX(Tasks[_LeafCritical],Tasks[[#This Row],[_Row]]+1):INDEX(Tasks[_LeafCritical],Tasks[[#This Row],[_Row]]+Tasks[[#This Row],[_Descendants]]),TRUE())&gt;0,Tasks[[#This Row],[_LeafCritical]]),"Yes",""))</f>
        <v/>
      </c>
      <c r="Q15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51" s="67" t="str">
        <f aca="false">IF(Tasks[[#This Row],[Task Name]]="","",IF(Tasks[[#This Row],[_Level]]&lt;=OutlineShowLevel,"Yes","No"))</f>
        <v/>
      </c>
      <c r="S151" s="7"/>
      <c r="T151" s="21"/>
      <c r="U151" s="22"/>
      <c r="V151" s="7"/>
      <c r="W151" s="67" t="str">
        <f aca="false">IF(Tasks[[#This Row],[Task Name]]="","",IF(Tasks[[#This Row],[Finish]]&gt;=Tasks[[#This Row],[Planned Finish]],NETWORKDAYS.INTL(Tasks[[#This Row],[Planned Finish]],Tasks[[#This Row],[Finish]],WorkWeek,Holidays)-1,1-NETWORKDAYS.INTL(Tasks[[#This Row],[Finish]],Tasks[[#This Row],[Planned Finish]],WorkWeek,Holidays)))</f>
        <v/>
      </c>
      <c r="X151" s="58" t="str">
        <f aca="false">IF(Tasks[[#This Row],[Task Name]]="","",IF(N(Tasks[[#This Row],[Baseline Start]])&gt;0,Tasks[[#This Row],[Baseline Start]],Tasks[[#This Row],[_CalcStart]]))</f>
        <v/>
      </c>
      <c r="Y151" s="58" t="str">
        <f aca="false">IF(Tasks[[#This Row],[Task Name]]="","",IF(N(Tasks[[#This Row],[Baseline Finish]])&gt;0,Tasks[[#This Row],[Baseline Finish]],Tasks[[#This Row],[_CalcFinish]]))</f>
        <v/>
      </c>
      <c r="Z151" s="67" t="str">
        <f aca="false">IF(Tasks[[#This Row],[Task Name]]="","",IF(Tasks[[#This Row],[Start]]&gt;=Tasks[[#This Row],[Planned Start]],NETWORKDAYS.INTL(Tasks[[#This Row],[Planned Start]],Tasks[[#This Row],[Start]],WorkWeek,Holidays)-1,1-NETWORKDAYS.INTL(Tasks[[#This Row],[Start]],Tasks[[#This Row],[Planned Start]],WorkWeek,Holidays)))</f>
        <v/>
      </c>
      <c r="AA151" s="58" t="str">
        <f aca="false">IF(Tasks[[#This Row],[Task Name]]="","",IF(Tasks[[#This Row],[_IsSummary]],MIN(INDEX(Tasks[_LeafLateStart],Tasks[[#This Row],[_Row]]+1):INDEX(Tasks[_LeafLateStart],Tasks[[#This Row],[_Row]]+Tasks[[#This Row],[_Descendants]])),Tasks[[#This Row],[_LeafLateStart]]))</f>
        <v/>
      </c>
      <c r="AB151" s="58" t="str">
        <f aca="false">IF(Tasks[[#This Row],[Task Name]]="","",IF(Tasks[[#This Row],[_IsSummary]],MAX(INDEX(Tasks[_LeafLateFinish],Tasks[[#This Row],[_Row]]+1):INDEX(Tasks[_LeafLateFinish],Tasks[[#This Row],[_Row]]+Tasks[[#This Row],[_Descendants]])),Tasks[[#This Row],[_LeafLateFinish]]))</f>
        <v/>
      </c>
      <c r="AC151" s="67" t="str">
        <f aca="false">IF(Tasks[[#This Row],[Task Name]]="","",IF(Tasks[[#This Row],[_IsSummary]],MIN(INDEX(Tasks[_LeafTotalSlack],Tasks[[#This Row],[_Row]]+1):INDEX(Tasks[_LeafTotalSlack],Tasks[[#This Row],[_Row]]+Tasks[[#This Row],[_Descendants]])),Tasks[[#This Row],[_LeafTotalSlack]]))</f>
        <v/>
      </c>
      <c r="AD15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5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5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51" s="60"/>
      <c r="AH15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5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51" s="69" t="str">
        <f aca="false">IF(Tasks[[#This Row],[Task Name]]="","",IF(Tasks[[#This Row],[_IsSummary]],SUM(INDEX(Tasks[_LeafTotalWork],Tasks[[#This Row],[_Row]]+1):INDEX(Tasks[_LeafTotalWork],Tasks[[#This Row],[_Row]]+Tasks[[#This Row],[_Descendants]])),Tasks[[#This Row],[_LeafTotalWork]]))</f>
        <v/>
      </c>
      <c r="AK15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51" s="70" t="str">
        <f aca="false">IF(Tasks[[#This Row],[Task Name]]="","",IF(Tasks[[#This Row],[_IsSummary]],SUM(INDEX(Tasks[_LeafTotalCost],Tasks[[#This Row],[_Row]]+1):INDEX(Tasks[_LeafTotalCost],Tasks[[#This Row],[_Row]]+Tasks[[#This Row],[_Descendants]])),Tasks[[#This Row],[_LeafTotalCost]]))</f>
        <v/>
      </c>
      <c r="AM151" s="71"/>
      <c r="AN151" s="20" t="str">
        <f aca="false">IF(OR(Tasks[[#This Row],[Task Name]]="",Tasks[[#This Row],[Baseline Duration]]=""),"",Tasks[[#This Row],[BL Source Duration]]-N(Tasks[[#This Row],[Baseline Duration]]))</f>
        <v/>
      </c>
      <c r="AO151" s="69" t="str">
        <f aca="false">IF(OR(Tasks[[#This Row],[Task Name]]="",Tasks[[#This Row],[Baseline Work]]=""),"",Tasks[[#This Row],[Work]]-N(Tasks[[#This Row],[Baseline Work]]))</f>
        <v/>
      </c>
      <c r="AP151" s="70" t="str">
        <f aca="false">IF(OR(Tasks[[#This Row],[Task Name]]="",Tasks[[#This Row],[Baseline Cost]]=""),"",Tasks[[#This Row],[Cost]]-N(Tasks[[#This Row],[Baseline Cost]]))</f>
        <v/>
      </c>
      <c r="AQ151" s="58" t="str">
        <f aca="false">IF(Tasks[[#This Row],[Task Name]]="","",Tasks[[#This Row],[Start]])</f>
        <v/>
      </c>
      <c r="AR151" s="58" t="str">
        <f aca="false">IF(Tasks[[#This Row],[Task Name]]="","",Tasks[[#This Row],[Finish]])</f>
        <v/>
      </c>
      <c r="AS151" s="67" t="str">
        <f aca="false">IF(Tasks[[#This Row],[Task Name]]="","",IF(Tasks[[#This Row],[_IsSummary]],NETWORKDAYS.INTL(Tasks[[#This Row],[Start]],Tasks[[#This Row],[Finish]],WorkWeek,Holidays),N(Tasks[[#This Row],[Duration]])))</f>
        <v/>
      </c>
      <c r="AT151" s="69" t="str">
        <f aca="false">IF(Tasks[[#This Row],[Task Name]]="","",Tasks[[#This Row],[Work]])</f>
        <v/>
      </c>
      <c r="AU151" s="70" t="str">
        <f aca="false">IF(Tasks[[#This Row],[Task Name]]="","",Tasks[[#This Row],[Cost]])</f>
        <v/>
      </c>
      <c r="AV151" s="7"/>
      <c r="AW151" s="7"/>
      <c r="AX151" s="21"/>
      <c r="AY151" s="72"/>
      <c r="AZ151" s="71"/>
      <c r="BA151" s="70" t="str">
        <f aca="false">IF(Tasks[[#This Row],[Task Name]]="","",IF(Tasks[[#This Row],[_IsSummary]],SUM(INDEX(Tasks[_LeafEV],Tasks[[#This Row],[_Row]]+1):INDEX(Tasks[_LeafEV],Tasks[[#This Row],[_Row]]+Tasks[[#This Row],[_Descendants]])),Tasks[[#This Row],[_LeafEV]]))</f>
        <v/>
      </c>
      <c r="BB151" s="70" t="str">
        <f aca="false">IF(Tasks[[#This Row],[Task Name]]="","",IF(Tasks[[#This Row],[_IsSummary]],SUM(INDEX(Tasks[_LeafBudget],Tasks[[#This Row],[_Row]]+1):INDEX(Tasks[_LeafBudget],Tasks[[#This Row],[_Row]]+Tasks[[#This Row],[_Descendants]])),Tasks[[#This Row],[_LeafBudget]]))</f>
        <v/>
      </c>
      <c r="BC151" s="70" t="str">
        <f aca="false">IF(Tasks[[#This Row],[Task Name]]="","",IF(Tasks[[#This Row],[_IsSummary]],SUM(INDEX(Tasks[_LeafPV],Tasks[[#This Row],[_Row]]+1):INDEX(Tasks[_LeafPV],Tasks[[#This Row],[_Row]]+Tasks[[#This Row],[_Descendants]])),Tasks[[#This Row],[_LeafPV]]))</f>
        <v/>
      </c>
      <c r="BD151" s="70" t="str">
        <f aca="false">IF(Tasks[[#This Row],[Task Name]]="","",IF(Tasks[[#This Row],[_IsSummary]],SUM(INDEX(Tasks[_LeafAC],Tasks[[#This Row],[_Row]]+1):INDEX(Tasks[_LeafAC],Tasks[[#This Row],[_Row]]+Tasks[[#This Row],[_Descendants]])),Tasks[[#This Row],[_LeafAC]]))</f>
        <v/>
      </c>
      <c r="BE151" s="45" t="str">
        <f aca="false">IF(Tasks[[#This Row],[Task Name]]="","",MAX(1,N(Tasks[[#This Row],[Level]])))</f>
        <v/>
      </c>
      <c r="BF151" s="45" t="n">
        <f aca="false">ROW()-ROW(Tasks[[#Headers],[ID]])</f>
        <v>146</v>
      </c>
      <c r="BG151" s="45" t="n">
        <f aca="false">IF(OR(Tasks[[#This Row],[Task Name]]="",Tasks[[#This Row],[_Level]]&lt;=1),0,IFERROR(LOOKUP(2,1/(Tasks[[#Headers],[_Level]]:Tasks[[#This Row],[_Level]]=Tasks[[#This Row],[_Level]]-1),ROW(Tasks[[#Headers],[_Level]]:Tasks[[#This Row],[_Level]])),0))</f>
        <v>0</v>
      </c>
      <c r="BH151" s="45" t="n">
        <f aca="false">IFERROR(N(INDEX(Tasks[_Level],Tasks[[#This Row],[_Row]]+1)),0)</f>
        <v>0</v>
      </c>
      <c r="BI151" s="73" t="b">
        <f aca="false">AND(Tasks[[#This Row],[Task Name]]&lt;&gt;"",Tasks[[#This Row],[_NextLevel]]&gt;Tasks[[#This Row],[_Level]])</f>
        <v>0</v>
      </c>
      <c r="BJ151" s="45" t="n">
        <f aca="false">IF(Tasks[[#This Row],[_IsSummary]],COUNTIF(Tasks[WBS],Tasks[[#This Row],[WBS]]&amp;".*"),0)</f>
        <v>0</v>
      </c>
      <c r="BK151" s="45" t="n">
        <f aca="false">IF(AND(Tasks[[#This Row],[Task Name]]&lt;&gt;"",NOT(Tasks[[#This Row],[_IsSummary]])),1,0)</f>
        <v>0</v>
      </c>
      <c r="BL151" s="45" t="n">
        <f aca="false">IF(N(Tasks[[#This Row],[_Pred1UID]])=0,0,IFERROR(MATCH(Tasks[[#This Row],[_Pred1UID]],Tasks[UID],0),-1))</f>
        <v>0</v>
      </c>
      <c r="BM151" s="45" t="n">
        <f aca="false">IF(N(Tasks[[#This Row],[_Pred2UID]])=0,0,IFERROR(MATCH(Tasks[[#This Row],[_Pred2UID]],Tasks[UID],0),-1))</f>
        <v>0</v>
      </c>
      <c r="BN151" s="45" t="n">
        <f aca="false">IF(N(Tasks[[#This Row],[_Pred3UID]])=0,0,IFERROR(MATCH(Tasks[[#This Row],[_Pred3UID]],Tasks[UID],0),-1))</f>
        <v>0</v>
      </c>
      <c r="BO151" s="45" t="n">
        <f aca="false">IF(N(Tasks[[#This Row],[_Pred4UID]])=0,0,IFERROR(MATCH(Tasks[[#This Row],[_Pred4UID]],Tasks[UID],0),-1))</f>
        <v>0</v>
      </c>
      <c r="BP15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5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51" s="74" t="n">
        <f aca="false">IF(OR(Tasks[[#This Row],[_ConstraintCode]]=2,Tasks[[#This Row],[_ConstraintCode]]=3,Tasks[[#This Row],[_ConstraintCode]]=4,Tasks[[#This Row],[_ConstraintCode]]=6),Tasks[[#This Row],[_ConstraintStart]],0)</f>
        <v>0</v>
      </c>
      <c r="BS151" s="74" t="n">
        <f aca="false">IF(OR(Tasks[[#This Row],[_ConstraintCode]]=2,Tasks[[#This Row],[_ConstraintCode]]=3,Tasks[[#This Row],[_ConstraintCode]]=5,Tasks[[#This Row],[_ConstraintCode]]=7),Tasks[[#This Row],[_ConstraintStart]],2958465)</f>
        <v>2958465</v>
      </c>
      <c r="BT15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51" s="74" t="str">
        <f aca="false">IF(NOT(Tasks[[#This Row],[_IsLeaf]]=1),"",IF(N(Tasks[[#This Row],[Duration]])&lt;=0,Tasks[[#This Row],[_LeafCalcStart]],WORKDAY.INTL(Tasks[[#This Row],[_LeafCalcStart]],Tasks[[#This Row],[Duration]]-1,WorkWeek,Holidays)))</f>
        <v/>
      </c>
      <c r="BV15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5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51" s="45" t="str">
        <f aca="false">IF(Tasks[[#This Row],[Predecessors]]="","",TRIM(MID(SUBSTITUTE(SUBSTITUTE(SUBSTITUTE(UPPER(Tasks[[#This Row],[Predecessors]]),";",",")," ",""),",",REPT(" ",99)),1,99)))</f>
        <v/>
      </c>
      <c r="BY151" s="45" t="str">
        <f aca="false">IF(Tasks[[#This Row],[_Pred1Text]]="","",IFERROR(VALUE(LEFT(Tasks[[#This Row],[_Pred1Text]],MIN(FIND("F",Tasks[[#This Row],[_Pred1Text]]&amp;"F"),FIND("S",Tasks[[#This Row],[_Pred1Text]]&amp;"S"),FIND("+",Tasks[[#This Row],[_Pred1Text]]&amp;"+"),FIND("-",Tasks[[#This Row],[_Pred1Text]]&amp;"-"))-1)),""))</f>
        <v/>
      </c>
      <c r="BZ15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5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51" s="45" t="str">
        <f aca="false">IF(Tasks[[#This Row],[_Pred1Text]]="","",TRIM(MID(SUBSTITUTE(SUBSTITUTE(SUBSTITUTE(UPPER(Tasks[[#This Row],[Predecessors]]),";",",")," ",""),",",REPT(" ",99)),100,99)))</f>
        <v/>
      </c>
      <c r="CC151" s="45" t="str">
        <f aca="false">IF(Tasks[[#This Row],[_Pred2Text]]="","",IFERROR(VALUE(LEFT(Tasks[[#This Row],[_Pred2Text]],MIN(FIND("F",Tasks[[#This Row],[_Pred2Text]]&amp;"F"),FIND("S",Tasks[[#This Row],[_Pred2Text]]&amp;"S"),FIND("+",Tasks[[#This Row],[_Pred2Text]]&amp;"+"),FIND("-",Tasks[[#This Row],[_Pred2Text]]&amp;"-"))-1)),""))</f>
        <v/>
      </c>
      <c r="CD15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5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51" s="45" t="str">
        <f aca="false">IF(Tasks[[#This Row],[_Pred2Text]]="","",TRIM(MID(SUBSTITUTE(SUBSTITUTE(SUBSTITUTE(UPPER(Tasks[[#This Row],[Predecessors]]),";",",")," ",""),",",REPT(" ",99)),199,99)))</f>
        <v/>
      </c>
      <c r="CG151" s="45" t="str">
        <f aca="false">IF(Tasks[[#This Row],[_Pred3Text]]="","",IFERROR(VALUE(LEFT(Tasks[[#This Row],[_Pred3Text]],MIN(FIND("F",Tasks[[#This Row],[_Pred3Text]]&amp;"F"),FIND("S",Tasks[[#This Row],[_Pred3Text]]&amp;"S"),FIND("+",Tasks[[#This Row],[_Pred3Text]]&amp;"+"),FIND("-",Tasks[[#This Row],[_Pred3Text]]&amp;"-"))-1)),""))</f>
        <v/>
      </c>
      <c r="CH15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5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51" s="45" t="str">
        <f aca="false">IF(Tasks[[#This Row],[_Pred3Text]]="","",TRIM(MID(SUBSTITUTE(SUBSTITUTE(SUBSTITUTE(UPPER(Tasks[[#This Row],[Predecessors]]),";",",")," ",""),",",REPT(" ",99)),298,99)))</f>
        <v/>
      </c>
      <c r="CK151" s="45" t="str">
        <f aca="false">IF(Tasks[[#This Row],[_Pred4Text]]="","",IFERROR(VALUE(LEFT(Tasks[[#This Row],[_Pred4Text]],MIN(FIND("F",Tasks[[#This Row],[_Pred4Text]]&amp;"F"),FIND("S",Tasks[[#This Row],[_Pred4Text]]&amp;"S"),FIND("+",Tasks[[#This Row],[_Pred4Text]]&amp;"+"),FIND("-",Tasks[[#This Row],[_Pred4Text]]&amp;"-"))-1)),""))</f>
        <v/>
      </c>
      <c r="CL15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5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51" s="45" t="str">
        <f aca="false">IF(OR(Tasks[[#This Row],[Task Name]]="",Tasks[[#This Row],[Resources]]=""),"",TRIM(MID(SUBSTITUTE(Tasks[[#This Row],[Resources]],",",REPT(" ",99)),1,99)))</f>
        <v/>
      </c>
      <c r="CO151" s="45" t="str">
        <f aca="false">IF(Tasks[[#This Row],[_Res1Text]]="","",TRIM(MID(SUBSTITUTE(Tasks[[#This Row],[Resources]],",",REPT(" ",99)),100,99)))</f>
        <v/>
      </c>
      <c r="CP151" s="45" t="str">
        <f aca="false">IF(Tasks[[#This Row],[_Res2Text]]="","",TRIM(MID(SUBSTITUTE(Tasks[[#This Row],[Resources]],",",REPT(" ",99)),199,99)))</f>
        <v/>
      </c>
      <c r="CQ151" s="45" t="str">
        <f aca="false">IF(Tasks[[#This Row],[_Res3Text]]="","",TRIM(MID(SUBSTITUTE(Tasks[[#This Row],[Resources]],",",REPT(" ",99)),298,99)))</f>
        <v/>
      </c>
      <c r="CR15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5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1" s="45" t="n">
        <f aca="false">IF(NOT(Tasks[[#This Row],[_IsLeaf]]=1),0,(Tasks[[#This Row],[_Resource1]]&lt;&gt;"")+(Tasks[[#This Row],[_Res2]]&lt;&gt;"")+(Tasks[[#This Row],[_Res3]]&lt;&gt;"")+(Tasks[[#This Row],[_Res4]]&lt;&gt;""))</f>
        <v>0</v>
      </c>
      <c r="CU15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5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1" s="45" t="n">
        <f aca="false">IF(OR(NOT(Tasks[[#This Row],[_IsLeaf]]=1),Tasks[[#This Row],[_Res2]]=""),0,IF(ISNA(MATCH(Tasks[[#This Row],[_Res2]],res_Name,0)),0,N(Tasks[[#This Row],[Duration]])*HoursPerDay*IF(Tasks[[#This Row],[_Res2Units]]="",DefaultUnits,Tasks[[#This Row],[_Res2Units]])))</f>
        <v>0</v>
      </c>
      <c r="CX151" s="45" t="n">
        <f aca="false">IF(Tasks[[#This Row],[_Res2Work]]=0,0,Tasks[[#This Row],[_Res2Work]]*IFERROR(INDEX(res_Rate,MATCH(Tasks[[#This Row],[_Res2]],res_Name,0)),0))</f>
        <v>0</v>
      </c>
      <c r="CY151" s="45" t="n">
        <f aca="false">IF(AND(AND(Tasks[[#This Row],[_IsLeaf]]=1,Tasks[[#This Row],[_LeafTotalWork]]&gt;0),Tasks[[#This Row],[_Res2Work]]&gt;0),Tasks[[#This Row],[_Res2Work]]/(Tasks[[#This Row],[_FinishWorkday]]-Tasks[[#This Row],[_StartWorkday]]+1),0)</f>
        <v>0</v>
      </c>
      <c r="CZ151" s="45" t="n">
        <f aca="false">Tasks[[#This Row],[_Res2WorkPerWD]]*MAX(0,Tasks[[#This Row],[_StartWorkday]]-1)</f>
        <v>0</v>
      </c>
      <c r="DA151" s="45" t="n">
        <f aca="false">Tasks[[#This Row],[_Res2Work]]*Tasks[[#This Row],[_LeafProgress]]</f>
        <v>0</v>
      </c>
      <c r="DB151" s="45" t="n">
        <f aca="false">IF(Tasks[[#This Row],[_LeafTotalCost]]=0,0,Tasks[[#This Row],[_LeafAC]]*Tasks[[#This Row],[_Res2Cost]]/Tasks[[#This Row],[_LeafTotalCost]])</f>
        <v>0</v>
      </c>
      <c r="DC15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5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51" s="45" t="n">
        <f aca="false">IF(OR(NOT(Tasks[[#This Row],[_IsLeaf]]=1),Tasks[[#This Row],[_Res3]]=""),0,IF(ISNA(MATCH(Tasks[[#This Row],[_Res3]],res_Name,0)),0,N(Tasks[[#This Row],[Duration]])*HoursPerDay*IF(Tasks[[#This Row],[_Res3Units]]="",DefaultUnits,Tasks[[#This Row],[_Res3Units]])))</f>
        <v>0</v>
      </c>
      <c r="DF151" s="45" t="n">
        <f aca="false">IF(Tasks[[#This Row],[_Res3Work]]=0,0,Tasks[[#This Row],[_Res3Work]]*IFERROR(INDEX(res_Rate,MATCH(Tasks[[#This Row],[_Res3]],res_Name,0)),0))</f>
        <v>0</v>
      </c>
      <c r="DG151" s="45" t="n">
        <f aca="false">IF(AND(AND(Tasks[[#This Row],[_IsLeaf]]=1,Tasks[[#This Row],[_LeafTotalWork]]&gt;0),Tasks[[#This Row],[_Res3Work]]&gt;0),Tasks[[#This Row],[_Res3Work]]/(Tasks[[#This Row],[_FinishWorkday]]-Tasks[[#This Row],[_StartWorkday]]+1),0)</f>
        <v>0</v>
      </c>
      <c r="DH151" s="45" t="n">
        <f aca="false">Tasks[[#This Row],[_Res3WorkPerWD]]*MAX(0,Tasks[[#This Row],[_StartWorkday]]-1)</f>
        <v>0</v>
      </c>
      <c r="DI151" s="45" t="n">
        <f aca="false">Tasks[[#This Row],[_Res3Work]]*Tasks[[#This Row],[_LeafProgress]]</f>
        <v>0</v>
      </c>
      <c r="DJ151" s="45" t="n">
        <f aca="false">IF(Tasks[[#This Row],[_LeafTotalCost]]=0,0,Tasks[[#This Row],[_LeafAC]]*Tasks[[#This Row],[_Res3Cost]]/Tasks[[#This Row],[_LeafTotalCost]])</f>
        <v>0</v>
      </c>
      <c r="DK15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5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51" s="45" t="n">
        <f aca="false">IF(OR(NOT(Tasks[[#This Row],[_IsLeaf]]=1),Tasks[[#This Row],[_Res4]]=""),0,IF(ISNA(MATCH(Tasks[[#This Row],[_Res4]],res_Name,0)),0,N(Tasks[[#This Row],[Duration]])*HoursPerDay*IF(Tasks[[#This Row],[_Res4Units]]="",DefaultUnits,Tasks[[#This Row],[_Res4Units]])))</f>
        <v>0</v>
      </c>
      <c r="DN151" s="45" t="n">
        <f aca="false">IF(Tasks[[#This Row],[_Res4Work]]=0,0,Tasks[[#This Row],[_Res4Work]]*IFERROR(INDEX(res_Rate,MATCH(Tasks[[#This Row],[_Res4]],res_Name,0)),0))</f>
        <v>0</v>
      </c>
      <c r="DO151" s="45" t="n">
        <f aca="false">IF(AND(AND(Tasks[[#This Row],[_IsLeaf]]=1,Tasks[[#This Row],[_LeafTotalWork]]&gt;0),Tasks[[#This Row],[_Res4Work]]&gt;0),Tasks[[#This Row],[_Res4Work]]/(Tasks[[#This Row],[_FinishWorkday]]-Tasks[[#This Row],[_StartWorkday]]+1),0)</f>
        <v>0</v>
      </c>
      <c r="DP151" s="45" t="n">
        <f aca="false">Tasks[[#This Row],[_Res4WorkPerWD]]*MAX(0,Tasks[[#This Row],[_StartWorkday]]-1)</f>
        <v>0</v>
      </c>
      <c r="DQ151" s="45" t="n">
        <f aca="false">Tasks[[#This Row],[_Res4Work]]*Tasks[[#This Row],[_LeafProgress]]</f>
        <v>0</v>
      </c>
      <c r="DR151" s="45" t="n">
        <f aca="false">IF(Tasks[[#This Row],[_LeafTotalCost]]=0,0,Tasks[[#This Row],[_LeafAC]]*Tasks[[#This Row],[_Res4Cost]]/Tasks[[#This Row],[_LeafTotalCost]])</f>
        <v>0</v>
      </c>
      <c r="DS151" s="45" t="n">
        <f aca="false">IF(ISNUMBER(Tasks[[#This Row],[% Complete]]),Tasks[[#This Row],[% Complete]],IF(Tasks[[#This Row],[Stage]]="",0,IFERROR(INDEX(stg_Pct,MATCH(Tasks[[#This Row],[Stage]],stg_Name,0)),0)))</f>
        <v>0</v>
      </c>
      <c r="DT151" s="45" t="n">
        <f aca="false">IF(NOT(Tasks[[#This Row],[_IsLeaf]]=1),0,IF(N(Tasks[[#This Row],[Actual Finish]])&gt;0,1,MIN(1,Tasks[[#This Row],[_Pct]])))</f>
        <v>0</v>
      </c>
      <c r="DU151" s="45" t="n">
        <f aca="false">IF(OR(NOT(Tasks[[#This Row],[_IsLeaf]]=1),Tasks[[#This Row],[_Resource1]]=""),0,IF(ISNA(MATCH(Tasks[[#This Row],[_Resource1]],res_Name,0)),0,N(Tasks[[#This Row],[Duration]])*HoursPerDay*IF(Tasks[[#This Row],[_Units1]]="",DefaultUnits,Tasks[[#This Row],[_Units1]])))</f>
        <v>0</v>
      </c>
      <c r="DV151" s="45" t="n">
        <f aca="false">IF(Tasks[[#This Row],[_LeafWork]]=0,0,Tasks[[#This Row],[_LeafWork]]*IFERROR(INDEX(res_Rate,MATCH(Tasks[[#This Row],[_Resource1]],res_Name,0)),0))</f>
        <v>0</v>
      </c>
      <c r="DW151" s="45" t="n">
        <f aca="false">Tasks[[#This Row],[_LeafWork]]+Tasks[[#This Row],[_Res2Work]]+Tasks[[#This Row],[_Res3Work]]+Tasks[[#This Row],[_Res4Work]]</f>
        <v>0</v>
      </c>
      <c r="DX151" s="45" t="n">
        <f aca="false">Tasks[[#This Row],[_LeafCost]]+Tasks[[#This Row],[_Res2Cost]]+Tasks[[#This Row],[_Res3Cost]]+Tasks[[#This Row],[_Res4Cost]]</f>
        <v>0</v>
      </c>
      <c r="DY151" s="45" t="n">
        <f aca="false">IF(Tasks[[#This Row],[_LeafTotalCost]]=0,Tasks[[#This Row],[_LeafAC]],Tasks[[#This Row],[_LeafAC]]*Tasks[[#This Row],[_LeafCost]]/Tasks[[#This Row],[_LeafTotalCost]])</f>
        <v>0</v>
      </c>
      <c r="DZ15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5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5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5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5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5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5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5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51" s="45" t="n">
        <f aca="false">IF(NOT(Tasks[[#This Row],[_IsLeaf]]=1),0,MAX(_xlfn.MAXIFS(Tasks[_Row],Tasks[_Pred1UID],Tasks[[#This Row],[UID]]),_xlfn.MAXIFS(Tasks[_Row],Tasks[_Pred2UID],Tasks[[#This Row],[UID]]),_xlfn.MAXIFS(Tasks[_Row],Tasks[_Pred3UID],Tasks[[#This Row],[UID]]),_xlfn.MAXIFS(Tasks[_Row],Tasks[_Pred4UID],Tasks[[#This Row],[UID]])))</f>
        <v>0</v>
      </c>
      <c r="EI15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5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51" s="74" t="str">
        <f aca="false">IF(NOT(Tasks[[#This Row],[_IsLeaf]]=1),"",IF(N(Tasks[[#This Row],[Duration]])&lt;=0,Tasks[[#This Row],[_LeafLateFinish]],WORKDAY.INTL(Tasks[[#This Row],[_LeafLateFinish]],-(Tasks[[#This Row],[Duration]]-1),WorkWeek,Holidays)))</f>
        <v/>
      </c>
      <c r="EL15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51" s="73" t="b">
        <f aca="false">AND(Tasks[[#This Row],[_IsLeaf]]=1,Tasks[[#This Row],[_LeafProgress]]&lt;1,N(Tasks[[#This Row],[_LeafTotalSlack]])&lt;=CriticalSlackDays)</f>
        <v>0</v>
      </c>
      <c r="EN151" s="45" t="n">
        <f aca="false">IF(AND(Tasks[[#This Row],[_IsLeaf]]=1,Tasks[[#This Row],[_ConstraintCode]]=1,Tasks[[#This Row],[Mode]]&lt;&gt;"Manual",N(Tasks[[#This Row],[Actual Start]])=0),MAX(0,N(Tasks[[#This Row],[Free Slack]])),0)</f>
        <v>0</v>
      </c>
      <c r="EO151" s="74" t="str">
        <f aca="false">IF(NOT(Tasks[[#This Row],[_IsLeaf]]=1),"",IF(Tasks[[#This Row],[_AlapShift]]=0,Tasks[[#This Row],[_LeafCalcStart]],WORKDAY.INTL(Tasks[[#This Row],[_LeafCalcStart]],Tasks[[#This Row],[_AlapShift]],WorkWeek,Holidays)))</f>
        <v/>
      </c>
      <c r="EP151" s="74" t="str">
        <f aca="false">IF(NOT(Tasks[[#This Row],[_IsLeaf]]=1),"",IF(Tasks[[#This Row],[_AlapShift]]=0,Tasks[[#This Row],[_LeafCalcFinish]],WORKDAY.INTL(Tasks[[#This Row],[_LeafCalcFinish]],Tasks[[#This Row],[_AlapShift]],WorkWeek,Holidays)))</f>
        <v/>
      </c>
      <c r="EQ151" s="74" t="str">
        <f aca="false">IF(NOT(Tasks[[#This Row],[_IsLeaf]]=1),"",IF(Tasks[[#This Row],[_AlapShift]]=0,Tasks[[#This Row],[_LeafFcstStart]],WORKDAY.INTL(Tasks[[#This Row],[_LeafFcstStart]],Tasks[[#This Row],[_AlapShift]],WorkWeek,Holidays)))</f>
        <v/>
      </c>
      <c r="ER151" s="74" t="str">
        <f aca="false">IF(NOT(Tasks[[#This Row],[_IsLeaf]]=1),"",IF(Tasks[[#This Row],[_AlapShift]]=0,Tasks[[#This Row],[_LeafFcstFinish]],WORKDAY.INTL(Tasks[[#This Row],[_LeafFcstFinish]],Tasks[[#This Row],[_AlapShift]],WorkWeek,Holidays)))</f>
        <v/>
      </c>
      <c r="ES151" s="74" t="str">
        <f aca="false">IF(Tasks[[#This Row],[Task Name]]="","",IF(Tasks[[#This Row],[_IsSummary]],MIN(INDEX(Tasks[_ShownCalcStart],Tasks[[#This Row],[_Row]]+1):INDEX(Tasks[_ShownCalcStart],Tasks[[#This Row],[_Row]]+Tasks[[#This Row],[_Descendants]])),Tasks[[#This Row],[_ShownCalcStart]]))</f>
        <v/>
      </c>
      <c r="ET151" s="74" t="str">
        <f aca="false">IF(Tasks[[#This Row],[Task Name]]="","",IF(Tasks[[#This Row],[_IsSummary]],MAX(INDEX(Tasks[_ShownCalcFinish],Tasks[[#This Row],[_Row]]+1):INDEX(Tasks[_ShownCalcFinish],Tasks[[#This Row],[_Row]]+Tasks[[#This Row],[_Descendants]])),Tasks[[#This Row],[_ShownCalcFinish]]))</f>
        <v/>
      </c>
      <c r="EU15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5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5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5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5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5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5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5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5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5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5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5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51" s="45" t="n">
        <f aca="false">IF(AND(Tasks[[#This Row],[_IsLeaf]]=1,Tasks[[#This Row],[_LeafTotalWork]]&gt;0),NETWORKDAYS.INTL(ProjectStart,Tasks[[#This Row],[_ShownFcstStart]],WorkWeek,Holidays),0)</f>
        <v>0</v>
      </c>
      <c r="FH151" s="45" t="n">
        <f aca="false">IF(AND(Tasks[[#This Row],[_IsLeaf]]=1,Tasks[[#This Row],[_LeafTotalWork]]&gt;0),MAX(Tasks[[#This Row],[_StartWorkday]],NETWORKDAYS.INTL(ProjectStart,Tasks[[#This Row],[_ShownFcstFinish]],WorkWeek,Holidays)),0)</f>
        <v>0</v>
      </c>
      <c r="FI151" s="45" t="n">
        <f aca="false">IF(AND(Tasks[[#This Row],[_IsLeaf]]=1,Tasks[[#This Row],[_LeafTotalWork]]&gt;0),Tasks[[#This Row],[_LeafWork]]/(Tasks[[#This Row],[_FinishWorkday]]-Tasks[[#This Row],[_StartWorkday]]+1),0)</f>
        <v>0</v>
      </c>
      <c r="FJ151" s="45" t="n">
        <f aca="false">Tasks[[#This Row],[_WorkPerWorkday]]*(Tasks[[#This Row],[_StartWorkday]]-1)</f>
        <v>-0</v>
      </c>
      <c r="FK151" s="45" t="n">
        <f aca="false">IF(Tasks[[#This Row],[_IsLeaf]]=1,MAX(N(Tasks[[#This Row],[Duration]]),0.1),0)</f>
        <v>0</v>
      </c>
      <c r="FL151" s="45" t="n">
        <f aca="false">Tasks[[#This Row],[_WeightDur]]*Tasks[[#This Row],[_LeafProgress]]</f>
        <v>0</v>
      </c>
      <c r="FM15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51" s="45" t="str">
        <f aca="false">IF(AND(Tasks[[#This Row],[_IsLeaf]]=1,N(Tasks[[#This Row],[Duration]])=0,Tasks[[#This Row],[_LeafProgress]]&lt;1),Tasks[[#This Row],[_ShownFcstFinish]]+Tasks[[#This Row],[_Row]]/100000,"")</f>
        <v/>
      </c>
      <c r="FO15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51" s="45" t="n">
        <f aca="false">IF(NOT(Tasks[[#This Row],[_IsLeaf]]=1),0,IF(Tasks[[#This Row],[Baseline Cost]]="",Tasks[[#This Row],[_LeafTotalCost]],N(Tasks[[#This Row],[Baseline Cost]])))</f>
        <v>0</v>
      </c>
      <c r="FQ151" s="45" t="n">
        <f aca="false">Tasks[[#This Row],[_LeafBudget]]*Tasks[[#This Row],[_PlannedPct]]</f>
        <v>0</v>
      </c>
      <c r="FR151" s="45" t="n">
        <f aca="false">Tasks[[#This Row],[_LeafBudget]]*Tasks[[#This Row],[_LeafProgress]]</f>
        <v>0</v>
      </c>
      <c r="FS151" s="45" t="n">
        <f aca="false">IF(NOT(Tasks[[#This Row],[_IsLeaf]]=1),0,IF(Tasks[[#This Row],[Actual Cost]]="",Tasks[[#This Row],[_LeafTotalCost]]*Tasks[[#This Row],[_LeafProgress]],N(Tasks[[#This Row],[Actual Cost]])))</f>
        <v>0</v>
      </c>
      <c r="FT151" s="45" t="str">
        <f aca="false">IF(Tasks[[#This Row],[Task Name]]="","",LEFT(Tasks[[#This Row],[WBS]],FIND(".",Tasks[[#This Row],[WBS]]&amp;".")-1))</f>
        <v/>
      </c>
      <c r="FU151" s="45" t="str">
        <f aca="false">IF(AND(Tasks[[#This Row],[Task Name]]&lt;&gt;"",Tasks[[#This Row],[_Level]]=1),Tasks[[#This Row],[_Row]],"")</f>
        <v/>
      </c>
      <c r="FV151" s="45" t="str">
        <f aca="false">IF(AND(Tasks[[#This Row],[_IsLeaf]]=1,N(Tasks[[#This Row],[Duration]])=0),Tasks[[#This Row],[Planned Finish]]+Tasks[[#This Row],[_Row]]/100000,"")</f>
        <v/>
      </c>
      <c r="FW151" s="45" t="str">
        <f aca="false">IF(AND(Tasks[[#This Row],[_IsLeaf]]=1,Tasks[[#This Row],[_LeafProgress]]&lt;1,OR(N(Tasks[[#This Row],[Finish Var]])&gt;0,Tasks[[#This Row],[Status]]="Late Start")),MAX(0,Tasks[[#This Row],[Finish Var]])+1-Tasks[[#This Row],[_Row]]/1000000,"")</f>
        <v/>
      </c>
      <c r="FX151" s="45" t="str">
        <f aca="false">IF(AND(Tasks[[#This Row],[_IsLeaf]]=1,N(Tasks[[#This Row],[Actual Start]])=0,Tasks[[#This Row],[_ShownFcstStart]]&gt;=StatusDate,Tasks[[#This Row],[_ShownFcstStart]]&lt;=LookaheadEnd),Tasks[[#This Row],[_ShownFcstStart]]+Tasks[[#This Row],[_Row]]/100000,"")</f>
        <v/>
      </c>
      <c r="FY151" s="45" t="str">
        <f aca="false">IF(AND(Tasks[[#This Row],[_IsLeaf]]=1,Tasks[[#This Row],[_LeafProgress]]&lt;1,Tasks[[#This Row],[_ShownFcstFinish]]&gt;=StatusDate,Tasks[[#This Row],[_ShownFcstFinish]]&lt;=LookaheadEnd),Tasks[[#This Row],[_ShownFcstFinish]]+Tasks[[#This Row],[_Row]]/100000,"")</f>
        <v/>
      </c>
      <c r="FZ151" s="45" t="str">
        <f aca="false">IF(Tasks[[#This Row],[_LeafCritical]],Tasks[[#This Row],[_ShownFcstStart]]+Tasks[[#This Row],[_Row]]/100000,"")</f>
        <v/>
      </c>
      <c r="GA151" s="45" t="n">
        <f aca="false">Tasks[[#This Row],[_LeafWork]]*Tasks[[#This Row],[_LeafProgress]]</f>
        <v>0</v>
      </c>
      <c r="GB151" s="74" t="str">
        <f aca="false">IF(AND(Tasks[[#This Row],[_IsLeaf]]=1,Tasks[[#This Row],[_LeafProgress]]&gt;=1),IF(N(Tasks[[#This Row],[Actual Finish]])&gt;0,Tasks[[#This Row],[Actual Finish]],Tasks[[#This Row],[_ShownFcstFinish]]),"")</f>
        <v/>
      </c>
    </row>
    <row r="152" customFormat="false" ht="15" hidden="false" customHeight="false" outlineLevel="0" collapsed="false">
      <c r="A152" s="67" t="str">
        <f aca="false">IF(Tasks[[#This Row],[Task Name]]="","",COUNTA(Tasks[[#Headers],[Task Name]]:Tasks[[#This Row],[Task Name]])-1)</f>
        <v/>
      </c>
      <c r="B152" s="21" t="n">
        <v>147</v>
      </c>
      <c r="C15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21"/>
      <c r="E152" s="22"/>
      <c r="F152" s="21"/>
      <c r="G152" s="22"/>
      <c r="H152" s="22"/>
      <c r="I152" s="22"/>
      <c r="J152" s="7"/>
      <c r="K152" s="7"/>
      <c r="L152" s="22"/>
      <c r="M152" s="58" t="str">
        <f aca="false">IF(Tasks[[#This Row],[Task Name]]="","",IF(Tasks[[#This Row],[_IsSummary]],MIN(INDEX(Tasks[_ShownFcstStart],Tasks[[#This Row],[_Row]]+1):INDEX(Tasks[_ShownFcstStart],Tasks[[#This Row],[_Row]]+Tasks[[#This Row],[_Descendants]])),Tasks[[#This Row],[_ShownFcstStart]]))</f>
        <v/>
      </c>
      <c r="N152" s="58" t="str">
        <f aca="false">IF(Tasks[[#This Row],[Task Name]]="","",IF(Tasks[[#This Row],[_IsSummary]],MAX(INDEX(Tasks[_ShownFcstFinish],Tasks[[#This Row],[_Row]]+1):INDEX(Tasks[_ShownFcstFinish],Tasks[[#This Row],[_Row]]+Tasks[[#This Row],[_Descendants]])),Tasks[[#This Row],[_ShownFcstFinish]]))</f>
        <v/>
      </c>
      <c r="O152" s="20" t="str">
        <f aca="false">IF(Tasks[[#This Row],[Task Name]]="","",IF(Tasks[[#This Row],[Progress]]&gt;=1,"Complete",IF(OR(N(Tasks[[#This Row],[Actual Start]])&gt;0,Tasks[[#This Row],[Progress]]&gt;0),IF(Tasks[[#This Row],[Finish Var]]&gt;0,"Behind","In Progress"),IF(Tasks[[#This Row],[Planned Start]]&lt;StatusDate,"Late Start","Not Started"))))</f>
        <v/>
      </c>
      <c r="P152" s="20" t="str">
        <f aca="false">IF(Tasks[[#This Row],[Task Name]]="","",IF(IF(Tasks[[#This Row],[_IsSummary]],COUNTIF(INDEX(Tasks[_LeafCritical],Tasks[[#This Row],[_Row]]+1):INDEX(Tasks[_LeafCritical],Tasks[[#This Row],[_Row]]+Tasks[[#This Row],[_Descendants]]),TRUE())&gt;0,Tasks[[#This Row],[_LeafCritical]]),"Yes",""))</f>
        <v/>
      </c>
      <c r="Q15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52" s="67" t="str">
        <f aca="false">IF(Tasks[[#This Row],[Task Name]]="","",IF(Tasks[[#This Row],[_Level]]&lt;=OutlineShowLevel,"Yes","No"))</f>
        <v/>
      </c>
      <c r="S152" s="7"/>
      <c r="T152" s="21"/>
      <c r="U152" s="22"/>
      <c r="V152" s="7"/>
      <c r="W152" s="67" t="str">
        <f aca="false">IF(Tasks[[#This Row],[Task Name]]="","",IF(Tasks[[#This Row],[Finish]]&gt;=Tasks[[#This Row],[Planned Finish]],NETWORKDAYS.INTL(Tasks[[#This Row],[Planned Finish]],Tasks[[#This Row],[Finish]],WorkWeek,Holidays)-1,1-NETWORKDAYS.INTL(Tasks[[#This Row],[Finish]],Tasks[[#This Row],[Planned Finish]],WorkWeek,Holidays)))</f>
        <v/>
      </c>
      <c r="X152" s="58" t="str">
        <f aca="false">IF(Tasks[[#This Row],[Task Name]]="","",IF(N(Tasks[[#This Row],[Baseline Start]])&gt;0,Tasks[[#This Row],[Baseline Start]],Tasks[[#This Row],[_CalcStart]]))</f>
        <v/>
      </c>
      <c r="Y152" s="58" t="str">
        <f aca="false">IF(Tasks[[#This Row],[Task Name]]="","",IF(N(Tasks[[#This Row],[Baseline Finish]])&gt;0,Tasks[[#This Row],[Baseline Finish]],Tasks[[#This Row],[_CalcFinish]]))</f>
        <v/>
      </c>
      <c r="Z152" s="67" t="str">
        <f aca="false">IF(Tasks[[#This Row],[Task Name]]="","",IF(Tasks[[#This Row],[Start]]&gt;=Tasks[[#This Row],[Planned Start]],NETWORKDAYS.INTL(Tasks[[#This Row],[Planned Start]],Tasks[[#This Row],[Start]],WorkWeek,Holidays)-1,1-NETWORKDAYS.INTL(Tasks[[#This Row],[Start]],Tasks[[#This Row],[Planned Start]],WorkWeek,Holidays)))</f>
        <v/>
      </c>
      <c r="AA152" s="58" t="str">
        <f aca="false">IF(Tasks[[#This Row],[Task Name]]="","",IF(Tasks[[#This Row],[_IsSummary]],MIN(INDEX(Tasks[_LeafLateStart],Tasks[[#This Row],[_Row]]+1):INDEX(Tasks[_LeafLateStart],Tasks[[#This Row],[_Row]]+Tasks[[#This Row],[_Descendants]])),Tasks[[#This Row],[_LeafLateStart]]))</f>
        <v/>
      </c>
      <c r="AB152" s="58" t="str">
        <f aca="false">IF(Tasks[[#This Row],[Task Name]]="","",IF(Tasks[[#This Row],[_IsSummary]],MAX(INDEX(Tasks[_LeafLateFinish],Tasks[[#This Row],[_Row]]+1):INDEX(Tasks[_LeafLateFinish],Tasks[[#This Row],[_Row]]+Tasks[[#This Row],[_Descendants]])),Tasks[[#This Row],[_LeafLateFinish]]))</f>
        <v/>
      </c>
      <c r="AC152" s="67" t="str">
        <f aca="false">IF(Tasks[[#This Row],[Task Name]]="","",IF(Tasks[[#This Row],[_IsSummary]],MIN(INDEX(Tasks[_LeafTotalSlack],Tasks[[#This Row],[_Row]]+1):INDEX(Tasks[_LeafTotalSlack],Tasks[[#This Row],[_Row]]+Tasks[[#This Row],[_Descendants]])),Tasks[[#This Row],[_LeafTotalSlack]]))</f>
        <v/>
      </c>
      <c r="AD15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5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5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52" s="60"/>
      <c r="AH15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5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52" s="69" t="str">
        <f aca="false">IF(Tasks[[#This Row],[Task Name]]="","",IF(Tasks[[#This Row],[_IsSummary]],SUM(INDEX(Tasks[_LeafTotalWork],Tasks[[#This Row],[_Row]]+1):INDEX(Tasks[_LeafTotalWork],Tasks[[#This Row],[_Row]]+Tasks[[#This Row],[_Descendants]])),Tasks[[#This Row],[_LeafTotalWork]]))</f>
        <v/>
      </c>
      <c r="AK15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52" s="70" t="str">
        <f aca="false">IF(Tasks[[#This Row],[Task Name]]="","",IF(Tasks[[#This Row],[_IsSummary]],SUM(INDEX(Tasks[_LeafTotalCost],Tasks[[#This Row],[_Row]]+1):INDEX(Tasks[_LeafTotalCost],Tasks[[#This Row],[_Row]]+Tasks[[#This Row],[_Descendants]])),Tasks[[#This Row],[_LeafTotalCost]]))</f>
        <v/>
      </c>
      <c r="AM152" s="71"/>
      <c r="AN152" s="20" t="str">
        <f aca="false">IF(OR(Tasks[[#This Row],[Task Name]]="",Tasks[[#This Row],[Baseline Duration]]=""),"",Tasks[[#This Row],[BL Source Duration]]-N(Tasks[[#This Row],[Baseline Duration]]))</f>
        <v/>
      </c>
      <c r="AO152" s="69" t="str">
        <f aca="false">IF(OR(Tasks[[#This Row],[Task Name]]="",Tasks[[#This Row],[Baseline Work]]=""),"",Tasks[[#This Row],[Work]]-N(Tasks[[#This Row],[Baseline Work]]))</f>
        <v/>
      </c>
      <c r="AP152" s="70" t="str">
        <f aca="false">IF(OR(Tasks[[#This Row],[Task Name]]="",Tasks[[#This Row],[Baseline Cost]]=""),"",Tasks[[#This Row],[Cost]]-N(Tasks[[#This Row],[Baseline Cost]]))</f>
        <v/>
      </c>
      <c r="AQ152" s="58" t="str">
        <f aca="false">IF(Tasks[[#This Row],[Task Name]]="","",Tasks[[#This Row],[Start]])</f>
        <v/>
      </c>
      <c r="AR152" s="58" t="str">
        <f aca="false">IF(Tasks[[#This Row],[Task Name]]="","",Tasks[[#This Row],[Finish]])</f>
        <v/>
      </c>
      <c r="AS152" s="67" t="str">
        <f aca="false">IF(Tasks[[#This Row],[Task Name]]="","",IF(Tasks[[#This Row],[_IsSummary]],NETWORKDAYS.INTL(Tasks[[#This Row],[Start]],Tasks[[#This Row],[Finish]],WorkWeek,Holidays),N(Tasks[[#This Row],[Duration]])))</f>
        <v/>
      </c>
      <c r="AT152" s="69" t="str">
        <f aca="false">IF(Tasks[[#This Row],[Task Name]]="","",Tasks[[#This Row],[Work]])</f>
        <v/>
      </c>
      <c r="AU152" s="70" t="str">
        <f aca="false">IF(Tasks[[#This Row],[Task Name]]="","",Tasks[[#This Row],[Cost]])</f>
        <v/>
      </c>
      <c r="AV152" s="7"/>
      <c r="AW152" s="7"/>
      <c r="AX152" s="21"/>
      <c r="AY152" s="72"/>
      <c r="AZ152" s="71"/>
      <c r="BA152" s="70" t="str">
        <f aca="false">IF(Tasks[[#This Row],[Task Name]]="","",IF(Tasks[[#This Row],[_IsSummary]],SUM(INDEX(Tasks[_LeafEV],Tasks[[#This Row],[_Row]]+1):INDEX(Tasks[_LeafEV],Tasks[[#This Row],[_Row]]+Tasks[[#This Row],[_Descendants]])),Tasks[[#This Row],[_LeafEV]]))</f>
        <v/>
      </c>
      <c r="BB152" s="70" t="str">
        <f aca="false">IF(Tasks[[#This Row],[Task Name]]="","",IF(Tasks[[#This Row],[_IsSummary]],SUM(INDEX(Tasks[_LeafBudget],Tasks[[#This Row],[_Row]]+1):INDEX(Tasks[_LeafBudget],Tasks[[#This Row],[_Row]]+Tasks[[#This Row],[_Descendants]])),Tasks[[#This Row],[_LeafBudget]]))</f>
        <v/>
      </c>
      <c r="BC152" s="70" t="str">
        <f aca="false">IF(Tasks[[#This Row],[Task Name]]="","",IF(Tasks[[#This Row],[_IsSummary]],SUM(INDEX(Tasks[_LeafPV],Tasks[[#This Row],[_Row]]+1):INDEX(Tasks[_LeafPV],Tasks[[#This Row],[_Row]]+Tasks[[#This Row],[_Descendants]])),Tasks[[#This Row],[_LeafPV]]))</f>
        <v/>
      </c>
      <c r="BD152" s="70" t="str">
        <f aca="false">IF(Tasks[[#This Row],[Task Name]]="","",IF(Tasks[[#This Row],[_IsSummary]],SUM(INDEX(Tasks[_LeafAC],Tasks[[#This Row],[_Row]]+1):INDEX(Tasks[_LeafAC],Tasks[[#This Row],[_Row]]+Tasks[[#This Row],[_Descendants]])),Tasks[[#This Row],[_LeafAC]]))</f>
        <v/>
      </c>
      <c r="BE152" s="45" t="str">
        <f aca="false">IF(Tasks[[#This Row],[Task Name]]="","",MAX(1,N(Tasks[[#This Row],[Level]])))</f>
        <v/>
      </c>
      <c r="BF152" s="45" t="n">
        <f aca="false">ROW()-ROW(Tasks[[#Headers],[ID]])</f>
        <v>147</v>
      </c>
      <c r="BG152" s="45" t="n">
        <f aca="false">IF(OR(Tasks[[#This Row],[Task Name]]="",Tasks[[#This Row],[_Level]]&lt;=1),0,IFERROR(LOOKUP(2,1/(Tasks[[#Headers],[_Level]]:Tasks[[#This Row],[_Level]]=Tasks[[#This Row],[_Level]]-1),ROW(Tasks[[#Headers],[_Level]]:Tasks[[#This Row],[_Level]])),0))</f>
        <v>0</v>
      </c>
      <c r="BH152" s="45" t="n">
        <f aca="false">IFERROR(N(INDEX(Tasks[_Level],Tasks[[#This Row],[_Row]]+1)),0)</f>
        <v>0</v>
      </c>
      <c r="BI152" s="73" t="b">
        <f aca="false">AND(Tasks[[#This Row],[Task Name]]&lt;&gt;"",Tasks[[#This Row],[_NextLevel]]&gt;Tasks[[#This Row],[_Level]])</f>
        <v>0</v>
      </c>
      <c r="BJ152" s="45" t="n">
        <f aca="false">IF(Tasks[[#This Row],[_IsSummary]],COUNTIF(Tasks[WBS],Tasks[[#This Row],[WBS]]&amp;".*"),0)</f>
        <v>0</v>
      </c>
      <c r="BK152" s="45" t="n">
        <f aca="false">IF(AND(Tasks[[#This Row],[Task Name]]&lt;&gt;"",NOT(Tasks[[#This Row],[_IsSummary]])),1,0)</f>
        <v>0</v>
      </c>
      <c r="BL152" s="45" t="n">
        <f aca="false">IF(N(Tasks[[#This Row],[_Pred1UID]])=0,0,IFERROR(MATCH(Tasks[[#This Row],[_Pred1UID]],Tasks[UID],0),-1))</f>
        <v>0</v>
      </c>
      <c r="BM152" s="45" t="n">
        <f aca="false">IF(N(Tasks[[#This Row],[_Pred2UID]])=0,0,IFERROR(MATCH(Tasks[[#This Row],[_Pred2UID]],Tasks[UID],0),-1))</f>
        <v>0</v>
      </c>
      <c r="BN152" s="45" t="n">
        <f aca="false">IF(N(Tasks[[#This Row],[_Pred3UID]])=0,0,IFERROR(MATCH(Tasks[[#This Row],[_Pred3UID]],Tasks[UID],0),-1))</f>
        <v>0</v>
      </c>
      <c r="BO152" s="45" t="n">
        <f aca="false">IF(N(Tasks[[#This Row],[_Pred4UID]])=0,0,IFERROR(MATCH(Tasks[[#This Row],[_Pred4UID]],Tasks[UID],0),-1))</f>
        <v>0</v>
      </c>
      <c r="BP15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5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52" s="74" t="n">
        <f aca="false">IF(OR(Tasks[[#This Row],[_ConstraintCode]]=2,Tasks[[#This Row],[_ConstraintCode]]=3,Tasks[[#This Row],[_ConstraintCode]]=4,Tasks[[#This Row],[_ConstraintCode]]=6),Tasks[[#This Row],[_ConstraintStart]],0)</f>
        <v>0</v>
      </c>
      <c r="BS152" s="74" t="n">
        <f aca="false">IF(OR(Tasks[[#This Row],[_ConstraintCode]]=2,Tasks[[#This Row],[_ConstraintCode]]=3,Tasks[[#This Row],[_ConstraintCode]]=5,Tasks[[#This Row],[_ConstraintCode]]=7),Tasks[[#This Row],[_ConstraintStart]],2958465)</f>
        <v>2958465</v>
      </c>
      <c r="BT15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52" s="74" t="str">
        <f aca="false">IF(NOT(Tasks[[#This Row],[_IsLeaf]]=1),"",IF(N(Tasks[[#This Row],[Duration]])&lt;=0,Tasks[[#This Row],[_LeafCalcStart]],WORKDAY.INTL(Tasks[[#This Row],[_LeafCalcStart]],Tasks[[#This Row],[Duration]]-1,WorkWeek,Holidays)))</f>
        <v/>
      </c>
      <c r="BV15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5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52" s="45" t="str">
        <f aca="false">IF(Tasks[[#This Row],[Predecessors]]="","",TRIM(MID(SUBSTITUTE(SUBSTITUTE(SUBSTITUTE(UPPER(Tasks[[#This Row],[Predecessors]]),";",",")," ",""),",",REPT(" ",99)),1,99)))</f>
        <v/>
      </c>
      <c r="BY152" s="45" t="str">
        <f aca="false">IF(Tasks[[#This Row],[_Pred1Text]]="","",IFERROR(VALUE(LEFT(Tasks[[#This Row],[_Pred1Text]],MIN(FIND("F",Tasks[[#This Row],[_Pred1Text]]&amp;"F"),FIND("S",Tasks[[#This Row],[_Pred1Text]]&amp;"S"),FIND("+",Tasks[[#This Row],[_Pred1Text]]&amp;"+"),FIND("-",Tasks[[#This Row],[_Pred1Text]]&amp;"-"))-1)),""))</f>
        <v/>
      </c>
      <c r="BZ15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5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52" s="45" t="str">
        <f aca="false">IF(Tasks[[#This Row],[_Pred1Text]]="","",TRIM(MID(SUBSTITUTE(SUBSTITUTE(SUBSTITUTE(UPPER(Tasks[[#This Row],[Predecessors]]),";",",")," ",""),",",REPT(" ",99)),100,99)))</f>
        <v/>
      </c>
      <c r="CC152" s="45" t="str">
        <f aca="false">IF(Tasks[[#This Row],[_Pred2Text]]="","",IFERROR(VALUE(LEFT(Tasks[[#This Row],[_Pred2Text]],MIN(FIND("F",Tasks[[#This Row],[_Pred2Text]]&amp;"F"),FIND("S",Tasks[[#This Row],[_Pred2Text]]&amp;"S"),FIND("+",Tasks[[#This Row],[_Pred2Text]]&amp;"+"),FIND("-",Tasks[[#This Row],[_Pred2Text]]&amp;"-"))-1)),""))</f>
        <v/>
      </c>
      <c r="CD15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5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52" s="45" t="str">
        <f aca="false">IF(Tasks[[#This Row],[_Pred2Text]]="","",TRIM(MID(SUBSTITUTE(SUBSTITUTE(SUBSTITUTE(UPPER(Tasks[[#This Row],[Predecessors]]),";",",")," ",""),",",REPT(" ",99)),199,99)))</f>
        <v/>
      </c>
      <c r="CG152" s="45" t="str">
        <f aca="false">IF(Tasks[[#This Row],[_Pred3Text]]="","",IFERROR(VALUE(LEFT(Tasks[[#This Row],[_Pred3Text]],MIN(FIND("F",Tasks[[#This Row],[_Pred3Text]]&amp;"F"),FIND("S",Tasks[[#This Row],[_Pred3Text]]&amp;"S"),FIND("+",Tasks[[#This Row],[_Pred3Text]]&amp;"+"),FIND("-",Tasks[[#This Row],[_Pred3Text]]&amp;"-"))-1)),""))</f>
        <v/>
      </c>
      <c r="CH15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5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52" s="45" t="str">
        <f aca="false">IF(Tasks[[#This Row],[_Pred3Text]]="","",TRIM(MID(SUBSTITUTE(SUBSTITUTE(SUBSTITUTE(UPPER(Tasks[[#This Row],[Predecessors]]),";",",")," ",""),",",REPT(" ",99)),298,99)))</f>
        <v/>
      </c>
      <c r="CK152" s="45" t="str">
        <f aca="false">IF(Tasks[[#This Row],[_Pred4Text]]="","",IFERROR(VALUE(LEFT(Tasks[[#This Row],[_Pred4Text]],MIN(FIND("F",Tasks[[#This Row],[_Pred4Text]]&amp;"F"),FIND("S",Tasks[[#This Row],[_Pred4Text]]&amp;"S"),FIND("+",Tasks[[#This Row],[_Pred4Text]]&amp;"+"),FIND("-",Tasks[[#This Row],[_Pred4Text]]&amp;"-"))-1)),""))</f>
        <v/>
      </c>
      <c r="CL15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5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52" s="45" t="str">
        <f aca="false">IF(OR(Tasks[[#This Row],[Task Name]]="",Tasks[[#This Row],[Resources]]=""),"",TRIM(MID(SUBSTITUTE(Tasks[[#This Row],[Resources]],",",REPT(" ",99)),1,99)))</f>
        <v/>
      </c>
      <c r="CO152" s="45" t="str">
        <f aca="false">IF(Tasks[[#This Row],[_Res1Text]]="","",TRIM(MID(SUBSTITUTE(Tasks[[#This Row],[Resources]],",",REPT(" ",99)),100,99)))</f>
        <v/>
      </c>
      <c r="CP152" s="45" t="str">
        <f aca="false">IF(Tasks[[#This Row],[_Res2Text]]="","",TRIM(MID(SUBSTITUTE(Tasks[[#This Row],[Resources]],",",REPT(" ",99)),199,99)))</f>
        <v/>
      </c>
      <c r="CQ152" s="45" t="str">
        <f aca="false">IF(Tasks[[#This Row],[_Res3Text]]="","",TRIM(MID(SUBSTITUTE(Tasks[[#This Row],[Resources]],",",REPT(" ",99)),298,99)))</f>
        <v/>
      </c>
      <c r="CR15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5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2" s="45" t="n">
        <f aca="false">IF(NOT(Tasks[[#This Row],[_IsLeaf]]=1),0,(Tasks[[#This Row],[_Resource1]]&lt;&gt;"")+(Tasks[[#This Row],[_Res2]]&lt;&gt;"")+(Tasks[[#This Row],[_Res3]]&lt;&gt;"")+(Tasks[[#This Row],[_Res4]]&lt;&gt;""))</f>
        <v>0</v>
      </c>
      <c r="CU15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5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2" s="45" t="n">
        <f aca="false">IF(OR(NOT(Tasks[[#This Row],[_IsLeaf]]=1),Tasks[[#This Row],[_Res2]]=""),0,IF(ISNA(MATCH(Tasks[[#This Row],[_Res2]],res_Name,0)),0,N(Tasks[[#This Row],[Duration]])*HoursPerDay*IF(Tasks[[#This Row],[_Res2Units]]="",DefaultUnits,Tasks[[#This Row],[_Res2Units]])))</f>
        <v>0</v>
      </c>
      <c r="CX152" s="45" t="n">
        <f aca="false">IF(Tasks[[#This Row],[_Res2Work]]=0,0,Tasks[[#This Row],[_Res2Work]]*IFERROR(INDEX(res_Rate,MATCH(Tasks[[#This Row],[_Res2]],res_Name,0)),0))</f>
        <v>0</v>
      </c>
      <c r="CY152" s="45" t="n">
        <f aca="false">IF(AND(AND(Tasks[[#This Row],[_IsLeaf]]=1,Tasks[[#This Row],[_LeafTotalWork]]&gt;0),Tasks[[#This Row],[_Res2Work]]&gt;0),Tasks[[#This Row],[_Res2Work]]/(Tasks[[#This Row],[_FinishWorkday]]-Tasks[[#This Row],[_StartWorkday]]+1),0)</f>
        <v>0</v>
      </c>
      <c r="CZ152" s="45" t="n">
        <f aca="false">Tasks[[#This Row],[_Res2WorkPerWD]]*MAX(0,Tasks[[#This Row],[_StartWorkday]]-1)</f>
        <v>0</v>
      </c>
      <c r="DA152" s="45" t="n">
        <f aca="false">Tasks[[#This Row],[_Res2Work]]*Tasks[[#This Row],[_LeafProgress]]</f>
        <v>0</v>
      </c>
      <c r="DB152" s="45" t="n">
        <f aca="false">IF(Tasks[[#This Row],[_LeafTotalCost]]=0,0,Tasks[[#This Row],[_LeafAC]]*Tasks[[#This Row],[_Res2Cost]]/Tasks[[#This Row],[_LeafTotalCost]])</f>
        <v>0</v>
      </c>
      <c r="DC15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5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52" s="45" t="n">
        <f aca="false">IF(OR(NOT(Tasks[[#This Row],[_IsLeaf]]=1),Tasks[[#This Row],[_Res3]]=""),0,IF(ISNA(MATCH(Tasks[[#This Row],[_Res3]],res_Name,0)),0,N(Tasks[[#This Row],[Duration]])*HoursPerDay*IF(Tasks[[#This Row],[_Res3Units]]="",DefaultUnits,Tasks[[#This Row],[_Res3Units]])))</f>
        <v>0</v>
      </c>
      <c r="DF152" s="45" t="n">
        <f aca="false">IF(Tasks[[#This Row],[_Res3Work]]=0,0,Tasks[[#This Row],[_Res3Work]]*IFERROR(INDEX(res_Rate,MATCH(Tasks[[#This Row],[_Res3]],res_Name,0)),0))</f>
        <v>0</v>
      </c>
      <c r="DG152" s="45" t="n">
        <f aca="false">IF(AND(AND(Tasks[[#This Row],[_IsLeaf]]=1,Tasks[[#This Row],[_LeafTotalWork]]&gt;0),Tasks[[#This Row],[_Res3Work]]&gt;0),Tasks[[#This Row],[_Res3Work]]/(Tasks[[#This Row],[_FinishWorkday]]-Tasks[[#This Row],[_StartWorkday]]+1),0)</f>
        <v>0</v>
      </c>
      <c r="DH152" s="45" t="n">
        <f aca="false">Tasks[[#This Row],[_Res3WorkPerWD]]*MAX(0,Tasks[[#This Row],[_StartWorkday]]-1)</f>
        <v>0</v>
      </c>
      <c r="DI152" s="45" t="n">
        <f aca="false">Tasks[[#This Row],[_Res3Work]]*Tasks[[#This Row],[_LeafProgress]]</f>
        <v>0</v>
      </c>
      <c r="DJ152" s="45" t="n">
        <f aca="false">IF(Tasks[[#This Row],[_LeafTotalCost]]=0,0,Tasks[[#This Row],[_LeafAC]]*Tasks[[#This Row],[_Res3Cost]]/Tasks[[#This Row],[_LeafTotalCost]])</f>
        <v>0</v>
      </c>
      <c r="DK15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5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52" s="45" t="n">
        <f aca="false">IF(OR(NOT(Tasks[[#This Row],[_IsLeaf]]=1),Tasks[[#This Row],[_Res4]]=""),0,IF(ISNA(MATCH(Tasks[[#This Row],[_Res4]],res_Name,0)),0,N(Tasks[[#This Row],[Duration]])*HoursPerDay*IF(Tasks[[#This Row],[_Res4Units]]="",DefaultUnits,Tasks[[#This Row],[_Res4Units]])))</f>
        <v>0</v>
      </c>
      <c r="DN152" s="45" t="n">
        <f aca="false">IF(Tasks[[#This Row],[_Res4Work]]=0,0,Tasks[[#This Row],[_Res4Work]]*IFERROR(INDEX(res_Rate,MATCH(Tasks[[#This Row],[_Res4]],res_Name,0)),0))</f>
        <v>0</v>
      </c>
      <c r="DO152" s="45" t="n">
        <f aca="false">IF(AND(AND(Tasks[[#This Row],[_IsLeaf]]=1,Tasks[[#This Row],[_LeafTotalWork]]&gt;0),Tasks[[#This Row],[_Res4Work]]&gt;0),Tasks[[#This Row],[_Res4Work]]/(Tasks[[#This Row],[_FinishWorkday]]-Tasks[[#This Row],[_StartWorkday]]+1),0)</f>
        <v>0</v>
      </c>
      <c r="DP152" s="45" t="n">
        <f aca="false">Tasks[[#This Row],[_Res4WorkPerWD]]*MAX(0,Tasks[[#This Row],[_StartWorkday]]-1)</f>
        <v>0</v>
      </c>
      <c r="DQ152" s="45" t="n">
        <f aca="false">Tasks[[#This Row],[_Res4Work]]*Tasks[[#This Row],[_LeafProgress]]</f>
        <v>0</v>
      </c>
      <c r="DR152" s="45" t="n">
        <f aca="false">IF(Tasks[[#This Row],[_LeafTotalCost]]=0,0,Tasks[[#This Row],[_LeafAC]]*Tasks[[#This Row],[_Res4Cost]]/Tasks[[#This Row],[_LeafTotalCost]])</f>
        <v>0</v>
      </c>
      <c r="DS152" s="45" t="n">
        <f aca="false">IF(ISNUMBER(Tasks[[#This Row],[% Complete]]),Tasks[[#This Row],[% Complete]],IF(Tasks[[#This Row],[Stage]]="",0,IFERROR(INDEX(stg_Pct,MATCH(Tasks[[#This Row],[Stage]],stg_Name,0)),0)))</f>
        <v>0</v>
      </c>
      <c r="DT152" s="45" t="n">
        <f aca="false">IF(NOT(Tasks[[#This Row],[_IsLeaf]]=1),0,IF(N(Tasks[[#This Row],[Actual Finish]])&gt;0,1,MIN(1,Tasks[[#This Row],[_Pct]])))</f>
        <v>0</v>
      </c>
      <c r="DU152" s="45" t="n">
        <f aca="false">IF(OR(NOT(Tasks[[#This Row],[_IsLeaf]]=1),Tasks[[#This Row],[_Resource1]]=""),0,IF(ISNA(MATCH(Tasks[[#This Row],[_Resource1]],res_Name,0)),0,N(Tasks[[#This Row],[Duration]])*HoursPerDay*IF(Tasks[[#This Row],[_Units1]]="",DefaultUnits,Tasks[[#This Row],[_Units1]])))</f>
        <v>0</v>
      </c>
      <c r="DV152" s="45" t="n">
        <f aca="false">IF(Tasks[[#This Row],[_LeafWork]]=0,0,Tasks[[#This Row],[_LeafWork]]*IFERROR(INDEX(res_Rate,MATCH(Tasks[[#This Row],[_Resource1]],res_Name,0)),0))</f>
        <v>0</v>
      </c>
      <c r="DW152" s="45" t="n">
        <f aca="false">Tasks[[#This Row],[_LeafWork]]+Tasks[[#This Row],[_Res2Work]]+Tasks[[#This Row],[_Res3Work]]+Tasks[[#This Row],[_Res4Work]]</f>
        <v>0</v>
      </c>
      <c r="DX152" s="45" t="n">
        <f aca="false">Tasks[[#This Row],[_LeafCost]]+Tasks[[#This Row],[_Res2Cost]]+Tasks[[#This Row],[_Res3Cost]]+Tasks[[#This Row],[_Res4Cost]]</f>
        <v>0</v>
      </c>
      <c r="DY152" s="45" t="n">
        <f aca="false">IF(Tasks[[#This Row],[_LeafTotalCost]]=0,Tasks[[#This Row],[_LeafAC]],Tasks[[#This Row],[_LeafAC]]*Tasks[[#This Row],[_LeafCost]]/Tasks[[#This Row],[_LeafTotalCost]])</f>
        <v>0</v>
      </c>
      <c r="DZ15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5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5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5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5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5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5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5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52" s="45" t="n">
        <f aca="false">IF(NOT(Tasks[[#This Row],[_IsLeaf]]=1),0,MAX(_xlfn.MAXIFS(Tasks[_Row],Tasks[_Pred1UID],Tasks[[#This Row],[UID]]),_xlfn.MAXIFS(Tasks[_Row],Tasks[_Pred2UID],Tasks[[#This Row],[UID]]),_xlfn.MAXIFS(Tasks[_Row],Tasks[_Pred3UID],Tasks[[#This Row],[UID]]),_xlfn.MAXIFS(Tasks[_Row],Tasks[_Pred4UID],Tasks[[#This Row],[UID]])))</f>
        <v>0</v>
      </c>
      <c r="EI15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5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52" s="74" t="str">
        <f aca="false">IF(NOT(Tasks[[#This Row],[_IsLeaf]]=1),"",IF(N(Tasks[[#This Row],[Duration]])&lt;=0,Tasks[[#This Row],[_LeafLateFinish]],WORKDAY.INTL(Tasks[[#This Row],[_LeafLateFinish]],-(Tasks[[#This Row],[Duration]]-1),WorkWeek,Holidays)))</f>
        <v/>
      </c>
      <c r="EL15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52" s="73" t="b">
        <f aca="false">AND(Tasks[[#This Row],[_IsLeaf]]=1,Tasks[[#This Row],[_LeafProgress]]&lt;1,N(Tasks[[#This Row],[_LeafTotalSlack]])&lt;=CriticalSlackDays)</f>
        <v>0</v>
      </c>
      <c r="EN152" s="45" t="n">
        <f aca="false">IF(AND(Tasks[[#This Row],[_IsLeaf]]=1,Tasks[[#This Row],[_ConstraintCode]]=1,Tasks[[#This Row],[Mode]]&lt;&gt;"Manual",N(Tasks[[#This Row],[Actual Start]])=0),MAX(0,N(Tasks[[#This Row],[Free Slack]])),0)</f>
        <v>0</v>
      </c>
      <c r="EO152" s="74" t="str">
        <f aca="false">IF(NOT(Tasks[[#This Row],[_IsLeaf]]=1),"",IF(Tasks[[#This Row],[_AlapShift]]=0,Tasks[[#This Row],[_LeafCalcStart]],WORKDAY.INTL(Tasks[[#This Row],[_LeafCalcStart]],Tasks[[#This Row],[_AlapShift]],WorkWeek,Holidays)))</f>
        <v/>
      </c>
      <c r="EP152" s="74" t="str">
        <f aca="false">IF(NOT(Tasks[[#This Row],[_IsLeaf]]=1),"",IF(Tasks[[#This Row],[_AlapShift]]=0,Tasks[[#This Row],[_LeafCalcFinish]],WORKDAY.INTL(Tasks[[#This Row],[_LeafCalcFinish]],Tasks[[#This Row],[_AlapShift]],WorkWeek,Holidays)))</f>
        <v/>
      </c>
      <c r="EQ152" s="74" t="str">
        <f aca="false">IF(NOT(Tasks[[#This Row],[_IsLeaf]]=1),"",IF(Tasks[[#This Row],[_AlapShift]]=0,Tasks[[#This Row],[_LeafFcstStart]],WORKDAY.INTL(Tasks[[#This Row],[_LeafFcstStart]],Tasks[[#This Row],[_AlapShift]],WorkWeek,Holidays)))</f>
        <v/>
      </c>
      <c r="ER152" s="74" t="str">
        <f aca="false">IF(NOT(Tasks[[#This Row],[_IsLeaf]]=1),"",IF(Tasks[[#This Row],[_AlapShift]]=0,Tasks[[#This Row],[_LeafFcstFinish]],WORKDAY.INTL(Tasks[[#This Row],[_LeafFcstFinish]],Tasks[[#This Row],[_AlapShift]],WorkWeek,Holidays)))</f>
        <v/>
      </c>
      <c r="ES152" s="74" t="str">
        <f aca="false">IF(Tasks[[#This Row],[Task Name]]="","",IF(Tasks[[#This Row],[_IsSummary]],MIN(INDEX(Tasks[_ShownCalcStart],Tasks[[#This Row],[_Row]]+1):INDEX(Tasks[_ShownCalcStart],Tasks[[#This Row],[_Row]]+Tasks[[#This Row],[_Descendants]])),Tasks[[#This Row],[_ShownCalcStart]]))</f>
        <v/>
      </c>
      <c r="ET152" s="74" t="str">
        <f aca="false">IF(Tasks[[#This Row],[Task Name]]="","",IF(Tasks[[#This Row],[_IsSummary]],MAX(INDEX(Tasks[_ShownCalcFinish],Tasks[[#This Row],[_Row]]+1):INDEX(Tasks[_ShownCalcFinish],Tasks[[#This Row],[_Row]]+Tasks[[#This Row],[_Descendants]])),Tasks[[#This Row],[_ShownCalcFinish]]))</f>
        <v/>
      </c>
      <c r="EU15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5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5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5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5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5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5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5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5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5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5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5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52" s="45" t="n">
        <f aca="false">IF(AND(Tasks[[#This Row],[_IsLeaf]]=1,Tasks[[#This Row],[_LeafTotalWork]]&gt;0),NETWORKDAYS.INTL(ProjectStart,Tasks[[#This Row],[_ShownFcstStart]],WorkWeek,Holidays),0)</f>
        <v>0</v>
      </c>
      <c r="FH152" s="45" t="n">
        <f aca="false">IF(AND(Tasks[[#This Row],[_IsLeaf]]=1,Tasks[[#This Row],[_LeafTotalWork]]&gt;0),MAX(Tasks[[#This Row],[_StartWorkday]],NETWORKDAYS.INTL(ProjectStart,Tasks[[#This Row],[_ShownFcstFinish]],WorkWeek,Holidays)),0)</f>
        <v>0</v>
      </c>
      <c r="FI152" s="45" t="n">
        <f aca="false">IF(AND(Tasks[[#This Row],[_IsLeaf]]=1,Tasks[[#This Row],[_LeafTotalWork]]&gt;0),Tasks[[#This Row],[_LeafWork]]/(Tasks[[#This Row],[_FinishWorkday]]-Tasks[[#This Row],[_StartWorkday]]+1),0)</f>
        <v>0</v>
      </c>
      <c r="FJ152" s="45" t="n">
        <f aca="false">Tasks[[#This Row],[_WorkPerWorkday]]*(Tasks[[#This Row],[_StartWorkday]]-1)</f>
        <v>-0</v>
      </c>
      <c r="FK152" s="45" t="n">
        <f aca="false">IF(Tasks[[#This Row],[_IsLeaf]]=1,MAX(N(Tasks[[#This Row],[Duration]]),0.1),0)</f>
        <v>0</v>
      </c>
      <c r="FL152" s="45" t="n">
        <f aca="false">Tasks[[#This Row],[_WeightDur]]*Tasks[[#This Row],[_LeafProgress]]</f>
        <v>0</v>
      </c>
      <c r="FM15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52" s="45" t="str">
        <f aca="false">IF(AND(Tasks[[#This Row],[_IsLeaf]]=1,N(Tasks[[#This Row],[Duration]])=0,Tasks[[#This Row],[_LeafProgress]]&lt;1),Tasks[[#This Row],[_ShownFcstFinish]]+Tasks[[#This Row],[_Row]]/100000,"")</f>
        <v/>
      </c>
      <c r="FO15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52" s="45" t="n">
        <f aca="false">IF(NOT(Tasks[[#This Row],[_IsLeaf]]=1),0,IF(Tasks[[#This Row],[Baseline Cost]]="",Tasks[[#This Row],[_LeafTotalCost]],N(Tasks[[#This Row],[Baseline Cost]])))</f>
        <v>0</v>
      </c>
      <c r="FQ152" s="45" t="n">
        <f aca="false">Tasks[[#This Row],[_LeafBudget]]*Tasks[[#This Row],[_PlannedPct]]</f>
        <v>0</v>
      </c>
      <c r="FR152" s="45" t="n">
        <f aca="false">Tasks[[#This Row],[_LeafBudget]]*Tasks[[#This Row],[_LeafProgress]]</f>
        <v>0</v>
      </c>
      <c r="FS152" s="45" t="n">
        <f aca="false">IF(NOT(Tasks[[#This Row],[_IsLeaf]]=1),0,IF(Tasks[[#This Row],[Actual Cost]]="",Tasks[[#This Row],[_LeafTotalCost]]*Tasks[[#This Row],[_LeafProgress]],N(Tasks[[#This Row],[Actual Cost]])))</f>
        <v>0</v>
      </c>
      <c r="FT152" s="45" t="str">
        <f aca="false">IF(Tasks[[#This Row],[Task Name]]="","",LEFT(Tasks[[#This Row],[WBS]],FIND(".",Tasks[[#This Row],[WBS]]&amp;".")-1))</f>
        <v/>
      </c>
      <c r="FU152" s="45" t="str">
        <f aca="false">IF(AND(Tasks[[#This Row],[Task Name]]&lt;&gt;"",Tasks[[#This Row],[_Level]]=1),Tasks[[#This Row],[_Row]],"")</f>
        <v/>
      </c>
      <c r="FV152" s="45" t="str">
        <f aca="false">IF(AND(Tasks[[#This Row],[_IsLeaf]]=1,N(Tasks[[#This Row],[Duration]])=0),Tasks[[#This Row],[Planned Finish]]+Tasks[[#This Row],[_Row]]/100000,"")</f>
        <v/>
      </c>
      <c r="FW152" s="45" t="str">
        <f aca="false">IF(AND(Tasks[[#This Row],[_IsLeaf]]=1,Tasks[[#This Row],[_LeafProgress]]&lt;1,OR(N(Tasks[[#This Row],[Finish Var]])&gt;0,Tasks[[#This Row],[Status]]="Late Start")),MAX(0,Tasks[[#This Row],[Finish Var]])+1-Tasks[[#This Row],[_Row]]/1000000,"")</f>
        <v/>
      </c>
      <c r="FX152" s="45" t="str">
        <f aca="false">IF(AND(Tasks[[#This Row],[_IsLeaf]]=1,N(Tasks[[#This Row],[Actual Start]])=0,Tasks[[#This Row],[_ShownFcstStart]]&gt;=StatusDate,Tasks[[#This Row],[_ShownFcstStart]]&lt;=LookaheadEnd),Tasks[[#This Row],[_ShownFcstStart]]+Tasks[[#This Row],[_Row]]/100000,"")</f>
        <v/>
      </c>
      <c r="FY152" s="45" t="str">
        <f aca="false">IF(AND(Tasks[[#This Row],[_IsLeaf]]=1,Tasks[[#This Row],[_LeafProgress]]&lt;1,Tasks[[#This Row],[_ShownFcstFinish]]&gt;=StatusDate,Tasks[[#This Row],[_ShownFcstFinish]]&lt;=LookaheadEnd),Tasks[[#This Row],[_ShownFcstFinish]]+Tasks[[#This Row],[_Row]]/100000,"")</f>
        <v/>
      </c>
      <c r="FZ152" s="45" t="str">
        <f aca="false">IF(Tasks[[#This Row],[_LeafCritical]],Tasks[[#This Row],[_ShownFcstStart]]+Tasks[[#This Row],[_Row]]/100000,"")</f>
        <v/>
      </c>
      <c r="GA152" s="45" t="n">
        <f aca="false">Tasks[[#This Row],[_LeafWork]]*Tasks[[#This Row],[_LeafProgress]]</f>
        <v>0</v>
      </c>
      <c r="GB152" s="74" t="str">
        <f aca="false">IF(AND(Tasks[[#This Row],[_IsLeaf]]=1,Tasks[[#This Row],[_LeafProgress]]&gt;=1),IF(N(Tasks[[#This Row],[Actual Finish]])&gt;0,Tasks[[#This Row],[Actual Finish]],Tasks[[#This Row],[_ShownFcstFinish]]),"")</f>
        <v/>
      </c>
    </row>
    <row r="153" customFormat="false" ht="15" hidden="false" customHeight="false" outlineLevel="0" collapsed="false">
      <c r="A153" s="67" t="str">
        <f aca="false">IF(Tasks[[#This Row],[Task Name]]="","",COUNTA(Tasks[[#Headers],[Task Name]]:Tasks[[#This Row],[Task Name]])-1)</f>
        <v/>
      </c>
      <c r="B153" s="21" t="n">
        <v>148</v>
      </c>
      <c r="C15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21"/>
      <c r="E153" s="22"/>
      <c r="F153" s="21"/>
      <c r="G153" s="22"/>
      <c r="H153" s="22"/>
      <c r="I153" s="22"/>
      <c r="J153" s="7"/>
      <c r="K153" s="7"/>
      <c r="L153" s="22"/>
      <c r="M153" s="58" t="str">
        <f aca="false">IF(Tasks[[#This Row],[Task Name]]="","",IF(Tasks[[#This Row],[_IsSummary]],MIN(INDEX(Tasks[_ShownFcstStart],Tasks[[#This Row],[_Row]]+1):INDEX(Tasks[_ShownFcstStart],Tasks[[#This Row],[_Row]]+Tasks[[#This Row],[_Descendants]])),Tasks[[#This Row],[_ShownFcstStart]]))</f>
        <v/>
      </c>
      <c r="N153" s="58" t="str">
        <f aca="false">IF(Tasks[[#This Row],[Task Name]]="","",IF(Tasks[[#This Row],[_IsSummary]],MAX(INDEX(Tasks[_ShownFcstFinish],Tasks[[#This Row],[_Row]]+1):INDEX(Tasks[_ShownFcstFinish],Tasks[[#This Row],[_Row]]+Tasks[[#This Row],[_Descendants]])),Tasks[[#This Row],[_ShownFcstFinish]]))</f>
        <v/>
      </c>
      <c r="O153" s="20" t="str">
        <f aca="false">IF(Tasks[[#This Row],[Task Name]]="","",IF(Tasks[[#This Row],[Progress]]&gt;=1,"Complete",IF(OR(N(Tasks[[#This Row],[Actual Start]])&gt;0,Tasks[[#This Row],[Progress]]&gt;0),IF(Tasks[[#This Row],[Finish Var]]&gt;0,"Behind","In Progress"),IF(Tasks[[#This Row],[Planned Start]]&lt;StatusDate,"Late Start","Not Started"))))</f>
        <v/>
      </c>
      <c r="P153" s="20" t="str">
        <f aca="false">IF(Tasks[[#This Row],[Task Name]]="","",IF(IF(Tasks[[#This Row],[_IsSummary]],COUNTIF(INDEX(Tasks[_LeafCritical],Tasks[[#This Row],[_Row]]+1):INDEX(Tasks[_LeafCritical],Tasks[[#This Row],[_Row]]+Tasks[[#This Row],[_Descendants]]),TRUE())&gt;0,Tasks[[#This Row],[_LeafCritical]]),"Yes",""))</f>
        <v/>
      </c>
      <c r="Q15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53" s="67" t="str">
        <f aca="false">IF(Tasks[[#This Row],[Task Name]]="","",IF(Tasks[[#This Row],[_Level]]&lt;=OutlineShowLevel,"Yes","No"))</f>
        <v/>
      </c>
      <c r="S153" s="7"/>
      <c r="T153" s="21"/>
      <c r="U153" s="22"/>
      <c r="V153" s="7"/>
      <c r="W153" s="67" t="str">
        <f aca="false">IF(Tasks[[#This Row],[Task Name]]="","",IF(Tasks[[#This Row],[Finish]]&gt;=Tasks[[#This Row],[Planned Finish]],NETWORKDAYS.INTL(Tasks[[#This Row],[Planned Finish]],Tasks[[#This Row],[Finish]],WorkWeek,Holidays)-1,1-NETWORKDAYS.INTL(Tasks[[#This Row],[Finish]],Tasks[[#This Row],[Planned Finish]],WorkWeek,Holidays)))</f>
        <v/>
      </c>
      <c r="X153" s="58" t="str">
        <f aca="false">IF(Tasks[[#This Row],[Task Name]]="","",IF(N(Tasks[[#This Row],[Baseline Start]])&gt;0,Tasks[[#This Row],[Baseline Start]],Tasks[[#This Row],[_CalcStart]]))</f>
        <v/>
      </c>
      <c r="Y153" s="58" t="str">
        <f aca="false">IF(Tasks[[#This Row],[Task Name]]="","",IF(N(Tasks[[#This Row],[Baseline Finish]])&gt;0,Tasks[[#This Row],[Baseline Finish]],Tasks[[#This Row],[_CalcFinish]]))</f>
        <v/>
      </c>
      <c r="Z153" s="67" t="str">
        <f aca="false">IF(Tasks[[#This Row],[Task Name]]="","",IF(Tasks[[#This Row],[Start]]&gt;=Tasks[[#This Row],[Planned Start]],NETWORKDAYS.INTL(Tasks[[#This Row],[Planned Start]],Tasks[[#This Row],[Start]],WorkWeek,Holidays)-1,1-NETWORKDAYS.INTL(Tasks[[#This Row],[Start]],Tasks[[#This Row],[Planned Start]],WorkWeek,Holidays)))</f>
        <v/>
      </c>
      <c r="AA153" s="58" t="str">
        <f aca="false">IF(Tasks[[#This Row],[Task Name]]="","",IF(Tasks[[#This Row],[_IsSummary]],MIN(INDEX(Tasks[_LeafLateStart],Tasks[[#This Row],[_Row]]+1):INDEX(Tasks[_LeafLateStart],Tasks[[#This Row],[_Row]]+Tasks[[#This Row],[_Descendants]])),Tasks[[#This Row],[_LeafLateStart]]))</f>
        <v/>
      </c>
      <c r="AB153" s="58" t="str">
        <f aca="false">IF(Tasks[[#This Row],[Task Name]]="","",IF(Tasks[[#This Row],[_IsSummary]],MAX(INDEX(Tasks[_LeafLateFinish],Tasks[[#This Row],[_Row]]+1):INDEX(Tasks[_LeafLateFinish],Tasks[[#This Row],[_Row]]+Tasks[[#This Row],[_Descendants]])),Tasks[[#This Row],[_LeafLateFinish]]))</f>
        <v/>
      </c>
      <c r="AC153" s="67" t="str">
        <f aca="false">IF(Tasks[[#This Row],[Task Name]]="","",IF(Tasks[[#This Row],[_IsSummary]],MIN(INDEX(Tasks[_LeafTotalSlack],Tasks[[#This Row],[_Row]]+1):INDEX(Tasks[_LeafTotalSlack],Tasks[[#This Row],[_Row]]+Tasks[[#This Row],[_Descendants]])),Tasks[[#This Row],[_LeafTotalSlack]]))</f>
        <v/>
      </c>
      <c r="AD15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5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5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53" s="60"/>
      <c r="AH15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5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53" s="69" t="str">
        <f aca="false">IF(Tasks[[#This Row],[Task Name]]="","",IF(Tasks[[#This Row],[_IsSummary]],SUM(INDEX(Tasks[_LeafTotalWork],Tasks[[#This Row],[_Row]]+1):INDEX(Tasks[_LeafTotalWork],Tasks[[#This Row],[_Row]]+Tasks[[#This Row],[_Descendants]])),Tasks[[#This Row],[_LeafTotalWork]]))</f>
        <v/>
      </c>
      <c r="AK15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53" s="70" t="str">
        <f aca="false">IF(Tasks[[#This Row],[Task Name]]="","",IF(Tasks[[#This Row],[_IsSummary]],SUM(INDEX(Tasks[_LeafTotalCost],Tasks[[#This Row],[_Row]]+1):INDEX(Tasks[_LeafTotalCost],Tasks[[#This Row],[_Row]]+Tasks[[#This Row],[_Descendants]])),Tasks[[#This Row],[_LeafTotalCost]]))</f>
        <v/>
      </c>
      <c r="AM153" s="71"/>
      <c r="AN153" s="20" t="str">
        <f aca="false">IF(OR(Tasks[[#This Row],[Task Name]]="",Tasks[[#This Row],[Baseline Duration]]=""),"",Tasks[[#This Row],[BL Source Duration]]-N(Tasks[[#This Row],[Baseline Duration]]))</f>
        <v/>
      </c>
      <c r="AO153" s="69" t="str">
        <f aca="false">IF(OR(Tasks[[#This Row],[Task Name]]="",Tasks[[#This Row],[Baseline Work]]=""),"",Tasks[[#This Row],[Work]]-N(Tasks[[#This Row],[Baseline Work]]))</f>
        <v/>
      </c>
      <c r="AP153" s="70" t="str">
        <f aca="false">IF(OR(Tasks[[#This Row],[Task Name]]="",Tasks[[#This Row],[Baseline Cost]]=""),"",Tasks[[#This Row],[Cost]]-N(Tasks[[#This Row],[Baseline Cost]]))</f>
        <v/>
      </c>
      <c r="AQ153" s="58" t="str">
        <f aca="false">IF(Tasks[[#This Row],[Task Name]]="","",Tasks[[#This Row],[Start]])</f>
        <v/>
      </c>
      <c r="AR153" s="58" t="str">
        <f aca="false">IF(Tasks[[#This Row],[Task Name]]="","",Tasks[[#This Row],[Finish]])</f>
        <v/>
      </c>
      <c r="AS153" s="67" t="str">
        <f aca="false">IF(Tasks[[#This Row],[Task Name]]="","",IF(Tasks[[#This Row],[_IsSummary]],NETWORKDAYS.INTL(Tasks[[#This Row],[Start]],Tasks[[#This Row],[Finish]],WorkWeek,Holidays),N(Tasks[[#This Row],[Duration]])))</f>
        <v/>
      </c>
      <c r="AT153" s="69" t="str">
        <f aca="false">IF(Tasks[[#This Row],[Task Name]]="","",Tasks[[#This Row],[Work]])</f>
        <v/>
      </c>
      <c r="AU153" s="70" t="str">
        <f aca="false">IF(Tasks[[#This Row],[Task Name]]="","",Tasks[[#This Row],[Cost]])</f>
        <v/>
      </c>
      <c r="AV153" s="7"/>
      <c r="AW153" s="7"/>
      <c r="AX153" s="21"/>
      <c r="AY153" s="72"/>
      <c r="AZ153" s="71"/>
      <c r="BA153" s="70" t="str">
        <f aca="false">IF(Tasks[[#This Row],[Task Name]]="","",IF(Tasks[[#This Row],[_IsSummary]],SUM(INDEX(Tasks[_LeafEV],Tasks[[#This Row],[_Row]]+1):INDEX(Tasks[_LeafEV],Tasks[[#This Row],[_Row]]+Tasks[[#This Row],[_Descendants]])),Tasks[[#This Row],[_LeafEV]]))</f>
        <v/>
      </c>
      <c r="BB153" s="70" t="str">
        <f aca="false">IF(Tasks[[#This Row],[Task Name]]="","",IF(Tasks[[#This Row],[_IsSummary]],SUM(INDEX(Tasks[_LeafBudget],Tasks[[#This Row],[_Row]]+1):INDEX(Tasks[_LeafBudget],Tasks[[#This Row],[_Row]]+Tasks[[#This Row],[_Descendants]])),Tasks[[#This Row],[_LeafBudget]]))</f>
        <v/>
      </c>
      <c r="BC153" s="70" t="str">
        <f aca="false">IF(Tasks[[#This Row],[Task Name]]="","",IF(Tasks[[#This Row],[_IsSummary]],SUM(INDEX(Tasks[_LeafPV],Tasks[[#This Row],[_Row]]+1):INDEX(Tasks[_LeafPV],Tasks[[#This Row],[_Row]]+Tasks[[#This Row],[_Descendants]])),Tasks[[#This Row],[_LeafPV]]))</f>
        <v/>
      </c>
      <c r="BD153" s="70" t="str">
        <f aca="false">IF(Tasks[[#This Row],[Task Name]]="","",IF(Tasks[[#This Row],[_IsSummary]],SUM(INDEX(Tasks[_LeafAC],Tasks[[#This Row],[_Row]]+1):INDEX(Tasks[_LeafAC],Tasks[[#This Row],[_Row]]+Tasks[[#This Row],[_Descendants]])),Tasks[[#This Row],[_LeafAC]]))</f>
        <v/>
      </c>
      <c r="BE153" s="45" t="str">
        <f aca="false">IF(Tasks[[#This Row],[Task Name]]="","",MAX(1,N(Tasks[[#This Row],[Level]])))</f>
        <v/>
      </c>
      <c r="BF153" s="45" t="n">
        <f aca="false">ROW()-ROW(Tasks[[#Headers],[ID]])</f>
        <v>148</v>
      </c>
      <c r="BG153" s="45" t="n">
        <f aca="false">IF(OR(Tasks[[#This Row],[Task Name]]="",Tasks[[#This Row],[_Level]]&lt;=1),0,IFERROR(LOOKUP(2,1/(Tasks[[#Headers],[_Level]]:Tasks[[#This Row],[_Level]]=Tasks[[#This Row],[_Level]]-1),ROW(Tasks[[#Headers],[_Level]]:Tasks[[#This Row],[_Level]])),0))</f>
        <v>0</v>
      </c>
      <c r="BH153" s="45" t="n">
        <f aca="false">IFERROR(N(INDEX(Tasks[_Level],Tasks[[#This Row],[_Row]]+1)),0)</f>
        <v>0</v>
      </c>
      <c r="BI153" s="73" t="b">
        <f aca="false">AND(Tasks[[#This Row],[Task Name]]&lt;&gt;"",Tasks[[#This Row],[_NextLevel]]&gt;Tasks[[#This Row],[_Level]])</f>
        <v>0</v>
      </c>
      <c r="BJ153" s="45" t="n">
        <f aca="false">IF(Tasks[[#This Row],[_IsSummary]],COUNTIF(Tasks[WBS],Tasks[[#This Row],[WBS]]&amp;".*"),0)</f>
        <v>0</v>
      </c>
      <c r="BK153" s="45" t="n">
        <f aca="false">IF(AND(Tasks[[#This Row],[Task Name]]&lt;&gt;"",NOT(Tasks[[#This Row],[_IsSummary]])),1,0)</f>
        <v>0</v>
      </c>
      <c r="BL153" s="45" t="n">
        <f aca="false">IF(N(Tasks[[#This Row],[_Pred1UID]])=0,0,IFERROR(MATCH(Tasks[[#This Row],[_Pred1UID]],Tasks[UID],0),-1))</f>
        <v>0</v>
      </c>
      <c r="BM153" s="45" t="n">
        <f aca="false">IF(N(Tasks[[#This Row],[_Pred2UID]])=0,0,IFERROR(MATCH(Tasks[[#This Row],[_Pred2UID]],Tasks[UID],0),-1))</f>
        <v>0</v>
      </c>
      <c r="BN153" s="45" t="n">
        <f aca="false">IF(N(Tasks[[#This Row],[_Pred3UID]])=0,0,IFERROR(MATCH(Tasks[[#This Row],[_Pred3UID]],Tasks[UID],0),-1))</f>
        <v>0</v>
      </c>
      <c r="BO153" s="45" t="n">
        <f aca="false">IF(N(Tasks[[#This Row],[_Pred4UID]])=0,0,IFERROR(MATCH(Tasks[[#This Row],[_Pred4UID]],Tasks[UID],0),-1))</f>
        <v>0</v>
      </c>
      <c r="BP15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5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53" s="74" t="n">
        <f aca="false">IF(OR(Tasks[[#This Row],[_ConstraintCode]]=2,Tasks[[#This Row],[_ConstraintCode]]=3,Tasks[[#This Row],[_ConstraintCode]]=4,Tasks[[#This Row],[_ConstraintCode]]=6),Tasks[[#This Row],[_ConstraintStart]],0)</f>
        <v>0</v>
      </c>
      <c r="BS153" s="74" t="n">
        <f aca="false">IF(OR(Tasks[[#This Row],[_ConstraintCode]]=2,Tasks[[#This Row],[_ConstraintCode]]=3,Tasks[[#This Row],[_ConstraintCode]]=5,Tasks[[#This Row],[_ConstraintCode]]=7),Tasks[[#This Row],[_ConstraintStart]],2958465)</f>
        <v>2958465</v>
      </c>
      <c r="BT15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53" s="74" t="str">
        <f aca="false">IF(NOT(Tasks[[#This Row],[_IsLeaf]]=1),"",IF(N(Tasks[[#This Row],[Duration]])&lt;=0,Tasks[[#This Row],[_LeafCalcStart]],WORKDAY.INTL(Tasks[[#This Row],[_LeafCalcStart]],Tasks[[#This Row],[Duration]]-1,WorkWeek,Holidays)))</f>
        <v/>
      </c>
      <c r="BV15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5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53" s="45" t="str">
        <f aca="false">IF(Tasks[[#This Row],[Predecessors]]="","",TRIM(MID(SUBSTITUTE(SUBSTITUTE(SUBSTITUTE(UPPER(Tasks[[#This Row],[Predecessors]]),";",",")," ",""),",",REPT(" ",99)),1,99)))</f>
        <v/>
      </c>
      <c r="BY153" s="45" t="str">
        <f aca="false">IF(Tasks[[#This Row],[_Pred1Text]]="","",IFERROR(VALUE(LEFT(Tasks[[#This Row],[_Pred1Text]],MIN(FIND("F",Tasks[[#This Row],[_Pred1Text]]&amp;"F"),FIND("S",Tasks[[#This Row],[_Pred1Text]]&amp;"S"),FIND("+",Tasks[[#This Row],[_Pred1Text]]&amp;"+"),FIND("-",Tasks[[#This Row],[_Pred1Text]]&amp;"-"))-1)),""))</f>
        <v/>
      </c>
      <c r="BZ15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5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53" s="45" t="str">
        <f aca="false">IF(Tasks[[#This Row],[_Pred1Text]]="","",TRIM(MID(SUBSTITUTE(SUBSTITUTE(SUBSTITUTE(UPPER(Tasks[[#This Row],[Predecessors]]),";",",")," ",""),",",REPT(" ",99)),100,99)))</f>
        <v/>
      </c>
      <c r="CC153" s="45" t="str">
        <f aca="false">IF(Tasks[[#This Row],[_Pred2Text]]="","",IFERROR(VALUE(LEFT(Tasks[[#This Row],[_Pred2Text]],MIN(FIND("F",Tasks[[#This Row],[_Pred2Text]]&amp;"F"),FIND("S",Tasks[[#This Row],[_Pred2Text]]&amp;"S"),FIND("+",Tasks[[#This Row],[_Pred2Text]]&amp;"+"),FIND("-",Tasks[[#This Row],[_Pred2Text]]&amp;"-"))-1)),""))</f>
        <v/>
      </c>
      <c r="CD15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5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53" s="45" t="str">
        <f aca="false">IF(Tasks[[#This Row],[_Pred2Text]]="","",TRIM(MID(SUBSTITUTE(SUBSTITUTE(SUBSTITUTE(UPPER(Tasks[[#This Row],[Predecessors]]),";",",")," ",""),",",REPT(" ",99)),199,99)))</f>
        <v/>
      </c>
      <c r="CG153" s="45" t="str">
        <f aca="false">IF(Tasks[[#This Row],[_Pred3Text]]="","",IFERROR(VALUE(LEFT(Tasks[[#This Row],[_Pred3Text]],MIN(FIND("F",Tasks[[#This Row],[_Pred3Text]]&amp;"F"),FIND("S",Tasks[[#This Row],[_Pred3Text]]&amp;"S"),FIND("+",Tasks[[#This Row],[_Pred3Text]]&amp;"+"),FIND("-",Tasks[[#This Row],[_Pred3Text]]&amp;"-"))-1)),""))</f>
        <v/>
      </c>
      <c r="CH15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5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53" s="45" t="str">
        <f aca="false">IF(Tasks[[#This Row],[_Pred3Text]]="","",TRIM(MID(SUBSTITUTE(SUBSTITUTE(SUBSTITUTE(UPPER(Tasks[[#This Row],[Predecessors]]),";",",")," ",""),",",REPT(" ",99)),298,99)))</f>
        <v/>
      </c>
      <c r="CK153" s="45" t="str">
        <f aca="false">IF(Tasks[[#This Row],[_Pred4Text]]="","",IFERROR(VALUE(LEFT(Tasks[[#This Row],[_Pred4Text]],MIN(FIND("F",Tasks[[#This Row],[_Pred4Text]]&amp;"F"),FIND("S",Tasks[[#This Row],[_Pred4Text]]&amp;"S"),FIND("+",Tasks[[#This Row],[_Pred4Text]]&amp;"+"),FIND("-",Tasks[[#This Row],[_Pred4Text]]&amp;"-"))-1)),""))</f>
        <v/>
      </c>
      <c r="CL15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5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53" s="45" t="str">
        <f aca="false">IF(OR(Tasks[[#This Row],[Task Name]]="",Tasks[[#This Row],[Resources]]=""),"",TRIM(MID(SUBSTITUTE(Tasks[[#This Row],[Resources]],",",REPT(" ",99)),1,99)))</f>
        <v/>
      </c>
      <c r="CO153" s="45" t="str">
        <f aca="false">IF(Tasks[[#This Row],[_Res1Text]]="","",TRIM(MID(SUBSTITUTE(Tasks[[#This Row],[Resources]],",",REPT(" ",99)),100,99)))</f>
        <v/>
      </c>
      <c r="CP153" s="45" t="str">
        <f aca="false">IF(Tasks[[#This Row],[_Res2Text]]="","",TRIM(MID(SUBSTITUTE(Tasks[[#This Row],[Resources]],",",REPT(" ",99)),199,99)))</f>
        <v/>
      </c>
      <c r="CQ153" s="45" t="str">
        <f aca="false">IF(Tasks[[#This Row],[_Res3Text]]="","",TRIM(MID(SUBSTITUTE(Tasks[[#This Row],[Resources]],",",REPT(" ",99)),298,99)))</f>
        <v/>
      </c>
      <c r="CR15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5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3" s="45" t="n">
        <f aca="false">IF(NOT(Tasks[[#This Row],[_IsLeaf]]=1),0,(Tasks[[#This Row],[_Resource1]]&lt;&gt;"")+(Tasks[[#This Row],[_Res2]]&lt;&gt;"")+(Tasks[[#This Row],[_Res3]]&lt;&gt;"")+(Tasks[[#This Row],[_Res4]]&lt;&gt;""))</f>
        <v>0</v>
      </c>
      <c r="CU15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5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3" s="45" t="n">
        <f aca="false">IF(OR(NOT(Tasks[[#This Row],[_IsLeaf]]=1),Tasks[[#This Row],[_Res2]]=""),0,IF(ISNA(MATCH(Tasks[[#This Row],[_Res2]],res_Name,0)),0,N(Tasks[[#This Row],[Duration]])*HoursPerDay*IF(Tasks[[#This Row],[_Res2Units]]="",DefaultUnits,Tasks[[#This Row],[_Res2Units]])))</f>
        <v>0</v>
      </c>
      <c r="CX153" s="45" t="n">
        <f aca="false">IF(Tasks[[#This Row],[_Res2Work]]=0,0,Tasks[[#This Row],[_Res2Work]]*IFERROR(INDEX(res_Rate,MATCH(Tasks[[#This Row],[_Res2]],res_Name,0)),0))</f>
        <v>0</v>
      </c>
      <c r="CY153" s="45" t="n">
        <f aca="false">IF(AND(AND(Tasks[[#This Row],[_IsLeaf]]=1,Tasks[[#This Row],[_LeafTotalWork]]&gt;0),Tasks[[#This Row],[_Res2Work]]&gt;0),Tasks[[#This Row],[_Res2Work]]/(Tasks[[#This Row],[_FinishWorkday]]-Tasks[[#This Row],[_StartWorkday]]+1),0)</f>
        <v>0</v>
      </c>
      <c r="CZ153" s="45" t="n">
        <f aca="false">Tasks[[#This Row],[_Res2WorkPerWD]]*MAX(0,Tasks[[#This Row],[_StartWorkday]]-1)</f>
        <v>0</v>
      </c>
      <c r="DA153" s="45" t="n">
        <f aca="false">Tasks[[#This Row],[_Res2Work]]*Tasks[[#This Row],[_LeafProgress]]</f>
        <v>0</v>
      </c>
      <c r="DB153" s="45" t="n">
        <f aca="false">IF(Tasks[[#This Row],[_LeafTotalCost]]=0,0,Tasks[[#This Row],[_LeafAC]]*Tasks[[#This Row],[_Res2Cost]]/Tasks[[#This Row],[_LeafTotalCost]])</f>
        <v>0</v>
      </c>
      <c r="DC15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5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53" s="45" t="n">
        <f aca="false">IF(OR(NOT(Tasks[[#This Row],[_IsLeaf]]=1),Tasks[[#This Row],[_Res3]]=""),0,IF(ISNA(MATCH(Tasks[[#This Row],[_Res3]],res_Name,0)),0,N(Tasks[[#This Row],[Duration]])*HoursPerDay*IF(Tasks[[#This Row],[_Res3Units]]="",DefaultUnits,Tasks[[#This Row],[_Res3Units]])))</f>
        <v>0</v>
      </c>
      <c r="DF153" s="45" t="n">
        <f aca="false">IF(Tasks[[#This Row],[_Res3Work]]=0,0,Tasks[[#This Row],[_Res3Work]]*IFERROR(INDEX(res_Rate,MATCH(Tasks[[#This Row],[_Res3]],res_Name,0)),0))</f>
        <v>0</v>
      </c>
      <c r="DG153" s="45" t="n">
        <f aca="false">IF(AND(AND(Tasks[[#This Row],[_IsLeaf]]=1,Tasks[[#This Row],[_LeafTotalWork]]&gt;0),Tasks[[#This Row],[_Res3Work]]&gt;0),Tasks[[#This Row],[_Res3Work]]/(Tasks[[#This Row],[_FinishWorkday]]-Tasks[[#This Row],[_StartWorkday]]+1),0)</f>
        <v>0</v>
      </c>
      <c r="DH153" s="45" t="n">
        <f aca="false">Tasks[[#This Row],[_Res3WorkPerWD]]*MAX(0,Tasks[[#This Row],[_StartWorkday]]-1)</f>
        <v>0</v>
      </c>
      <c r="DI153" s="45" t="n">
        <f aca="false">Tasks[[#This Row],[_Res3Work]]*Tasks[[#This Row],[_LeafProgress]]</f>
        <v>0</v>
      </c>
      <c r="DJ153" s="45" t="n">
        <f aca="false">IF(Tasks[[#This Row],[_LeafTotalCost]]=0,0,Tasks[[#This Row],[_LeafAC]]*Tasks[[#This Row],[_Res3Cost]]/Tasks[[#This Row],[_LeafTotalCost]])</f>
        <v>0</v>
      </c>
      <c r="DK15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5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53" s="45" t="n">
        <f aca="false">IF(OR(NOT(Tasks[[#This Row],[_IsLeaf]]=1),Tasks[[#This Row],[_Res4]]=""),0,IF(ISNA(MATCH(Tasks[[#This Row],[_Res4]],res_Name,0)),0,N(Tasks[[#This Row],[Duration]])*HoursPerDay*IF(Tasks[[#This Row],[_Res4Units]]="",DefaultUnits,Tasks[[#This Row],[_Res4Units]])))</f>
        <v>0</v>
      </c>
      <c r="DN153" s="45" t="n">
        <f aca="false">IF(Tasks[[#This Row],[_Res4Work]]=0,0,Tasks[[#This Row],[_Res4Work]]*IFERROR(INDEX(res_Rate,MATCH(Tasks[[#This Row],[_Res4]],res_Name,0)),0))</f>
        <v>0</v>
      </c>
      <c r="DO153" s="45" t="n">
        <f aca="false">IF(AND(AND(Tasks[[#This Row],[_IsLeaf]]=1,Tasks[[#This Row],[_LeafTotalWork]]&gt;0),Tasks[[#This Row],[_Res4Work]]&gt;0),Tasks[[#This Row],[_Res4Work]]/(Tasks[[#This Row],[_FinishWorkday]]-Tasks[[#This Row],[_StartWorkday]]+1),0)</f>
        <v>0</v>
      </c>
      <c r="DP153" s="45" t="n">
        <f aca="false">Tasks[[#This Row],[_Res4WorkPerWD]]*MAX(0,Tasks[[#This Row],[_StartWorkday]]-1)</f>
        <v>0</v>
      </c>
      <c r="DQ153" s="45" t="n">
        <f aca="false">Tasks[[#This Row],[_Res4Work]]*Tasks[[#This Row],[_LeafProgress]]</f>
        <v>0</v>
      </c>
      <c r="DR153" s="45" t="n">
        <f aca="false">IF(Tasks[[#This Row],[_LeafTotalCost]]=0,0,Tasks[[#This Row],[_LeafAC]]*Tasks[[#This Row],[_Res4Cost]]/Tasks[[#This Row],[_LeafTotalCost]])</f>
        <v>0</v>
      </c>
      <c r="DS153" s="45" t="n">
        <f aca="false">IF(ISNUMBER(Tasks[[#This Row],[% Complete]]),Tasks[[#This Row],[% Complete]],IF(Tasks[[#This Row],[Stage]]="",0,IFERROR(INDEX(stg_Pct,MATCH(Tasks[[#This Row],[Stage]],stg_Name,0)),0)))</f>
        <v>0</v>
      </c>
      <c r="DT153" s="45" t="n">
        <f aca="false">IF(NOT(Tasks[[#This Row],[_IsLeaf]]=1),0,IF(N(Tasks[[#This Row],[Actual Finish]])&gt;0,1,MIN(1,Tasks[[#This Row],[_Pct]])))</f>
        <v>0</v>
      </c>
      <c r="DU153" s="45" t="n">
        <f aca="false">IF(OR(NOT(Tasks[[#This Row],[_IsLeaf]]=1),Tasks[[#This Row],[_Resource1]]=""),0,IF(ISNA(MATCH(Tasks[[#This Row],[_Resource1]],res_Name,0)),0,N(Tasks[[#This Row],[Duration]])*HoursPerDay*IF(Tasks[[#This Row],[_Units1]]="",DefaultUnits,Tasks[[#This Row],[_Units1]])))</f>
        <v>0</v>
      </c>
      <c r="DV153" s="45" t="n">
        <f aca="false">IF(Tasks[[#This Row],[_LeafWork]]=0,0,Tasks[[#This Row],[_LeafWork]]*IFERROR(INDEX(res_Rate,MATCH(Tasks[[#This Row],[_Resource1]],res_Name,0)),0))</f>
        <v>0</v>
      </c>
      <c r="DW153" s="45" t="n">
        <f aca="false">Tasks[[#This Row],[_LeafWork]]+Tasks[[#This Row],[_Res2Work]]+Tasks[[#This Row],[_Res3Work]]+Tasks[[#This Row],[_Res4Work]]</f>
        <v>0</v>
      </c>
      <c r="DX153" s="45" t="n">
        <f aca="false">Tasks[[#This Row],[_LeafCost]]+Tasks[[#This Row],[_Res2Cost]]+Tasks[[#This Row],[_Res3Cost]]+Tasks[[#This Row],[_Res4Cost]]</f>
        <v>0</v>
      </c>
      <c r="DY153" s="45" t="n">
        <f aca="false">IF(Tasks[[#This Row],[_LeafTotalCost]]=0,Tasks[[#This Row],[_LeafAC]],Tasks[[#This Row],[_LeafAC]]*Tasks[[#This Row],[_LeafCost]]/Tasks[[#This Row],[_LeafTotalCost]])</f>
        <v>0</v>
      </c>
      <c r="DZ15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5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5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5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5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5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5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5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53" s="45" t="n">
        <f aca="false">IF(NOT(Tasks[[#This Row],[_IsLeaf]]=1),0,MAX(_xlfn.MAXIFS(Tasks[_Row],Tasks[_Pred1UID],Tasks[[#This Row],[UID]]),_xlfn.MAXIFS(Tasks[_Row],Tasks[_Pred2UID],Tasks[[#This Row],[UID]]),_xlfn.MAXIFS(Tasks[_Row],Tasks[_Pred3UID],Tasks[[#This Row],[UID]]),_xlfn.MAXIFS(Tasks[_Row],Tasks[_Pred4UID],Tasks[[#This Row],[UID]])))</f>
        <v>0</v>
      </c>
      <c r="EI15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5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53" s="74" t="str">
        <f aca="false">IF(NOT(Tasks[[#This Row],[_IsLeaf]]=1),"",IF(N(Tasks[[#This Row],[Duration]])&lt;=0,Tasks[[#This Row],[_LeafLateFinish]],WORKDAY.INTL(Tasks[[#This Row],[_LeafLateFinish]],-(Tasks[[#This Row],[Duration]]-1),WorkWeek,Holidays)))</f>
        <v/>
      </c>
      <c r="EL15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53" s="73" t="b">
        <f aca="false">AND(Tasks[[#This Row],[_IsLeaf]]=1,Tasks[[#This Row],[_LeafProgress]]&lt;1,N(Tasks[[#This Row],[_LeafTotalSlack]])&lt;=CriticalSlackDays)</f>
        <v>0</v>
      </c>
      <c r="EN153" s="45" t="n">
        <f aca="false">IF(AND(Tasks[[#This Row],[_IsLeaf]]=1,Tasks[[#This Row],[_ConstraintCode]]=1,Tasks[[#This Row],[Mode]]&lt;&gt;"Manual",N(Tasks[[#This Row],[Actual Start]])=0),MAX(0,N(Tasks[[#This Row],[Free Slack]])),0)</f>
        <v>0</v>
      </c>
      <c r="EO153" s="74" t="str">
        <f aca="false">IF(NOT(Tasks[[#This Row],[_IsLeaf]]=1),"",IF(Tasks[[#This Row],[_AlapShift]]=0,Tasks[[#This Row],[_LeafCalcStart]],WORKDAY.INTL(Tasks[[#This Row],[_LeafCalcStart]],Tasks[[#This Row],[_AlapShift]],WorkWeek,Holidays)))</f>
        <v/>
      </c>
      <c r="EP153" s="74" t="str">
        <f aca="false">IF(NOT(Tasks[[#This Row],[_IsLeaf]]=1),"",IF(Tasks[[#This Row],[_AlapShift]]=0,Tasks[[#This Row],[_LeafCalcFinish]],WORKDAY.INTL(Tasks[[#This Row],[_LeafCalcFinish]],Tasks[[#This Row],[_AlapShift]],WorkWeek,Holidays)))</f>
        <v/>
      </c>
      <c r="EQ153" s="74" t="str">
        <f aca="false">IF(NOT(Tasks[[#This Row],[_IsLeaf]]=1),"",IF(Tasks[[#This Row],[_AlapShift]]=0,Tasks[[#This Row],[_LeafFcstStart]],WORKDAY.INTL(Tasks[[#This Row],[_LeafFcstStart]],Tasks[[#This Row],[_AlapShift]],WorkWeek,Holidays)))</f>
        <v/>
      </c>
      <c r="ER153" s="74" t="str">
        <f aca="false">IF(NOT(Tasks[[#This Row],[_IsLeaf]]=1),"",IF(Tasks[[#This Row],[_AlapShift]]=0,Tasks[[#This Row],[_LeafFcstFinish]],WORKDAY.INTL(Tasks[[#This Row],[_LeafFcstFinish]],Tasks[[#This Row],[_AlapShift]],WorkWeek,Holidays)))</f>
        <v/>
      </c>
      <c r="ES153" s="74" t="str">
        <f aca="false">IF(Tasks[[#This Row],[Task Name]]="","",IF(Tasks[[#This Row],[_IsSummary]],MIN(INDEX(Tasks[_ShownCalcStart],Tasks[[#This Row],[_Row]]+1):INDEX(Tasks[_ShownCalcStart],Tasks[[#This Row],[_Row]]+Tasks[[#This Row],[_Descendants]])),Tasks[[#This Row],[_ShownCalcStart]]))</f>
        <v/>
      </c>
      <c r="ET153" s="74" t="str">
        <f aca="false">IF(Tasks[[#This Row],[Task Name]]="","",IF(Tasks[[#This Row],[_IsSummary]],MAX(INDEX(Tasks[_ShownCalcFinish],Tasks[[#This Row],[_Row]]+1):INDEX(Tasks[_ShownCalcFinish],Tasks[[#This Row],[_Row]]+Tasks[[#This Row],[_Descendants]])),Tasks[[#This Row],[_ShownCalcFinish]]))</f>
        <v/>
      </c>
      <c r="EU15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5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5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5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5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5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5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5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5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5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5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5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53" s="45" t="n">
        <f aca="false">IF(AND(Tasks[[#This Row],[_IsLeaf]]=1,Tasks[[#This Row],[_LeafTotalWork]]&gt;0),NETWORKDAYS.INTL(ProjectStart,Tasks[[#This Row],[_ShownFcstStart]],WorkWeek,Holidays),0)</f>
        <v>0</v>
      </c>
      <c r="FH153" s="45" t="n">
        <f aca="false">IF(AND(Tasks[[#This Row],[_IsLeaf]]=1,Tasks[[#This Row],[_LeafTotalWork]]&gt;0),MAX(Tasks[[#This Row],[_StartWorkday]],NETWORKDAYS.INTL(ProjectStart,Tasks[[#This Row],[_ShownFcstFinish]],WorkWeek,Holidays)),0)</f>
        <v>0</v>
      </c>
      <c r="FI153" s="45" t="n">
        <f aca="false">IF(AND(Tasks[[#This Row],[_IsLeaf]]=1,Tasks[[#This Row],[_LeafTotalWork]]&gt;0),Tasks[[#This Row],[_LeafWork]]/(Tasks[[#This Row],[_FinishWorkday]]-Tasks[[#This Row],[_StartWorkday]]+1),0)</f>
        <v>0</v>
      </c>
      <c r="FJ153" s="45" t="n">
        <f aca="false">Tasks[[#This Row],[_WorkPerWorkday]]*(Tasks[[#This Row],[_StartWorkday]]-1)</f>
        <v>-0</v>
      </c>
      <c r="FK153" s="45" t="n">
        <f aca="false">IF(Tasks[[#This Row],[_IsLeaf]]=1,MAX(N(Tasks[[#This Row],[Duration]]),0.1),0)</f>
        <v>0</v>
      </c>
      <c r="FL153" s="45" t="n">
        <f aca="false">Tasks[[#This Row],[_WeightDur]]*Tasks[[#This Row],[_LeafProgress]]</f>
        <v>0</v>
      </c>
      <c r="FM15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53" s="45" t="str">
        <f aca="false">IF(AND(Tasks[[#This Row],[_IsLeaf]]=1,N(Tasks[[#This Row],[Duration]])=0,Tasks[[#This Row],[_LeafProgress]]&lt;1),Tasks[[#This Row],[_ShownFcstFinish]]+Tasks[[#This Row],[_Row]]/100000,"")</f>
        <v/>
      </c>
      <c r="FO15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53" s="45" t="n">
        <f aca="false">IF(NOT(Tasks[[#This Row],[_IsLeaf]]=1),0,IF(Tasks[[#This Row],[Baseline Cost]]="",Tasks[[#This Row],[_LeafTotalCost]],N(Tasks[[#This Row],[Baseline Cost]])))</f>
        <v>0</v>
      </c>
      <c r="FQ153" s="45" t="n">
        <f aca="false">Tasks[[#This Row],[_LeafBudget]]*Tasks[[#This Row],[_PlannedPct]]</f>
        <v>0</v>
      </c>
      <c r="FR153" s="45" t="n">
        <f aca="false">Tasks[[#This Row],[_LeafBudget]]*Tasks[[#This Row],[_LeafProgress]]</f>
        <v>0</v>
      </c>
      <c r="FS153" s="45" t="n">
        <f aca="false">IF(NOT(Tasks[[#This Row],[_IsLeaf]]=1),0,IF(Tasks[[#This Row],[Actual Cost]]="",Tasks[[#This Row],[_LeafTotalCost]]*Tasks[[#This Row],[_LeafProgress]],N(Tasks[[#This Row],[Actual Cost]])))</f>
        <v>0</v>
      </c>
      <c r="FT153" s="45" t="str">
        <f aca="false">IF(Tasks[[#This Row],[Task Name]]="","",LEFT(Tasks[[#This Row],[WBS]],FIND(".",Tasks[[#This Row],[WBS]]&amp;".")-1))</f>
        <v/>
      </c>
      <c r="FU153" s="45" t="str">
        <f aca="false">IF(AND(Tasks[[#This Row],[Task Name]]&lt;&gt;"",Tasks[[#This Row],[_Level]]=1),Tasks[[#This Row],[_Row]],"")</f>
        <v/>
      </c>
      <c r="FV153" s="45" t="str">
        <f aca="false">IF(AND(Tasks[[#This Row],[_IsLeaf]]=1,N(Tasks[[#This Row],[Duration]])=0),Tasks[[#This Row],[Planned Finish]]+Tasks[[#This Row],[_Row]]/100000,"")</f>
        <v/>
      </c>
      <c r="FW153" s="45" t="str">
        <f aca="false">IF(AND(Tasks[[#This Row],[_IsLeaf]]=1,Tasks[[#This Row],[_LeafProgress]]&lt;1,OR(N(Tasks[[#This Row],[Finish Var]])&gt;0,Tasks[[#This Row],[Status]]="Late Start")),MAX(0,Tasks[[#This Row],[Finish Var]])+1-Tasks[[#This Row],[_Row]]/1000000,"")</f>
        <v/>
      </c>
      <c r="FX153" s="45" t="str">
        <f aca="false">IF(AND(Tasks[[#This Row],[_IsLeaf]]=1,N(Tasks[[#This Row],[Actual Start]])=0,Tasks[[#This Row],[_ShownFcstStart]]&gt;=StatusDate,Tasks[[#This Row],[_ShownFcstStart]]&lt;=LookaheadEnd),Tasks[[#This Row],[_ShownFcstStart]]+Tasks[[#This Row],[_Row]]/100000,"")</f>
        <v/>
      </c>
      <c r="FY153" s="45" t="str">
        <f aca="false">IF(AND(Tasks[[#This Row],[_IsLeaf]]=1,Tasks[[#This Row],[_LeafProgress]]&lt;1,Tasks[[#This Row],[_ShownFcstFinish]]&gt;=StatusDate,Tasks[[#This Row],[_ShownFcstFinish]]&lt;=LookaheadEnd),Tasks[[#This Row],[_ShownFcstFinish]]+Tasks[[#This Row],[_Row]]/100000,"")</f>
        <v/>
      </c>
      <c r="FZ153" s="45" t="str">
        <f aca="false">IF(Tasks[[#This Row],[_LeafCritical]],Tasks[[#This Row],[_ShownFcstStart]]+Tasks[[#This Row],[_Row]]/100000,"")</f>
        <v/>
      </c>
      <c r="GA153" s="45" t="n">
        <f aca="false">Tasks[[#This Row],[_LeafWork]]*Tasks[[#This Row],[_LeafProgress]]</f>
        <v>0</v>
      </c>
      <c r="GB153" s="74" t="str">
        <f aca="false">IF(AND(Tasks[[#This Row],[_IsLeaf]]=1,Tasks[[#This Row],[_LeafProgress]]&gt;=1),IF(N(Tasks[[#This Row],[Actual Finish]])&gt;0,Tasks[[#This Row],[Actual Finish]],Tasks[[#This Row],[_ShownFcstFinish]]),"")</f>
        <v/>
      </c>
    </row>
    <row r="154" customFormat="false" ht="15" hidden="false" customHeight="false" outlineLevel="0" collapsed="false">
      <c r="A154" s="67" t="str">
        <f aca="false">IF(Tasks[[#This Row],[Task Name]]="","",COUNTA(Tasks[[#Headers],[Task Name]]:Tasks[[#This Row],[Task Name]])-1)</f>
        <v/>
      </c>
      <c r="B154" s="21" t="n">
        <v>149</v>
      </c>
      <c r="C15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21"/>
      <c r="E154" s="22"/>
      <c r="F154" s="21"/>
      <c r="G154" s="22"/>
      <c r="H154" s="22"/>
      <c r="I154" s="22"/>
      <c r="J154" s="7"/>
      <c r="K154" s="7"/>
      <c r="L154" s="22"/>
      <c r="M154" s="58" t="str">
        <f aca="false">IF(Tasks[[#This Row],[Task Name]]="","",IF(Tasks[[#This Row],[_IsSummary]],MIN(INDEX(Tasks[_ShownFcstStart],Tasks[[#This Row],[_Row]]+1):INDEX(Tasks[_ShownFcstStart],Tasks[[#This Row],[_Row]]+Tasks[[#This Row],[_Descendants]])),Tasks[[#This Row],[_ShownFcstStart]]))</f>
        <v/>
      </c>
      <c r="N154" s="58" t="str">
        <f aca="false">IF(Tasks[[#This Row],[Task Name]]="","",IF(Tasks[[#This Row],[_IsSummary]],MAX(INDEX(Tasks[_ShownFcstFinish],Tasks[[#This Row],[_Row]]+1):INDEX(Tasks[_ShownFcstFinish],Tasks[[#This Row],[_Row]]+Tasks[[#This Row],[_Descendants]])),Tasks[[#This Row],[_ShownFcstFinish]]))</f>
        <v/>
      </c>
      <c r="O154" s="20" t="str">
        <f aca="false">IF(Tasks[[#This Row],[Task Name]]="","",IF(Tasks[[#This Row],[Progress]]&gt;=1,"Complete",IF(OR(N(Tasks[[#This Row],[Actual Start]])&gt;0,Tasks[[#This Row],[Progress]]&gt;0),IF(Tasks[[#This Row],[Finish Var]]&gt;0,"Behind","In Progress"),IF(Tasks[[#This Row],[Planned Start]]&lt;StatusDate,"Late Start","Not Started"))))</f>
        <v/>
      </c>
      <c r="P154" s="20" t="str">
        <f aca="false">IF(Tasks[[#This Row],[Task Name]]="","",IF(IF(Tasks[[#This Row],[_IsSummary]],COUNTIF(INDEX(Tasks[_LeafCritical],Tasks[[#This Row],[_Row]]+1):INDEX(Tasks[_LeafCritical],Tasks[[#This Row],[_Row]]+Tasks[[#This Row],[_Descendants]]),TRUE())&gt;0,Tasks[[#This Row],[_LeafCritical]]),"Yes",""))</f>
        <v/>
      </c>
      <c r="Q15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54" s="67" t="str">
        <f aca="false">IF(Tasks[[#This Row],[Task Name]]="","",IF(Tasks[[#This Row],[_Level]]&lt;=OutlineShowLevel,"Yes","No"))</f>
        <v/>
      </c>
      <c r="S154" s="7"/>
      <c r="T154" s="21"/>
      <c r="U154" s="22"/>
      <c r="V154" s="7"/>
      <c r="W154" s="67" t="str">
        <f aca="false">IF(Tasks[[#This Row],[Task Name]]="","",IF(Tasks[[#This Row],[Finish]]&gt;=Tasks[[#This Row],[Planned Finish]],NETWORKDAYS.INTL(Tasks[[#This Row],[Planned Finish]],Tasks[[#This Row],[Finish]],WorkWeek,Holidays)-1,1-NETWORKDAYS.INTL(Tasks[[#This Row],[Finish]],Tasks[[#This Row],[Planned Finish]],WorkWeek,Holidays)))</f>
        <v/>
      </c>
      <c r="X154" s="58" t="str">
        <f aca="false">IF(Tasks[[#This Row],[Task Name]]="","",IF(N(Tasks[[#This Row],[Baseline Start]])&gt;0,Tasks[[#This Row],[Baseline Start]],Tasks[[#This Row],[_CalcStart]]))</f>
        <v/>
      </c>
      <c r="Y154" s="58" t="str">
        <f aca="false">IF(Tasks[[#This Row],[Task Name]]="","",IF(N(Tasks[[#This Row],[Baseline Finish]])&gt;0,Tasks[[#This Row],[Baseline Finish]],Tasks[[#This Row],[_CalcFinish]]))</f>
        <v/>
      </c>
      <c r="Z154" s="67" t="str">
        <f aca="false">IF(Tasks[[#This Row],[Task Name]]="","",IF(Tasks[[#This Row],[Start]]&gt;=Tasks[[#This Row],[Planned Start]],NETWORKDAYS.INTL(Tasks[[#This Row],[Planned Start]],Tasks[[#This Row],[Start]],WorkWeek,Holidays)-1,1-NETWORKDAYS.INTL(Tasks[[#This Row],[Start]],Tasks[[#This Row],[Planned Start]],WorkWeek,Holidays)))</f>
        <v/>
      </c>
      <c r="AA154" s="58" t="str">
        <f aca="false">IF(Tasks[[#This Row],[Task Name]]="","",IF(Tasks[[#This Row],[_IsSummary]],MIN(INDEX(Tasks[_LeafLateStart],Tasks[[#This Row],[_Row]]+1):INDEX(Tasks[_LeafLateStart],Tasks[[#This Row],[_Row]]+Tasks[[#This Row],[_Descendants]])),Tasks[[#This Row],[_LeafLateStart]]))</f>
        <v/>
      </c>
      <c r="AB154" s="58" t="str">
        <f aca="false">IF(Tasks[[#This Row],[Task Name]]="","",IF(Tasks[[#This Row],[_IsSummary]],MAX(INDEX(Tasks[_LeafLateFinish],Tasks[[#This Row],[_Row]]+1):INDEX(Tasks[_LeafLateFinish],Tasks[[#This Row],[_Row]]+Tasks[[#This Row],[_Descendants]])),Tasks[[#This Row],[_LeafLateFinish]]))</f>
        <v/>
      </c>
      <c r="AC154" s="67" t="str">
        <f aca="false">IF(Tasks[[#This Row],[Task Name]]="","",IF(Tasks[[#This Row],[_IsSummary]],MIN(INDEX(Tasks[_LeafTotalSlack],Tasks[[#This Row],[_Row]]+1):INDEX(Tasks[_LeafTotalSlack],Tasks[[#This Row],[_Row]]+Tasks[[#This Row],[_Descendants]])),Tasks[[#This Row],[_LeafTotalSlack]]))</f>
        <v/>
      </c>
      <c r="AD15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5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5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54" s="60"/>
      <c r="AH15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5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54" s="69" t="str">
        <f aca="false">IF(Tasks[[#This Row],[Task Name]]="","",IF(Tasks[[#This Row],[_IsSummary]],SUM(INDEX(Tasks[_LeafTotalWork],Tasks[[#This Row],[_Row]]+1):INDEX(Tasks[_LeafTotalWork],Tasks[[#This Row],[_Row]]+Tasks[[#This Row],[_Descendants]])),Tasks[[#This Row],[_LeafTotalWork]]))</f>
        <v/>
      </c>
      <c r="AK15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54" s="70" t="str">
        <f aca="false">IF(Tasks[[#This Row],[Task Name]]="","",IF(Tasks[[#This Row],[_IsSummary]],SUM(INDEX(Tasks[_LeafTotalCost],Tasks[[#This Row],[_Row]]+1):INDEX(Tasks[_LeafTotalCost],Tasks[[#This Row],[_Row]]+Tasks[[#This Row],[_Descendants]])),Tasks[[#This Row],[_LeafTotalCost]]))</f>
        <v/>
      </c>
      <c r="AM154" s="71"/>
      <c r="AN154" s="20" t="str">
        <f aca="false">IF(OR(Tasks[[#This Row],[Task Name]]="",Tasks[[#This Row],[Baseline Duration]]=""),"",Tasks[[#This Row],[BL Source Duration]]-N(Tasks[[#This Row],[Baseline Duration]]))</f>
        <v/>
      </c>
      <c r="AO154" s="69" t="str">
        <f aca="false">IF(OR(Tasks[[#This Row],[Task Name]]="",Tasks[[#This Row],[Baseline Work]]=""),"",Tasks[[#This Row],[Work]]-N(Tasks[[#This Row],[Baseline Work]]))</f>
        <v/>
      </c>
      <c r="AP154" s="70" t="str">
        <f aca="false">IF(OR(Tasks[[#This Row],[Task Name]]="",Tasks[[#This Row],[Baseline Cost]]=""),"",Tasks[[#This Row],[Cost]]-N(Tasks[[#This Row],[Baseline Cost]]))</f>
        <v/>
      </c>
      <c r="AQ154" s="58" t="str">
        <f aca="false">IF(Tasks[[#This Row],[Task Name]]="","",Tasks[[#This Row],[Start]])</f>
        <v/>
      </c>
      <c r="AR154" s="58" t="str">
        <f aca="false">IF(Tasks[[#This Row],[Task Name]]="","",Tasks[[#This Row],[Finish]])</f>
        <v/>
      </c>
      <c r="AS154" s="67" t="str">
        <f aca="false">IF(Tasks[[#This Row],[Task Name]]="","",IF(Tasks[[#This Row],[_IsSummary]],NETWORKDAYS.INTL(Tasks[[#This Row],[Start]],Tasks[[#This Row],[Finish]],WorkWeek,Holidays),N(Tasks[[#This Row],[Duration]])))</f>
        <v/>
      </c>
      <c r="AT154" s="69" t="str">
        <f aca="false">IF(Tasks[[#This Row],[Task Name]]="","",Tasks[[#This Row],[Work]])</f>
        <v/>
      </c>
      <c r="AU154" s="70" t="str">
        <f aca="false">IF(Tasks[[#This Row],[Task Name]]="","",Tasks[[#This Row],[Cost]])</f>
        <v/>
      </c>
      <c r="AV154" s="7"/>
      <c r="AW154" s="7"/>
      <c r="AX154" s="21"/>
      <c r="AY154" s="72"/>
      <c r="AZ154" s="71"/>
      <c r="BA154" s="70" t="str">
        <f aca="false">IF(Tasks[[#This Row],[Task Name]]="","",IF(Tasks[[#This Row],[_IsSummary]],SUM(INDEX(Tasks[_LeafEV],Tasks[[#This Row],[_Row]]+1):INDEX(Tasks[_LeafEV],Tasks[[#This Row],[_Row]]+Tasks[[#This Row],[_Descendants]])),Tasks[[#This Row],[_LeafEV]]))</f>
        <v/>
      </c>
      <c r="BB154" s="70" t="str">
        <f aca="false">IF(Tasks[[#This Row],[Task Name]]="","",IF(Tasks[[#This Row],[_IsSummary]],SUM(INDEX(Tasks[_LeafBudget],Tasks[[#This Row],[_Row]]+1):INDEX(Tasks[_LeafBudget],Tasks[[#This Row],[_Row]]+Tasks[[#This Row],[_Descendants]])),Tasks[[#This Row],[_LeafBudget]]))</f>
        <v/>
      </c>
      <c r="BC154" s="70" t="str">
        <f aca="false">IF(Tasks[[#This Row],[Task Name]]="","",IF(Tasks[[#This Row],[_IsSummary]],SUM(INDEX(Tasks[_LeafPV],Tasks[[#This Row],[_Row]]+1):INDEX(Tasks[_LeafPV],Tasks[[#This Row],[_Row]]+Tasks[[#This Row],[_Descendants]])),Tasks[[#This Row],[_LeafPV]]))</f>
        <v/>
      </c>
      <c r="BD154" s="70" t="str">
        <f aca="false">IF(Tasks[[#This Row],[Task Name]]="","",IF(Tasks[[#This Row],[_IsSummary]],SUM(INDEX(Tasks[_LeafAC],Tasks[[#This Row],[_Row]]+1):INDEX(Tasks[_LeafAC],Tasks[[#This Row],[_Row]]+Tasks[[#This Row],[_Descendants]])),Tasks[[#This Row],[_LeafAC]]))</f>
        <v/>
      </c>
      <c r="BE154" s="45" t="str">
        <f aca="false">IF(Tasks[[#This Row],[Task Name]]="","",MAX(1,N(Tasks[[#This Row],[Level]])))</f>
        <v/>
      </c>
      <c r="BF154" s="45" t="n">
        <f aca="false">ROW()-ROW(Tasks[[#Headers],[ID]])</f>
        <v>149</v>
      </c>
      <c r="BG154" s="45" t="n">
        <f aca="false">IF(OR(Tasks[[#This Row],[Task Name]]="",Tasks[[#This Row],[_Level]]&lt;=1),0,IFERROR(LOOKUP(2,1/(Tasks[[#Headers],[_Level]]:Tasks[[#This Row],[_Level]]=Tasks[[#This Row],[_Level]]-1),ROW(Tasks[[#Headers],[_Level]]:Tasks[[#This Row],[_Level]])),0))</f>
        <v>0</v>
      </c>
      <c r="BH154" s="45" t="n">
        <f aca="false">IFERROR(N(INDEX(Tasks[_Level],Tasks[[#This Row],[_Row]]+1)),0)</f>
        <v>0</v>
      </c>
      <c r="BI154" s="73" t="b">
        <f aca="false">AND(Tasks[[#This Row],[Task Name]]&lt;&gt;"",Tasks[[#This Row],[_NextLevel]]&gt;Tasks[[#This Row],[_Level]])</f>
        <v>0</v>
      </c>
      <c r="BJ154" s="45" t="n">
        <f aca="false">IF(Tasks[[#This Row],[_IsSummary]],COUNTIF(Tasks[WBS],Tasks[[#This Row],[WBS]]&amp;".*"),0)</f>
        <v>0</v>
      </c>
      <c r="BK154" s="45" t="n">
        <f aca="false">IF(AND(Tasks[[#This Row],[Task Name]]&lt;&gt;"",NOT(Tasks[[#This Row],[_IsSummary]])),1,0)</f>
        <v>0</v>
      </c>
      <c r="BL154" s="45" t="n">
        <f aca="false">IF(N(Tasks[[#This Row],[_Pred1UID]])=0,0,IFERROR(MATCH(Tasks[[#This Row],[_Pred1UID]],Tasks[UID],0),-1))</f>
        <v>0</v>
      </c>
      <c r="BM154" s="45" t="n">
        <f aca="false">IF(N(Tasks[[#This Row],[_Pred2UID]])=0,0,IFERROR(MATCH(Tasks[[#This Row],[_Pred2UID]],Tasks[UID],0),-1))</f>
        <v>0</v>
      </c>
      <c r="BN154" s="45" t="n">
        <f aca="false">IF(N(Tasks[[#This Row],[_Pred3UID]])=0,0,IFERROR(MATCH(Tasks[[#This Row],[_Pred3UID]],Tasks[UID],0),-1))</f>
        <v>0</v>
      </c>
      <c r="BO154" s="45" t="n">
        <f aca="false">IF(N(Tasks[[#This Row],[_Pred4UID]])=0,0,IFERROR(MATCH(Tasks[[#This Row],[_Pred4UID]],Tasks[UID],0),-1))</f>
        <v>0</v>
      </c>
      <c r="BP15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5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54" s="74" t="n">
        <f aca="false">IF(OR(Tasks[[#This Row],[_ConstraintCode]]=2,Tasks[[#This Row],[_ConstraintCode]]=3,Tasks[[#This Row],[_ConstraintCode]]=4,Tasks[[#This Row],[_ConstraintCode]]=6),Tasks[[#This Row],[_ConstraintStart]],0)</f>
        <v>0</v>
      </c>
      <c r="BS154" s="74" t="n">
        <f aca="false">IF(OR(Tasks[[#This Row],[_ConstraintCode]]=2,Tasks[[#This Row],[_ConstraintCode]]=3,Tasks[[#This Row],[_ConstraintCode]]=5,Tasks[[#This Row],[_ConstraintCode]]=7),Tasks[[#This Row],[_ConstraintStart]],2958465)</f>
        <v>2958465</v>
      </c>
      <c r="BT15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54" s="74" t="str">
        <f aca="false">IF(NOT(Tasks[[#This Row],[_IsLeaf]]=1),"",IF(N(Tasks[[#This Row],[Duration]])&lt;=0,Tasks[[#This Row],[_LeafCalcStart]],WORKDAY.INTL(Tasks[[#This Row],[_LeafCalcStart]],Tasks[[#This Row],[Duration]]-1,WorkWeek,Holidays)))</f>
        <v/>
      </c>
      <c r="BV15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5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54" s="45" t="str">
        <f aca="false">IF(Tasks[[#This Row],[Predecessors]]="","",TRIM(MID(SUBSTITUTE(SUBSTITUTE(SUBSTITUTE(UPPER(Tasks[[#This Row],[Predecessors]]),";",",")," ",""),",",REPT(" ",99)),1,99)))</f>
        <v/>
      </c>
      <c r="BY154" s="45" t="str">
        <f aca="false">IF(Tasks[[#This Row],[_Pred1Text]]="","",IFERROR(VALUE(LEFT(Tasks[[#This Row],[_Pred1Text]],MIN(FIND("F",Tasks[[#This Row],[_Pred1Text]]&amp;"F"),FIND("S",Tasks[[#This Row],[_Pred1Text]]&amp;"S"),FIND("+",Tasks[[#This Row],[_Pred1Text]]&amp;"+"),FIND("-",Tasks[[#This Row],[_Pred1Text]]&amp;"-"))-1)),""))</f>
        <v/>
      </c>
      <c r="BZ15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5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54" s="45" t="str">
        <f aca="false">IF(Tasks[[#This Row],[_Pred1Text]]="","",TRIM(MID(SUBSTITUTE(SUBSTITUTE(SUBSTITUTE(UPPER(Tasks[[#This Row],[Predecessors]]),";",",")," ",""),",",REPT(" ",99)),100,99)))</f>
        <v/>
      </c>
      <c r="CC154" s="45" t="str">
        <f aca="false">IF(Tasks[[#This Row],[_Pred2Text]]="","",IFERROR(VALUE(LEFT(Tasks[[#This Row],[_Pred2Text]],MIN(FIND("F",Tasks[[#This Row],[_Pred2Text]]&amp;"F"),FIND("S",Tasks[[#This Row],[_Pred2Text]]&amp;"S"),FIND("+",Tasks[[#This Row],[_Pred2Text]]&amp;"+"),FIND("-",Tasks[[#This Row],[_Pred2Text]]&amp;"-"))-1)),""))</f>
        <v/>
      </c>
      <c r="CD15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5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54" s="45" t="str">
        <f aca="false">IF(Tasks[[#This Row],[_Pred2Text]]="","",TRIM(MID(SUBSTITUTE(SUBSTITUTE(SUBSTITUTE(UPPER(Tasks[[#This Row],[Predecessors]]),";",",")," ",""),",",REPT(" ",99)),199,99)))</f>
        <v/>
      </c>
      <c r="CG154" s="45" t="str">
        <f aca="false">IF(Tasks[[#This Row],[_Pred3Text]]="","",IFERROR(VALUE(LEFT(Tasks[[#This Row],[_Pred3Text]],MIN(FIND("F",Tasks[[#This Row],[_Pred3Text]]&amp;"F"),FIND("S",Tasks[[#This Row],[_Pred3Text]]&amp;"S"),FIND("+",Tasks[[#This Row],[_Pred3Text]]&amp;"+"),FIND("-",Tasks[[#This Row],[_Pred3Text]]&amp;"-"))-1)),""))</f>
        <v/>
      </c>
      <c r="CH15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5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54" s="45" t="str">
        <f aca="false">IF(Tasks[[#This Row],[_Pred3Text]]="","",TRIM(MID(SUBSTITUTE(SUBSTITUTE(SUBSTITUTE(UPPER(Tasks[[#This Row],[Predecessors]]),";",",")," ",""),",",REPT(" ",99)),298,99)))</f>
        <v/>
      </c>
      <c r="CK154" s="45" t="str">
        <f aca="false">IF(Tasks[[#This Row],[_Pred4Text]]="","",IFERROR(VALUE(LEFT(Tasks[[#This Row],[_Pred4Text]],MIN(FIND("F",Tasks[[#This Row],[_Pred4Text]]&amp;"F"),FIND("S",Tasks[[#This Row],[_Pred4Text]]&amp;"S"),FIND("+",Tasks[[#This Row],[_Pred4Text]]&amp;"+"),FIND("-",Tasks[[#This Row],[_Pred4Text]]&amp;"-"))-1)),""))</f>
        <v/>
      </c>
      <c r="CL15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5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54" s="45" t="str">
        <f aca="false">IF(OR(Tasks[[#This Row],[Task Name]]="",Tasks[[#This Row],[Resources]]=""),"",TRIM(MID(SUBSTITUTE(Tasks[[#This Row],[Resources]],",",REPT(" ",99)),1,99)))</f>
        <v/>
      </c>
      <c r="CO154" s="45" t="str">
        <f aca="false">IF(Tasks[[#This Row],[_Res1Text]]="","",TRIM(MID(SUBSTITUTE(Tasks[[#This Row],[Resources]],",",REPT(" ",99)),100,99)))</f>
        <v/>
      </c>
      <c r="CP154" s="45" t="str">
        <f aca="false">IF(Tasks[[#This Row],[_Res2Text]]="","",TRIM(MID(SUBSTITUTE(Tasks[[#This Row],[Resources]],",",REPT(" ",99)),199,99)))</f>
        <v/>
      </c>
      <c r="CQ154" s="45" t="str">
        <f aca="false">IF(Tasks[[#This Row],[_Res3Text]]="","",TRIM(MID(SUBSTITUTE(Tasks[[#This Row],[Resources]],",",REPT(" ",99)),298,99)))</f>
        <v/>
      </c>
      <c r="CR15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5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4" s="45" t="n">
        <f aca="false">IF(NOT(Tasks[[#This Row],[_IsLeaf]]=1),0,(Tasks[[#This Row],[_Resource1]]&lt;&gt;"")+(Tasks[[#This Row],[_Res2]]&lt;&gt;"")+(Tasks[[#This Row],[_Res3]]&lt;&gt;"")+(Tasks[[#This Row],[_Res4]]&lt;&gt;""))</f>
        <v>0</v>
      </c>
      <c r="CU15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5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4" s="45" t="n">
        <f aca="false">IF(OR(NOT(Tasks[[#This Row],[_IsLeaf]]=1),Tasks[[#This Row],[_Res2]]=""),0,IF(ISNA(MATCH(Tasks[[#This Row],[_Res2]],res_Name,0)),0,N(Tasks[[#This Row],[Duration]])*HoursPerDay*IF(Tasks[[#This Row],[_Res2Units]]="",DefaultUnits,Tasks[[#This Row],[_Res2Units]])))</f>
        <v>0</v>
      </c>
      <c r="CX154" s="45" t="n">
        <f aca="false">IF(Tasks[[#This Row],[_Res2Work]]=0,0,Tasks[[#This Row],[_Res2Work]]*IFERROR(INDEX(res_Rate,MATCH(Tasks[[#This Row],[_Res2]],res_Name,0)),0))</f>
        <v>0</v>
      </c>
      <c r="CY154" s="45" t="n">
        <f aca="false">IF(AND(AND(Tasks[[#This Row],[_IsLeaf]]=1,Tasks[[#This Row],[_LeafTotalWork]]&gt;0),Tasks[[#This Row],[_Res2Work]]&gt;0),Tasks[[#This Row],[_Res2Work]]/(Tasks[[#This Row],[_FinishWorkday]]-Tasks[[#This Row],[_StartWorkday]]+1),0)</f>
        <v>0</v>
      </c>
      <c r="CZ154" s="45" t="n">
        <f aca="false">Tasks[[#This Row],[_Res2WorkPerWD]]*MAX(0,Tasks[[#This Row],[_StartWorkday]]-1)</f>
        <v>0</v>
      </c>
      <c r="DA154" s="45" t="n">
        <f aca="false">Tasks[[#This Row],[_Res2Work]]*Tasks[[#This Row],[_LeafProgress]]</f>
        <v>0</v>
      </c>
      <c r="DB154" s="45" t="n">
        <f aca="false">IF(Tasks[[#This Row],[_LeafTotalCost]]=0,0,Tasks[[#This Row],[_LeafAC]]*Tasks[[#This Row],[_Res2Cost]]/Tasks[[#This Row],[_LeafTotalCost]])</f>
        <v>0</v>
      </c>
      <c r="DC15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5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54" s="45" t="n">
        <f aca="false">IF(OR(NOT(Tasks[[#This Row],[_IsLeaf]]=1),Tasks[[#This Row],[_Res3]]=""),0,IF(ISNA(MATCH(Tasks[[#This Row],[_Res3]],res_Name,0)),0,N(Tasks[[#This Row],[Duration]])*HoursPerDay*IF(Tasks[[#This Row],[_Res3Units]]="",DefaultUnits,Tasks[[#This Row],[_Res3Units]])))</f>
        <v>0</v>
      </c>
      <c r="DF154" s="45" t="n">
        <f aca="false">IF(Tasks[[#This Row],[_Res3Work]]=0,0,Tasks[[#This Row],[_Res3Work]]*IFERROR(INDEX(res_Rate,MATCH(Tasks[[#This Row],[_Res3]],res_Name,0)),0))</f>
        <v>0</v>
      </c>
      <c r="DG154" s="45" t="n">
        <f aca="false">IF(AND(AND(Tasks[[#This Row],[_IsLeaf]]=1,Tasks[[#This Row],[_LeafTotalWork]]&gt;0),Tasks[[#This Row],[_Res3Work]]&gt;0),Tasks[[#This Row],[_Res3Work]]/(Tasks[[#This Row],[_FinishWorkday]]-Tasks[[#This Row],[_StartWorkday]]+1),0)</f>
        <v>0</v>
      </c>
      <c r="DH154" s="45" t="n">
        <f aca="false">Tasks[[#This Row],[_Res3WorkPerWD]]*MAX(0,Tasks[[#This Row],[_StartWorkday]]-1)</f>
        <v>0</v>
      </c>
      <c r="DI154" s="45" t="n">
        <f aca="false">Tasks[[#This Row],[_Res3Work]]*Tasks[[#This Row],[_LeafProgress]]</f>
        <v>0</v>
      </c>
      <c r="DJ154" s="45" t="n">
        <f aca="false">IF(Tasks[[#This Row],[_LeafTotalCost]]=0,0,Tasks[[#This Row],[_LeafAC]]*Tasks[[#This Row],[_Res3Cost]]/Tasks[[#This Row],[_LeafTotalCost]])</f>
        <v>0</v>
      </c>
      <c r="DK15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5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54" s="45" t="n">
        <f aca="false">IF(OR(NOT(Tasks[[#This Row],[_IsLeaf]]=1),Tasks[[#This Row],[_Res4]]=""),0,IF(ISNA(MATCH(Tasks[[#This Row],[_Res4]],res_Name,0)),0,N(Tasks[[#This Row],[Duration]])*HoursPerDay*IF(Tasks[[#This Row],[_Res4Units]]="",DefaultUnits,Tasks[[#This Row],[_Res4Units]])))</f>
        <v>0</v>
      </c>
      <c r="DN154" s="45" t="n">
        <f aca="false">IF(Tasks[[#This Row],[_Res4Work]]=0,0,Tasks[[#This Row],[_Res4Work]]*IFERROR(INDEX(res_Rate,MATCH(Tasks[[#This Row],[_Res4]],res_Name,0)),0))</f>
        <v>0</v>
      </c>
      <c r="DO154" s="45" t="n">
        <f aca="false">IF(AND(AND(Tasks[[#This Row],[_IsLeaf]]=1,Tasks[[#This Row],[_LeafTotalWork]]&gt;0),Tasks[[#This Row],[_Res4Work]]&gt;0),Tasks[[#This Row],[_Res4Work]]/(Tasks[[#This Row],[_FinishWorkday]]-Tasks[[#This Row],[_StartWorkday]]+1),0)</f>
        <v>0</v>
      </c>
      <c r="DP154" s="45" t="n">
        <f aca="false">Tasks[[#This Row],[_Res4WorkPerWD]]*MAX(0,Tasks[[#This Row],[_StartWorkday]]-1)</f>
        <v>0</v>
      </c>
      <c r="DQ154" s="45" t="n">
        <f aca="false">Tasks[[#This Row],[_Res4Work]]*Tasks[[#This Row],[_LeafProgress]]</f>
        <v>0</v>
      </c>
      <c r="DR154" s="45" t="n">
        <f aca="false">IF(Tasks[[#This Row],[_LeafTotalCost]]=0,0,Tasks[[#This Row],[_LeafAC]]*Tasks[[#This Row],[_Res4Cost]]/Tasks[[#This Row],[_LeafTotalCost]])</f>
        <v>0</v>
      </c>
      <c r="DS154" s="45" t="n">
        <f aca="false">IF(ISNUMBER(Tasks[[#This Row],[% Complete]]),Tasks[[#This Row],[% Complete]],IF(Tasks[[#This Row],[Stage]]="",0,IFERROR(INDEX(stg_Pct,MATCH(Tasks[[#This Row],[Stage]],stg_Name,0)),0)))</f>
        <v>0</v>
      </c>
      <c r="DT154" s="45" t="n">
        <f aca="false">IF(NOT(Tasks[[#This Row],[_IsLeaf]]=1),0,IF(N(Tasks[[#This Row],[Actual Finish]])&gt;0,1,MIN(1,Tasks[[#This Row],[_Pct]])))</f>
        <v>0</v>
      </c>
      <c r="DU154" s="45" t="n">
        <f aca="false">IF(OR(NOT(Tasks[[#This Row],[_IsLeaf]]=1),Tasks[[#This Row],[_Resource1]]=""),0,IF(ISNA(MATCH(Tasks[[#This Row],[_Resource1]],res_Name,0)),0,N(Tasks[[#This Row],[Duration]])*HoursPerDay*IF(Tasks[[#This Row],[_Units1]]="",DefaultUnits,Tasks[[#This Row],[_Units1]])))</f>
        <v>0</v>
      </c>
      <c r="DV154" s="45" t="n">
        <f aca="false">IF(Tasks[[#This Row],[_LeafWork]]=0,0,Tasks[[#This Row],[_LeafWork]]*IFERROR(INDEX(res_Rate,MATCH(Tasks[[#This Row],[_Resource1]],res_Name,0)),0))</f>
        <v>0</v>
      </c>
      <c r="DW154" s="45" t="n">
        <f aca="false">Tasks[[#This Row],[_LeafWork]]+Tasks[[#This Row],[_Res2Work]]+Tasks[[#This Row],[_Res3Work]]+Tasks[[#This Row],[_Res4Work]]</f>
        <v>0</v>
      </c>
      <c r="DX154" s="45" t="n">
        <f aca="false">Tasks[[#This Row],[_LeafCost]]+Tasks[[#This Row],[_Res2Cost]]+Tasks[[#This Row],[_Res3Cost]]+Tasks[[#This Row],[_Res4Cost]]</f>
        <v>0</v>
      </c>
      <c r="DY154" s="45" t="n">
        <f aca="false">IF(Tasks[[#This Row],[_LeafTotalCost]]=0,Tasks[[#This Row],[_LeafAC]],Tasks[[#This Row],[_LeafAC]]*Tasks[[#This Row],[_LeafCost]]/Tasks[[#This Row],[_LeafTotalCost]])</f>
        <v>0</v>
      </c>
      <c r="DZ15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5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5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5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5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5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5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5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54" s="45" t="n">
        <f aca="false">IF(NOT(Tasks[[#This Row],[_IsLeaf]]=1),0,MAX(_xlfn.MAXIFS(Tasks[_Row],Tasks[_Pred1UID],Tasks[[#This Row],[UID]]),_xlfn.MAXIFS(Tasks[_Row],Tasks[_Pred2UID],Tasks[[#This Row],[UID]]),_xlfn.MAXIFS(Tasks[_Row],Tasks[_Pred3UID],Tasks[[#This Row],[UID]]),_xlfn.MAXIFS(Tasks[_Row],Tasks[_Pred4UID],Tasks[[#This Row],[UID]])))</f>
        <v>0</v>
      </c>
      <c r="EI15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5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54" s="74" t="str">
        <f aca="false">IF(NOT(Tasks[[#This Row],[_IsLeaf]]=1),"",IF(N(Tasks[[#This Row],[Duration]])&lt;=0,Tasks[[#This Row],[_LeafLateFinish]],WORKDAY.INTL(Tasks[[#This Row],[_LeafLateFinish]],-(Tasks[[#This Row],[Duration]]-1),WorkWeek,Holidays)))</f>
        <v/>
      </c>
      <c r="EL15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54" s="73" t="b">
        <f aca="false">AND(Tasks[[#This Row],[_IsLeaf]]=1,Tasks[[#This Row],[_LeafProgress]]&lt;1,N(Tasks[[#This Row],[_LeafTotalSlack]])&lt;=CriticalSlackDays)</f>
        <v>0</v>
      </c>
      <c r="EN154" s="45" t="n">
        <f aca="false">IF(AND(Tasks[[#This Row],[_IsLeaf]]=1,Tasks[[#This Row],[_ConstraintCode]]=1,Tasks[[#This Row],[Mode]]&lt;&gt;"Manual",N(Tasks[[#This Row],[Actual Start]])=0),MAX(0,N(Tasks[[#This Row],[Free Slack]])),0)</f>
        <v>0</v>
      </c>
      <c r="EO154" s="74" t="str">
        <f aca="false">IF(NOT(Tasks[[#This Row],[_IsLeaf]]=1),"",IF(Tasks[[#This Row],[_AlapShift]]=0,Tasks[[#This Row],[_LeafCalcStart]],WORKDAY.INTL(Tasks[[#This Row],[_LeafCalcStart]],Tasks[[#This Row],[_AlapShift]],WorkWeek,Holidays)))</f>
        <v/>
      </c>
      <c r="EP154" s="74" t="str">
        <f aca="false">IF(NOT(Tasks[[#This Row],[_IsLeaf]]=1),"",IF(Tasks[[#This Row],[_AlapShift]]=0,Tasks[[#This Row],[_LeafCalcFinish]],WORKDAY.INTL(Tasks[[#This Row],[_LeafCalcFinish]],Tasks[[#This Row],[_AlapShift]],WorkWeek,Holidays)))</f>
        <v/>
      </c>
      <c r="EQ154" s="74" t="str">
        <f aca="false">IF(NOT(Tasks[[#This Row],[_IsLeaf]]=1),"",IF(Tasks[[#This Row],[_AlapShift]]=0,Tasks[[#This Row],[_LeafFcstStart]],WORKDAY.INTL(Tasks[[#This Row],[_LeafFcstStart]],Tasks[[#This Row],[_AlapShift]],WorkWeek,Holidays)))</f>
        <v/>
      </c>
      <c r="ER154" s="74" t="str">
        <f aca="false">IF(NOT(Tasks[[#This Row],[_IsLeaf]]=1),"",IF(Tasks[[#This Row],[_AlapShift]]=0,Tasks[[#This Row],[_LeafFcstFinish]],WORKDAY.INTL(Tasks[[#This Row],[_LeafFcstFinish]],Tasks[[#This Row],[_AlapShift]],WorkWeek,Holidays)))</f>
        <v/>
      </c>
      <c r="ES154" s="74" t="str">
        <f aca="false">IF(Tasks[[#This Row],[Task Name]]="","",IF(Tasks[[#This Row],[_IsSummary]],MIN(INDEX(Tasks[_ShownCalcStart],Tasks[[#This Row],[_Row]]+1):INDEX(Tasks[_ShownCalcStart],Tasks[[#This Row],[_Row]]+Tasks[[#This Row],[_Descendants]])),Tasks[[#This Row],[_ShownCalcStart]]))</f>
        <v/>
      </c>
      <c r="ET154" s="74" t="str">
        <f aca="false">IF(Tasks[[#This Row],[Task Name]]="","",IF(Tasks[[#This Row],[_IsSummary]],MAX(INDEX(Tasks[_ShownCalcFinish],Tasks[[#This Row],[_Row]]+1):INDEX(Tasks[_ShownCalcFinish],Tasks[[#This Row],[_Row]]+Tasks[[#This Row],[_Descendants]])),Tasks[[#This Row],[_ShownCalcFinish]]))</f>
        <v/>
      </c>
      <c r="EU15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5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5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5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5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5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5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5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5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5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5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5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54" s="45" t="n">
        <f aca="false">IF(AND(Tasks[[#This Row],[_IsLeaf]]=1,Tasks[[#This Row],[_LeafTotalWork]]&gt;0),NETWORKDAYS.INTL(ProjectStart,Tasks[[#This Row],[_ShownFcstStart]],WorkWeek,Holidays),0)</f>
        <v>0</v>
      </c>
      <c r="FH154" s="45" t="n">
        <f aca="false">IF(AND(Tasks[[#This Row],[_IsLeaf]]=1,Tasks[[#This Row],[_LeafTotalWork]]&gt;0),MAX(Tasks[[#This Row],[_StartWorkday]],NETWORKDAYS.INTL(ProjectStart,Tasks[[#This Row],[_ShownFcstFinish]],WorkWeek,Holidays)),0)</f>
        <v>0</v>
      </c>
      <c r="FI154" s="45" t="n">
        <f aca="false">IF(AND(Tasks[[#This Row],[_IsLeaf]]=1,Tasks[[#This Row],[_LeafTotalWork]]&gt;0),Tasks[[#This Row],[_LeafWork]]/(Tasks[[#This Row],[_FinishWorkday]]-Tasks[[#This Row],[_StartWorkday]]+1),0)</f>
        <v>0</v>
      </c>
      <c r="FJ154" s="45" t="n">
        <f aca="false">Tasks[[#This Row],[_WorkPerWorkday]]*(Tasks[[#This Row],[_StartWorkday]]-1)</f>
        <v>-0</v>
      </c>
      <c r="FK154" s="45" t="n">
        <f aca="false">IF(Tasks[[#This Row],[_IsLeaf]]=1,MAX(N(Tasks[[#This Row],[Duration]]),0.1),0)</f>
        <v>0</v>
      </c>
      <c r="FL154" s="45" t="n">
        <f aca="false">Tasks[[#This Row],[_WeightDur]]*Tasks[[#This Row],[_LeafProgress]]</f>
        <v>0</v>
      </c>
      <c r="FM15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54" s="45" t="str">
        <f aca="false">IF(AND(Tasks[[#This Row],[_IsLeaf]]=1,N(Tasks[[#This Row],[Duration]])=0,Tasks[[#This Row],[_LeafProgress]]&lt;1),Tasks[[#This Row],[_ShownFcstFinish]]+Tasks[[#This Row],[_Row]]/100000,"")</f>
        <v/>
      </c>
      <c r="FO15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54" s="45" t="n">
        <f aca="false">IF(NOT(Tasks[[#This Row],[_IsLeaf]]=1),0,IF(Tasks[[#This Row],[Baseline Cost]]="",Tasks[[#This Row],[_LeafTotalCost]],N(Tasks[[#This Row],[Baseline Cost]])))</f>
        <v>0</v>
      </c>
      <c r="FQ154" s="45" t="n">
        <f aca="false">Tasks[[#This Row],[_LeafBudget]]*Tasks[[#This Row],[_PlannedPct]]</f>
        <v>0</v>
      </c>
      <c r="FR154" s="45" t="n">
        <f aca="false">Tasks[[#This Row],[_LeafBudget]]*Tasks[[#This Row],[_LeafProgress]]</f>
        <v>0</v>
      </c>
      <c r="FS154" s="45" t="n">
        <f aca="false">IF(NOT(Tasks[[#This Row],[_IsLeaf]]=1),0,IF(Tasks[[#This Row],[Actual Cost]]="",Tasks[[#This Row],[_LeafTotalCost]]*Tasks[[#This Row],[_LeafProgress]],N(Tasks[[#This Row],[Actual Cost]])))</f>
        <v>0</v>
      </c>
      <c r="FT154" s="45" t="str">
        <f aca="false">IF(Tasks[[#This Row],[Task Name]]="","",LEFT(Tasks[[#This Row],[WBS]],FIND(".",Tasks[[#This Row],[WBS]]&amp;".")-1))</f>
        <v/>
      </c>
      <c r="FU154" s="45" t="str">
        <f aca="false">IF(AND(Tasks[[#This Row],[Task Name]]&lt;&gt;"",Tasks[[#This Row],[_Level]]=1),Tasks[[#This Row],[_Row]],"")</f>
        <v/>
      </c>
      <c r="FV154" s="45" t="str">
        <f aca="false">IF(AND(Tasks[[#This Row],[_IsLeaf]]=1,N(Tasks[[#This Row],[Duration]])=0),Tasks[[#This Row],[Planned Finish]]+Tasks[[#This Row],[_Row]]/100000,"")</f>
        <v/>
      </c>
      <c r="FW154" s="45" t="str">
        <f aca="false">IF(AND(Tasks[[#This Row],[_IsLeaf]]=1,Tasks[[#This Row],[_LeafProgress]]&lt;1,OR(N(Tasks[[#This Row],[Finish Var]])&gt;0,Tasks[[#This Row],[Status]]="Late Start")),MAX(0,Tasks[[#This Row],[Finish Var]])+1-Tasks[[#This Row],[_Row]]/1000000,"")</f>
        <v/>
      </c>
      <c r="FX154" s="45" t="str">
        <f aca="false">IF(AND(Tasks[[#This Row],[_IsLeaf]]=1,N(Tasks[[#This Row],[Actual Start]])=0,Tasks[[#This Row],[_ShownFcstStart]]&gt;=StatusDate,Tasks[[#This Row],[_ShownFcstStart]]&lt;=LookaheadEnd),Tasks[[#This Row],[_ShownFcstStart]]+Tasks[[#This Row],[_Row]]/100000,"")</f>
        <v/>
      </c>
      <c r="FY154" s="45" t="str">
        <f aca="false">IF(AND(Tasks[[#This Row],[_IsLeaf]]=1,Tasks[[#This Row],[_LeafProgress]]&lt;1,Tasks[[#This Row],[_ShownFcstFinish]]&gt;=StatusDate,Tasks[[#This Row],[_ShownFcstFinish]]&lt;=LookaheadEnd),Tasks[[#This Row],[_ShownFcstFinish]]+Tasks[[#This Row],[_Row]]/100000,"")</f>
        <v/>
      </c>
      <c r="FZ154" s="45" t="str">
        <f aca="false">IF(Tasks[[#This Row],[_LeafCritical]],Tasks[[#This Row],[_ShownFcstStart]]+Tasks[[#This Row],[_Row]]/100000,"")</f>
        <v/>
      </c>
      <c r="GA154" s="45" t="n">
        <f aca="false">Tasks[[#This Row],[_LeafWork]]*Tasks[[#This Row],[_LeafProgress]]</f>
        <v>0</v>
      </c>
      <c r="GB154" s="74" t="str">
        <f aca="false">IF(AND(Tasks[[#This Row],[_IsLeaf]]=1,Tasks[[#This Row],[_LeafProgress]]&gt;=1),IF(N(Tasks[[#This Row],[Actual Finish]])&gt;0,Tasks[[#This Row],[Actual Finish]],Tasks[[#This Row],[_ShownFcstFinish]]),"")</f>
        <v/>
      </c>
    </row>
    <row r="155" customFormat="false" ht="15" hidden="false" customHeight="false" outlineLevel="0" collapsed="false">
      <c r="A155" s="67" t="str">
        <f aca="false">IF(Tasks[[#This Row],[Task Name]]="","",COUNTA(Tasks[[#Headers],[Task Name]]:Tasks[[#This Row],[Task Name]])-1)</f>
        <v/>
      </c>
      <c r="B155" s="21" t="n">
        <v>150</v>
      </c>
      <c r="C15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21"/>
      <c r="E155" s="22"/>
      <c r="F155" s="21"/>
      <c r="G155" s="22"/>
      <c r="H155" s="22"/>
      <c r="I155" s="22"/>
      <c r="J155" s="7"/>
      <c r="K155" s="7"/>
      <c r="L155" s="22"/>
      <c r="M155" s="58" t="str">
        <f aca="false">IF(Tasks[[#This Row],[Task Name]]="","",IF(Tasks[[#This Row],[_IsSummary]],MIN(INDEX(Tasks[_ShownFcstStart],Tasks[[#This Row],[_Row]]+1):INDEX(Tasks[_ShownFcstStart],Tasks[[#This Row],[_Row]]+Tasks[[#This Row],[_Descendants]])),Tasks[[#This Row],[_ShownFcstStart]]))</f>
        <v/>
      </c>
      <c r="N155" s="58" t="str">
        <f aca="false">IF(Tasks[[#This Row],[Task Name]]="","",IF(Tasks[[#This Row],[_IsSummary]],MAX(INDEX(Tasks[_ShownFcstFinish],Tasks[[#This Row],[_Row]]+1):INDEX(Tasks[_ShownFcstFinish],Tasks[[#This Row],[_Row]]+Tasks[[#This Row],[_Descendants]])),Tasks[[#This Row],[_ShownFcstFinish]]))</f>
        <v/>
      </c>
      <c r="O155" s="20" t="str">
        <f aca="false">IF(Tasks[[#This Row],[Task Name]]="","",IF(Tasks[[#This Row],[Progress]]&gt;=1,"Complete",IF(OR(N(Tasks[[#This Row],[Actual Start]])&gt;0,Tasks[[#This Row],[Progress]]&gt;0),IF(Tasks[[#This Row],[Finish Var]]&gt;0,"Behind","In Progress"),IF(Tasks[[#This Row],[Planned Start]]&lt;StatusDate,"Late Start","Not Started"))))</f>
        <v/>
      </c>
      <c r="P155" s="20" t="str">
        <f aca="false">IF(Tasks[[#This Row],[Task Name]]="","",IF(IF(Tasks[[#This Row],[_IsSummary]],COUNTIF(INDEX(Tasks[_LeafCritical],Tasks[[#This Row],[_Row]]+1):INDEX(Tasks[_LeafCritical],Tasks[[#This Row],[_Row]]+Tasks[[#This Row],[_Descendants]]),TRUE())&gt;0,Tasks[[#This Row],[_LeafCritical]]),"Yes",""))</f>
        <v/>
      </c>
      <c r="Q15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55" s="67" t="str">
        <f aca="false">IF(Tasks[[#This Row],[Task Name]]="","",IF(Tasks[[#This Row],[_Level]]&lt;=OutlineShowLevel,"Yes","No"))</f>
        <v/>
      </c>
      <c r="S155" s="7"/>
      <c r="T155" s="21"/>
      <c r="U155" s="22"/>
      <c r="V155" s="7"/>
      <c r="W155" s="67" t="str">
        <f aca="false">IF(Tasks[[#This Row],[Task Name]]="","",IF(Tasks[[#This Row],[Finish]]&gt;=Tasks[[#This Row],[Planned Finish]],NETWORKDAYS.INTL(Tasks[[#This Row],[Planned Finish]],Tasks[[#This Row],[Finish]],WorkWeek,Holidays)-1,1-NETWORKDAYS.INTL(Tasks[[#This Row],[Finish]],Tasks[[#This Row],[Planned Finish]],WorkWeek,Holidays)))</f>
        <v/>
      </c>
      <c r="X155" s="58" t="str">
        <f aca="false">IF(Tasks[[#This Row],[Task Name]]="","",IF(N(Tasks[[#This Row],[Baseline Start]])&gt;0,Tasks[[#This Row],[Baseline Start]],Tasks[[#This Row],[_CalcStart]]))</f>
        <v/>
      </c>
      <c r="Y155" s="58" t="str">
        <f aca="false">IF(Tasks[[#This Row],[Task Name]]="","",IF(N(Tasks[[#This Row],[Baseline Finish]])&gt;0,Tasks[[#This Row],[Baseline Finish]],Tasks[[#This Row],[_CalcFinish]]))</f>
        <v/>
      </c>
      <c r="Z155" s="67" t="str">
        <f aca="false">IF(Tasks[[#This Row],[Task Name]]="","",IF(Tasks[[#This Row],[Start]]&gt;=Tasks[[#This Row],[Planned Start]],NETWORKDAYS.INTL(Tasks[[#This Row],[Planned Start]],Tasks[[#This Row],[Start]],WorkWeek,Holidays)-1,1-NETWORKDAYS.INTL(Tasks[[#This Row],[Start]],Tasks[[#This Row],[Planned Start]],WorkWeek,Holidays)))</f>
        <v/>
      </c>
      <c r="AA155" s="58" t="str">
        <f aca="false">IF(Tasks[[#This Row],[Task Name]]="","",IF(Tasks[[#This Row],[_IsSummary]],MIN(INDEX(Tasks[_LeafLateStart],Tasks[[#This Row],[_Row]]+1):INDEX(Tasks[_LeafLateStart],Tasks[[#This Row],[_Row]]+Tasks[[#This Row],[_Descendants]])),Tasks[[#This Row],[_LeafLateStart]]))</f>
        <v/>
      </c>
      <c r="AB155" s="58" t="str">
        <f aca="false">IF(Tasks[[#This Row],[Task Name]]="","",IF(Tasks[[#This Row],[_IsSummary]],MAX(INDEX(Tasks[_LeafLateFinish],Tasks[[#This Row],[_Row]]+1):INDEX(Tasks[_LeafLateFinish],Tasks[[#This Row],[_Row]]+Tasks[[#This Row],[_Descendants]])),Tasks[[#This Row],[_LeafLateFinish]]))</f>
        <v/>
      </c>
      <c r="AC155" s="67" t="str">
        <f aca="false">IF(Tasks[[#This Row],[Task Name]]="","",IF(Tasks[[#This Row],[_IsSummary]],MIN(INDEX(Tasks[_LeafTotalSlack],Tasks[[#This Row],[_Row]]+1):INDEX(Tasks[_LeafTotalSlack],Tasks[[#This Row],[_Row]]+Tasks[[#This Row],[_Descendants]])),Tasks[[#This Row],[_LeafTotalSlack]]))</f>
        <v/>
      </c>
      <c r="AD15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5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5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55" s="60"/>
      <c r="AH15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5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55" s="69" t="str">
        <f aca="false">IF(Tasks[[#This Row],[Task Name]]="","",IF(Tasks[[#This Row],[_IsSummary]],SUM(INDEX(Tasks[_LeafTotalWork],Tasks[[#This Row],[_Row]]+1):INDEX(Tasks[_LeafTotalWork],Tasks[[#This Row],[_Row]]+Tasks[[#This Row],[_Descendants]])),Tasks[[#This Row],[_LeafTotalWork]]))</f>
        <v/>
      </c>
      <c r="AK15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55" s="70" t="str">
        <f aca="false">IF(Tasks[[#This Row],[Task Name]]="","",IF(Tasks[[#This Row],[_IsSummary]],SUM(INDEX(Tasks[_LeafTotalCost],Tasks[[#This Row],[_Row]]+1):INDEX(Tasks[_LeafTotalCost],Tasks[[#This Row],[_Row]]+Tasks[[#This Row],[_Descendants]])),Tasks[[#This Row],[_LeafTotalCost]]))</f>
        <v/>
      </c>
      <c r="AM155" s="71"/>
      <c r="AN155" s="20" t="str">
        <f aca="false">IF(OR(Tasks[[#This Row],[Task Name]]="",Tasks[[#This Row],[Baseline Duration]]=""),"",Tasks[[#This Row],[BL Source Duration]]-N(Tasks[[#This Row],[Baseline Duration]]))</f>
        <v/>
      </c>
      <c r="AO155" s="69" t="str">
        <f aca="false">IF(OR(Tasks[[#This Row],[Task Name]]="",Tasks[[#This Row],[Baseline Work]]=""),"",Tasks[[#This Row],[Work]]-N(Tasks[[#This Row],[Baseline Work]]))</f>
        <v/>
      </c>
      <c r="AP155" s="70" t="str">
        <f aca="false">IF(OR(Tasks[[#This Row],[Task Name]]="",Tasks[[#This Row],[Baseline Cost]]=""),"",Tasks[[#This Row],[Cost]]-N(Tasks[[#This Row],[Baseline Cost]]))</f>
        <v/>
      </c>
      <c r="AQ155" s="58" t="str">
        <f aca="false">IF(Tasks[[#This Row],[Task Name]]="","",Tasks[[#This Row],[Start]])</f>
        <v/>
      </c>
      <c r="AR155" s="58" t="str">
        <f aca="false">IF(Tasks[[#This Row],[Task Name]]="","",Tasks[[#This Row],[Finish]])</f>
        <v/>
      </c>
      <c r="AS155" s="67" t="str">
        <f aca="false">IF(Tasks[[#This Row],[Task Name]]="","",IF(Tasks[[#This Row],[_IsSummary]],NETWORKDAYS.INTL(Tasks[[#This Row],[Start]],Tasks[[#This Row],[Finish]],WorkWeek,Holidays),N(Tasks[[#This Row],[Duration]])))</f>
        <v/>
      </c>
      <c r="AT155" s="69" t="str">
        <f aca="false">IF(Tasks[[#This Row],[Task Name]]="","",Tasks[[#This Row],[Work]])</f>
        <v/>
      </c>
      <c r="AU155" s="70" t="str">
        <f aca="false">IF(Tasks[[#This Row],[Task Name]]="","",Tasks[[#This Row],[Cost]])</f>
        <v/>
      </c>
      <c r="AV155" s="7"/>
      <c r="AW155" s="7"/>
      <c r="AX155" s="21"/>
      <c r="AY155" s="72"/>
      <c r="AZ155" s="71"/>
      <c r="BA155" s="70" t="str">
        <f aca="false">IF(Tasks[[#This Row],[Task Name]]="","",IF(Tasks[[#This Row],[_IsSummary]],SUM(INDEX(Tasks[_LeafEV],Tasks[[#This Row],[_Row]]+1):INDEX(Tasks[_LeafEV],Tasks[[#This Row],[_Row]]+Tasks[[#This Row],[_Descendants]])),Tasks[[#This Row],[_LeafEV]]))</f>
        <v/>
      </c>
      <c r="BB155" s="70" t="str">
        <f aca="false">IF(Tasks[[#This Row],[Task Name]]="","",IF(Tasks[[#This Row],[_IsSummary]],SUM(INDEX(Tasks[_LeafBudget],Tasks[[#This Row],[_Row]]+1):INDEX(Tasks[_LeafBudget],Tasks[[#This Row],[_Row]]+Tasks[[#This Row],[_Descendants]])),Tasks[[#This Row],[_LeafBudget]]))</f>
        <v/>
      </c>
      <c r="BC155" s="70" t="str">
        <f aca="false">IF(Tasks[[#This Row],[Task Name]]="","",IF(Tasks[[#This Row],[_IsSummary]],SUM(INDEX(Tasks[_LeafPV],Tasks[[#This Row],[_Row]]+1):INDEX(Tasks[_LeafPV],Tasks[[#This Row],[_Row]]+Tasks[[#This Row],[_Descendants]])),Tasks[[#This Row],[_LeafPV]]))</f>
        <v/>
      </c>
      <c r="BD155" s="70" t="str">
        <f aca="false">IF(Tasks[[#This Row],[Task Name]]="","",IF(Tasks[[#This Row],[_IsSummary]],SUM(INDEX(Tasks[_LeafAC],Tasks[[#This Row],[_Row]]+1):INDEX(Tasks[_LeafAC],Tasks[[#This Row],[_Row]]+Tasks[[#This Row],[_Descendants]])),Tasks[[#This Row],[_LeafAC]]))</f>
        <v/>
      </c>
      <c r="BE155" s="45" t="str">
        <f aca="false">IF(Tasks[[#This Row],[Task Name]]="","",MAX(1,N(Tasks[[#This Row],[Level]])))</f>
        <v/>
      </c>
      <c r="BF155" s="45" t="n">
        <f aca="false">ROW()-ROW(Tasks[[#Headers],[ID]])</f>
        <v>150</v>
      </c>
      <c r="BG155" s="45" t="n">
        <f aca="false">IF(OR(Tasks[[#This Row],[Task Name]]="",Tasks[[#This Row],[_Level]]&lt;=1),0,IFERROR(LOOKUP(2,1/(Tasks[[#Headers],[_Level]]:Tasks[[#This Row],[_Level]]=Tasks[[#This Row],[_Level]]-1),ROW(Tasks[[#Headers],[_Level]]:Tasks[[#This Row],[_Level]])),0))</f>
        <v>0</v>
      </c>
      <c r="BH155" s="45" t="n">
        <f aca="false">IFERROR(N(INDEX(Tasks[_Level],Tasks[[#This Row],[_Row]]+1)),0)</f>
        <v>0</v>
      </c>
      <c r="BI155" s="73" t="b">
        <f aca="false">AND(Tasks[[#This Row],[Task Name]]&lt;&gt;"",Tasks[[#This Row],[_NextLevel]]&gt;Tasks[[#This Row],[_Level]])</f>
        <v>0</v>
      </c>
      <c r="BJ155" s="45" t="n">
        <f aca="false">IF(Tasks[[#This Row],[_IsSummary]],COUNTIF(Tasks[WBS],Tasks[[#This Row],[WBS]]&amp;".*"),0)</f>
        <v>0</v>
      </c>
      <c r="BK155" s="45" t="n">
        <f aca="false">IF(AND(Tasks[[#This Row],[Task Name]]&lt;&gt;"",NOT(Tasks[[#This Row],[_IsSummary]])),1,0)</f>
        <v>0</v>
      </c>
      <c r="BL155" s="45" t="n">
        <f aca="false">IF(N(Tasks[[#This Row],[_Pred1UID]])=0,0,IFERROR(MATCH(Tasks[[#This Row],[_Pred1UID]],Tasks[UID],0),-1))</f>
        <v>0</v>
      </c>
      <c r="BM155" s="45" t="n">
        <f aca="false">IF(N(Tasks[[#This Row],[_Pred2UID]])=0,0,IFERROR(MATCH(Tasks[[#This Row],[_Pred2UID]],Tasks[UID],0),-1))</f>
        <v>0</v>
      </c>
      <c r="BN155" s="45" t="n">
        <f aca="false">IF(N(Tasks[[#This Row],[_Pred3UID]])=0,0,IFERROR(MATCH(Tasks[[#This Row],[_Pred3UID]],Tasks[UID],0),-1))</f>
        <v>0</v>
      </c>
      <c r="BO155" s="45" t="n">
        <f aca="false">IF(N(Tasks[[#This Row],[_Pred4UID]])=0,0,IFERROR(MATCH(Tasks[[#This Row],[_Pred4UID]],Tasks[UID],0),-1))</f>
        <v>0</v>
      </c>
      <c r="BP15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5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55" s="74" t="n">
        <f aca="false">IF(OR(Tasks[[#This Row],[_ConstraintCode]]=2,Tasks[[#This Row],[_ConstraintCode]]=3,Tasks[[#This Row],[_ConstraintCode]]=4,Tasks[[#This Row],[_ConstraintCode]]=6),Tasks[[#This Row],[_ConstraintStart]],0)</f>
        <v>0</v>
      </c>
      <c r="BS155" s="74" t="n">
        <f aca="false">IF(OR(Tasks[[#This Row],[_ConstraintCode]]=2,Tasks[[#This Row],[_ConstraintCode]]=3,Tasks[[#This Row],[_ConstraintCode]]=5,Tasks[[#This Row],[_ConstraintCode]]=7),Tasks[[#This Row],[_ConstraintStart]],2958465)</f>
        <v>2958465</v>
      </c>
      <c r="BT15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55" s="74" t="str">
        <f aca="false">IF(NOT(Tasks[[#This Row],[_IsLeaf]]=1),"",IF(N(Tasks[[#This Row],[Duration]])&lt;=0,Tasks[[#This Row],[_LeafCalcStart]],WORKDAY.INTL(Tasks[[#This Row],[_LeafCalcStart]],Tasks[[#This Row],[Duration]]-1,WorkWeek,Holidays)))</f>
        <v/>
      </c>
      <c r="BV15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5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55" s="45" t="str">
        <f aca="false">IF(Tasks[[#This Row],[Predecessors]]="","",TRIM(MID(SUBSTITUTE(SUBSTITUTE(SUBSTITUTE(UPPER(Tasks[[#This Row],[Predecessors]]),";",",")," ",""),",",REPT(" ",99)),1,99)))</f>
        <v/>
      </c>
      <c r="BY155" s="45" t="str">
        <f aca="false">IF(Tasks[[#This Row],[_Pred1Text]]="","",IFERROR(VALUE(LEFT(Tasks[[#This Row],[_Pred1Text]],MIN(FIND("F",Tasks[[#This Row],[_Pred1Text]]&amp;"F"),FIND("S",Tasks[[#This Row],[_Pred1Text]]&amp;"S"),FIND("+",Tasks[[#This Row],[_Pred1Text]]&amp;"+"),FIND("-",Tasks[[#This Row],[_Pred1Text]]&amp;"-"))-1)),""))</f>
        <v/>
      </c>
      <c r="BZ15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5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55" s="45" t="str">
        <f aca="false">IF(Tasks[[#This Row],[_Pred1Text]]="","",TRIM(MID(SUBSTITUTE(SUBSTITUTE(SUBSTITUTE(UPPER(Tasks[[#This Row],[Predecessors]]),";",",")," ",""),",",REPT(" ",99)),100,99)))</f>
        <v/>
      </c>
      <c r="CC155" s="45" t="str">
        <f aca="false">IF(Tasks[[#This Row],[_Pred2Text]]="","",IFERROR(VALUE(LEFT(Tasks[[#This Row],[_Pred2Text]],MIN(FIND("F",Tasks[[#This Row],[_Pred2Text]]&amp;"F"),FIND("S",Tasks[[#This Row],[_Pred2Text]]&amp;"S"),FIND("+",Tasks[[#This Row],[_Pred2Text]]&amp;"+"),FIND("-",Tasks[[#This Row],[_Pred2Text]]&amp;"-"))-1)),""))</f>
        <v/>
      </c>
      <c r="CD15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5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55" s="45" t="str">
        <f aca="false">IF(Tasks[[#This Row],[_Pred2Text]]="","",TRIM(MID(SUBSTITUTE(SUBSTITUTE(SUBSTITUTE(UPPER(Tasks[[#This Row],[Predecessors]]),";",",")," ",""),",",REPT(" ",99)),199,99)))</f>
        <v/>
      </c>
      <c r="CG155" s="45" t="str">
        <f aca="false">IF(Tasks[[#This Row],[_Pred3Text]]="","",IFERROR(VALUE(LEFT(Tasks[[#This Row],[_Pred3Text]],MIN(FIND("F",Tasks[[#This Row],[_Pred3Text]]&amp;"F"),FIND("S",Tasks[[#This Row],[_Pred3Text]]&amp;"S"),FIND("+",Tasks[[#This Row],[_Pred3Text]]&amp;"+"),FIND("-",Tasks[[#This Row],[_Pred3Text]]&amp;"-"))-1)),""))</f>
        <v/>
      </c>
      <c r="CH15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5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55" s="45" t="str">
        <f aca="false">IF(Tasks[[#This Row],[_Pred3Text]]="","",TRIM(MID(SUBSTITUTE(SUBSTITUTE(SUBSTITUTE(UPPER(Tasks[[#This Row],[Predecessors]]),";",",")," ",""),",",REPT(" ",99)),298,99)))</f>
        <v/>
      </c>
      <c r="CK155" s="45" t="str">
        <f aca="false">IF(Tasks[[#This Row],[_Pred4Text]]="","",IFERROR(VALUE(LEFT(Tasks[[#This Row],[_Pred4Text]],MIN(FIND("F",Tasks[[#This Row],[_Pred4Text]]&amp;"F"),FIND("S",Tasks[[#This Row],[_Pred4Text]]&amp;"S"),FIND("+",Tasks[[#This Row],[_Pred4Text]]&amp;"+"),FIND("-",Tasks[[#This Row],[_Pred4Text]]&amp;"-"))-1)),""))</f>
        <v/>
      </c>
      <c r="CL15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5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55" s="45" t="str">
        <f aca="false">IF(OR(Tasks[[#This Row],[Task Name]]="",Tasks[[#This Row],[Resources]]=""),"",TRIM(MID(SUBSTITUTE(Tasks[[#This Row],[Resources]],",",REPT(" ",99)),1,99)))</f>
        <v/>
      </c>
      <c r="CO155" s="45" t="str">
        <f aca="false">IF(Tasks[[#This Row],[_Res1Text]]="","",TRIM(MID(SUBSTITUTE(Tasks[[#This Row],[Resources]],",",REPT(" ",99)),100,99)))</f>
        <v/>
      </c>
      <c r="CP155" s="45" t="str">
        <f aca="false">IF(Tasks[[#This Row],[_Res2Text]]="","",TRIM(MID(SUBSTITUTE(Tasks[[#This Row],[Resources]],",",REPT(" ",99)),199,99)))</f>
        <v/>
      </c>
      <c r="CQ155" s="45" t="str">
        <f aca="false">IF(Tasks[[#This Row],[_Res3Text]]="","",TRIM(MID(SUBSTITUTE(Tasks[[#This Row],[Resources]],",",REPT(" ",99)),298,99)))</f>
        <v/>
      </c>
      <c r="CR15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5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5" s="45" t="n">
        <f aca="false">IF(NOT(Tasks[[#This Row],[_IsLeaf]]=1),0,(Tasks[[#This Row],[_Resource1]]&lt;&gt;"")+(Tasks[[#This Row],[_Res2]]&lt;&gt;"")+(Tasks[[#This Row],[_Res3]]&lt;&gt;"")+(Tasks[[#This Row],[_Res4]]&lt;&gt;""))</f>
        <v>0</v>
      </c>
      <c r="CU15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5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5" s="45" t="n">
        <f aca="false">IF(OR(NOT(Tasks[[#This Row],[_IsLeaf]]=1),Tasks[[#This Row],[_Res2]]=""),0,IF(ISNA(MATCH(Tasks[[#This Row],[_Res2]],res_Name,0)),0,N(Tasks[[#This Row],[Duration]])*HoursPerDay*IF(Tasks[[#This Row],[_Res2Units]]="",DefaultUnits,Tasks[[#This Row],[_Res2Units]])))</f>
        <v>0</v>
      </c>
      <c r="CX155" s="45" t="n">
        <f aca="false">IF(Tasks[[#This Row],[_Res2Work]]=0,0,Tasks[[#This Row],[_Res2Work]]*IFERROR(INDEX(res_Rate,MATCH(Tasks[[#This Row],[_Res2]],res_Name,0)),0))</f>
        <v>0</v>
      </c>
      <c r="CY155" s="45" t="n">
        <f aca="false">IF(AND(AND(Tasks[[#This Row],[_IsLeaf]]=1,Tasks[[#This Row],[_LeafTotalWork]]&gt;0),Tasks[[#This Row],[_Res2Work]]&gt;0),Tasks[[#This Row],[_Res2Work]]/(Tasks[[#This Row],[_FinishWorkday]]-Tasks[[#This Row],[_StartWorkday]]+1),0)</f>
        <v>0</v>
      </c>
      <c r="CZ155" s="45" t="n">
        <f aca="false">Tasks[[#This Row],[_Res2WorkPerWD]]*MAX(0,Tasks[[#This Row],[_StartWorkday]]-1)</f>
        <v>0</v>
      </c>
      <c r="DA155" s="45" t="n">
        <f aca="false">Tasks[[#This Row],[_Res2Work]]*Tasks[[#This Row],[_LeafProgress]]</f>
        <v>0</v>
      </c>
      <c r="DB155" s="45" t="n">
        <f aca="false">IF(Tasks[[#This Row],[_LeafTotalCost]]=0,0,Tasks[[#This Row],[_LeafAC]]*Tasks[[#This Row],[_Res2Cost]]/Tasks[[#This Row],[_LeafTotalCost]])</f>
        <v>0</v>
      </c>
      <c r="DC15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5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55" s="45" t="n">
        <f aca="false">IF(OR(NOT(Tasks[[#This Row],[_IsLeaf]]=1),Tasks[[#This Row],[_Res3]]=""),0,IF(ISNA(MATCH(Tasks[[#This Row],[_Res3]],res_Name,0)),0,N(Tasks[[#This Row],[Duration]])*HoursPerDay*IF(Tasks[[#This Row],[_Res3Units]]="",DefaultUnits,Tasks[[#This Row],[_Res3Units]])))</f>
        <v>0</v>
      </c>
      <c r="DF155" s="45" t="n">
        <f aca="false">IF(Tasks[[#This Row],[_Res3Work]]=0,0,Tasks[[#This Row],[_Res3Work]]*IFERROR(INDEX(res_Rate,MATCH(Tasks[[#This Row],[_Res3]],res_Name,0)),0))</f>
        <v>0</v>
      </c>
      <c r="DG155" s="45" t="n">
        <f aca="false">IF(AND(AND(Tasks[[#This Row],[_IsLeaf]]=1,Tasks[[#This Row],[_LeafTotalWork]]&gt;0),Tasks[[#This Row],[_Res3Work]]&gt;0),Tasks[[#This Row],[_Res3Work]]/(Tasks[[#This Row],[_FinishWorkday]]-Tasks[[#This Row],[_StartWorkday]]+1),0)</f>
        <v>0</v>
      </c>
      <c r="DH155" s="45" t="n">
        <f aca="false">Tasks[[#This Row],[_Res3WorkPerWD]]*MAX(0,Tasks[[#This Row],[_StartWorkday]]-1)</f>
        <v>0</v>
      </c>
      <c r="DI155" s="45" t="n">
        <f aca="false">Tasks[[#This Row],[_Res3Work]]*Tasks[[#This Row],[_LeafProgress]]</f>
        <v>0</v>
      </c>
      <c r="DJ155" s="45" t="n">
        <f aca="false">IF(Tasks[[#This Row],[_LeafTotalCost]]=0,0,Tasks[[#This Row],[_LeafAC]]*Tasks[[#This Row],[_Res3Cost]]/Tasks[[#This Row],[_LeafTotalCost]])</f>
        <v>0</v>
      </c>
      <c r="DK15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5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55" s="45" t="n">
        <f aca="false">IF(OR(NOT(Tasks[[#This Row],[_IsLeaf]]=1),Tasks[[#This Row],[_Res4]]=""),0,IF(ISNA(MATCH(Tasks[[#This Row],[_Res4]],res_Name,0)),0,N(Tasks[[#This Row],[Duration]])*HoursPerDay*IF(Tasks[[#This Row],[_Res4Units]]="",DefaultUnits,Tasks[[#This Row],[_Res4Units]])))</f>
        <v>0</v>
      </c>
      <c r="DN155" s="45" t="n">
        <f aca="false">IF(Tasks[[#This Row],[_Res4Work]]=0,0,Tasks[[#This Row],[_Res4Work]]*IFERROR(INDEX(res_Rate,MATCH(Tasks[[#This Row],[_Res4]],res_Name,0)),0))</f>
        <v>0</v>
      </c>
      <c r="DO155" s="45" t="n">
        <f aca="false">IF(AND(AND(Tasks[[#This Row],[_IsLeaf]]=1,Tasks[[#This Row],[_LeafTotalWork]]&gt;0),Tasks[[#This Row],[_Res4Work]]&gt;0),Tasks[[#This Row],[_Res4Work]]/(Tasks[[#This Row],[_FinishWorkday]]-Tasks[[#This Row],[_StartWorkday]]+1),0)</f>
        <v>0</v>
      </c>
      <c r="DP155" s="45" t="n">
        <f aca="false">Tasks[[#This Row],[_Res4WorkPerWD]]*MAX(0,Tasks[[#This Row],[_StartWorkday]]-1)</f>
        <v>0</v>
      </c>
      <c r="DQ155" s="45" t="n">
        <f aca="false">Tasks[[#This Row],[_Res4Work]]*Tasks[[#This Row],[_LeafProgress]]</f>
        <v>0</v>
      </c>
      <c r="DR155" s="45" t="n">
        <f aca="false">IF(Tasks[[#This Row],[_LeafTotalCost]]=0,0,Tasks[[#This Row],[_LeafAC]]*Tasks[[#This Row],[_Res4Cost]]/Tasks[[#This Row],[_LeafTotalCost]])</f>
        <v>0</v>
      </c>
      <c r="DS155" s="45" t="n">
        <f aca="false">IF(ISNUMBER(Tasks[[#This Row],[% Complete]]),Tasks[[#This Row],[% Complete]],IF(Tasks[[#This Row],[Stage]]="",0,IFERROR(INDEX(stg_Pct,MATCH(Tasks[[#This Row],[Stage]],stg_Name,0)),0)))</f>
        <v>0</v>
      </c>
      <c r="DT155" s="45" t="n">
        <f aca="false">IF(NOT(Tasks[[#This Row],[_IsLeaf]]=1),0,IF(N(Tasks[[#This Row],[Actual Finish]])&gt;0,1,MIN(1,Tasks[[#This Row],[_Pct]])))</f>
        <v>0</v>
      </c>
      <c r="DU155" s="45" t="n">
        <f aca="false">IF(OR(NOT(Tasks[[#This Row],[_IsLeaf]]=1),Tasks[[#This Row],[_Resource1]]=""),0,IF(ISNA(MATCH(Tasks[[#This Row],[_Resource1]],res_Name,0)),0,N(Tasks[[#This Row],[Duration]])*HoursPerDay*IF(Tasks[[#This Row],[_Units1]]="",DefaultUnits,Tasks[[#This Row],[_Units1]])))</f>
        <v>0</v>
      </c>
      <c r="DV155" s="45" t="n">
        <f aca="false">IF(Tasks[[#This Row],[_LeafWork]]=0,0,Tasks[[#This Row],[_LeafWork]]*IFERROR(INDEX(res_Rate,MATCH(Tasks[[#This Row],[_Resource1]],res_Name,0)),0))</f>
        <v>0</v>
      </c>
      <c r="DW155" s="45" t="n">
        <f aca="false">Tasks[[#This Row],[_LeafWork]]+Tasks[[#This Row],[_Res2Work]]+Tasks[[#This Row],[_Res3Work]]+Tasks[[#This Row],[_Res4Work]]</f>
        <v>0</v>
      </c>
      <c r="DX155" s="45" t="n">
        <f aca="false">Tasks[[#This Row],[_LeafCost]]+Tasks[[#This Row],[_Res2Cost]]+Tasks[[#This Row],[_Res3Cost]]+Tasks[[#This Row],[_Res4Cost]]</f>
        <v>0</v>
      </c>
      <c r="DY155" s="45" t="n">
        <f aca="false">IF(Tasks[[#This Row],[_LeafTotalCost]]=0,Tasks[[#This Row],[_LeafAC]],Tasks[[#This Row],[_LeafAC]]*Tasks[[#This Row],[_LeafCost]]/Tasks[[#This Row],[_LeafTotalCost]])</f>
        <v>0</v>
      </c>
      <c r="DZ15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5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5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5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5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5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5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5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55" s="45" t="n">
        <f aca="false">IF(NOT(Tasks[[#This Row],[_IsLeaf]]=1),0,MAX(_xlfn.MAXIFS(Tasks[_Row],Tasks[_Pred1UID],Tasks[[#This Row],[UID]]),_xlfn.MAXIFS(Tasks[_Row],Tasks[_Pred2UID],Tasks[[#This Row],[UID]]),_xlfn.MAXIFS(Tasks[_Row],Tasks[_Pred3UID],Tasks[[#This Row],[UID]]),_xlfn.MAXIFS(Tasks[_Row],Tasks[_Pred4UID],Tasks[[#This Row],[UID]])))</f>
        <v>0</v>
      </c>
      <c r="EI15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5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55" s="74" t="str">
        <f aca="false">IF(NOT(Tasks[[#This Row],[_IsLeaf]]=1),"",IF(N(Tasks[[#This Row],[Duration]])&lt;=0,Tasks[[#This Row],[_LeafLateFinish]],WORKDAY.INTL(Tasks[[#This Row],[_LeafLateFinish]],-(Tasks[[#This Row],[Duration]]-1),WorkWeek,Holidays)))</f>
        <v/>
      </c>
      <c r="EL15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55" s="73" t="b">
        <f aca="false">AND(Tasks[[#This Row],[_IsLeaf]]=1,Tasks[[#This Row],[_LeafProgress]]&lt;1,N(Tasks[[#This Row],[_LeafTotalSlack]])&lt;=CriticalSlackDays)</f>
        <v>0</v>
      </c>
      <c r="EN155" s="45" t="n">
        <f aca="false">IF(AND(Tasks[[#This Row],[_IsLeaf]]=1,Tasks[[#This Row],[_ConstraintCode]]=1,Tasks[[#This Row],[Mode]]&lt;&gt;"Manual",N(Tasks[[#This Row],[Actual Start]])=0),MAX(0,N(Tasks[[#This Row],[Free Slack]])),0)</f>
        <v>0</v>
      </c>
      <c r="EO155" s="74" t="str">
        <f aca="false">IF(NOT(Tasks[[#This Row],[_IsLeaf]]=1),"",IF(Tasks[[#This Row],[_AlapShift]]=0,Tasks[[#This Row],[_LeafCalcStart]],WORKDAY.INTL(Tasks[[#This Row],[_LeafCalcStart]],Tasks[[#This Row],[_AlapShift]],WorkWeek,Holidays)))</f>
        <v/>
      </c>
      <c r="EP155" s="74" t="str">
        <f aca="false">IF(NOT(Tasks[[#This Row],[_IsLeaf]]=1),"",IF(Tasks[[#This Row],[_AlapShift]]=0,Tasks[[#This Row],[_LeafCalcFinish]],WORKDAY.INTL(Tasks[[#This Row],[_LeafCalcFinish]],Tasks[[#This Row],[_AlapShift]],WorkWeek,Holidays)))</f>
        <v/>
      </c>
      <c r="EQ155" s="74" t="str">
        <f aca="false">IF(NOT(Tasks[[#This Row],[_IsLeaf]]=1),"",IF(Tasks[[#This Row],[_AlapShift]]=0,Tasks[[#This Row],[_LeafFcstStart]],WORKDAY.INTL(Tasks[[#This Row],[_LeafFcstStart]],Tasks[[#This Row],[_AlapShift]],WorkWeek,Holidays)))</f>
        <v/>
      </c>
      <c r="ER155" s="74" t="str">
        <f aca="false">IF(NOT(Tasks[[#This Row],[_IsLeaf]]=1),"",IF(Tasks[[#This Row],[_AlapShift]]=0,Tasks[[#This Row],[_LeafFcstFinish]],WORKDAY.INTL(Tasks[[#This Row],[_LeafFcstFinish]],Tasks[[#This Row],[_AlapShift]],WorkWeek,Holidays)))</f>
        <v/>
      </c>
      <c r="ES155" s="74" t="str">
        <f aca="false">IF(Tasks[[#This Row],[Task Name]]="","",IF(Tasks[[#This Row],[_IsSummary]],MIN(INDEX(Tasks[_ShownCalcStart],Tasks[[#This Row],[_Row]]+1):INDEX(Tasks[_ShownCalcStart],Tasks[[#This Row],[_Row]]+Tasks[[#This Row],[_Descendants]])),Tasks[[#This Row],[_ShownCalcStart]]))</f>
        <v/>
      </c>
      <c r="ET155" s="74" t="str">
        <f aca="false">IF(Tasks[[#This Row],[Task Name]]="","",IF(Tasks[[#This Row],[_IsSummary]],MAX(INDEX(Tasks[_ShownCalcFinish],Tasks[[#This Row],[_Row]]+1):INDEX(Tasks[_ShownCalcFinish],Tasks[[#This Row],[_Row]]+Tasks[[#This Row],[_Descendants]])),Tasks[[#This Row],[_ShownCalcFinish]]))</f>
        <v/>
      </c>
      <c r="EU15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5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5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5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5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5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5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5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5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5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5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5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55" s="45" t="n">
        <f aca="false">IF(AND(Tasks[[#This Row],[_IsLeaf]]=1,Tasks[[#This Row],[_LeafTotalWork]]&gt;0),NETWORKDAYS.INTL(ProjectStart,Tasks[[#This Row],[_ShownFcstStart]],WorkWeek,Holidays),0)</f>
        <v>0</v>
      </c>
      <c r="FH155" s="45" t="n">
        <f aca="false">IF(AND(Tasks[[#This Row],[_IsLeaf]]=1,Tasks[[#This Row],[_LeafTotalWork]]&gt;0),MAX(Tasks[[#This Row],[_StartWorkday]],NETWORKDAYS.INTL(ProjectStart,Tasks[[#This Row],[_ShownFcstFinish]],WorkWeek,Holidays)),0)</f>
        <v>0</v>
      </c>
      <c r="FI155" s="45" t="n">
        <f aca="false">IF(AND(Tasks[[#This Row],[_IsLeaf]]=1,Tasks[[#This Row],[_LeafTotalWork]]&gt;0),Tasks[[#This Row],[_LeafWork]]/(Tasks[[#This Row],[_FinishWorkday]]-Tasks[[#This Row],[_StartWorkday]]+1),0)</f>
        <v>0</v>
      </c>
      <c r="FJ155" s="45" t="n">
        <f aca="false">Tasks[[#This Row],[_WorkPerWorkday]]*(Tasks[[#This Row],[_StartWorkday]]-1)</f>
        <v>-0</v>
      </c>
      <c r="FK155" s="45" t="n">
        <f aca="false">IF(Tasks[[#This Row],[_IsLeaf]]=1,MAX(N(Tasks[[#This Row],[Duration]]),0.1),0)</f>
        <v>0</v>
      </c>
      <c r="FL155" s="45" t="n">
        <f aca="false">Tasks[[#This Row],[_WeightDur]]*Tasks[[#This Row],[_LeafProgress]]</f>
        <v>0</v>
      </c>
      <c r="FM15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55" s="45" t="str">
        <f aca="false">IF(AND(Tasks[[#This Row],[_IsLeaf]]=1,N(Tasks[[#This Row],[Duration]])=0,Tasks[[#This Row],[_LeafProgress]]&lt;1),Tasks[[#This Row],[_ShownFcstFinish]]+Tasks[[#This Row],[_Row]]/100000,"")</f>
        <v/>
      </c>
      <c r="FO15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55" s="45" t="n">
        <f aca="false">IF(NOT(Tasks[[#This Row],[_IsLeaf]]=1),0,IF(Tasks[[#This Row],[Baseline Cost]]="",Tasks[[#This Row],[_LeafTotalCost]],N(Tasks[[#This Row],[Baseline Cost]])))</f>
        <v>0</v>
      </c>
      <c r="FQ155" s="45" t="n">
        <f aca="false">Tasks[[#This Row],[_LeafBudget]]*Tasks[[#This Row],[_PlannedPct]]</f>
        <v>0</v>
      </c>
      <c r="FR155" s="45" t="n">
        <f aca="false">Tasks[[#This Row],[_LeafBudget]]*Tasks[[#This Row],[_LeafProgress]]</f>
        <v>0</v>
      </c>
      <c r="FS155" s="45" t="n">
        <f aca="false">IF(NOT(Tasks[[#This Row],[_IsLeaf]]=1),0,IF(Tasks[[#This Row],[Actual Cost]]="",Tasks[[#This Row],[_LeafTotalCost]]*Tasks[[#This Row],[_LeafProgress]],N(Tasks[[#This Row],[Actual Cost]])))</f>
        <v>0</v>
      </c>
      <c r="FT155" s="45" t="str">
        <f aca="false">IF(Tasks[[#This Row],[Task Name]]="","",LEFT(Tasks[[#This Row],[WBS]],FIND(".",Tasks[[#This Row],[WBS]]&amp;".")-1))</f>
        <v/>
      </c>
      <c r="FU155" s="45" t="str">
        <f aca="false">IF(AND(Tasks[[#This Row],[Task Name]]&lt;&gt;"",Tasks[[#This Row],[_Level]]=1),Tasks[[#This Row],[_Row]],"")</f>
        <v/>
      </c>
      <c r="FV155" s="45" t="str">
        <f aca="false">IF(AND(Tasks[[#This Row],[_IsLeaf]]=1,N(Tasks[[#This Row],[Duration]])=0),Tasks[[#This Row],[Planned Finish]]+Tasks[[#This Row],[_Row]]/100000,"")</f>
        <v/>
      </c>
      <c r="FW155" s="45" t="str">
        <f aca="false">IF(AND(Tasks[[#This Row],[_IsLeaf]]=1,Tasks[[#This Row],[_LeafProgress]]&lt;1,OR(N(Tasks[[#This Row],[Finish Var]])&gt;0,Tasks[[#This Row],[Status]]="Late Start")),MAX(0,Tasks[[#This Row],[Finish Var]])+1-Tasks[[#This Row],[_Row]]/1000000,"")</f>
        <v/>
      </c>
      <c r="FX155" s="45" t="str">
        <f aca="false">IF(AND(Tasks[[#This Row],[_IsLeaf]]=1,N(Tasks[[#This Row],[Actual Start]])=0,Tasks[[#This Row],[_ShownFcstStart]]&gt;=StatusDate,Tasks[[#This Row],[_ShownFcstStart]]&lt;=LookaheadEnd),Tasks[[#This Row],[_ShownFcstStart]]+Tasks[[#This Row],[_Row]]/100000,"")</f>
        <v/>
      </c>
      <c r="FY155" s="45" t="str">
        <f aca="false">IF(AND(Tasks[[#This Row],[_IsLeaf]]=1,Tasks[[#This Row],[_LeafProgress]]&lt;1,Tasks[[#This Row],[_ShownFcstFinish]]&gt;=StatusDate,Tasks[[#This Row],[_ShownFcstFinish]]&lt;=LookaheadEnd),Tasks[[#This Row],[_ShownFcstFinish]]+Tasks[[#This Row],[_Row]]/100000,"")</f>
        <v/>
      </c>
      <c r="FZ155" s="45" t="str">
        <f aca="false">IF(Tasks[[#This Row],[_LeafCritical]],Tasks[[#This Row],[_ShownFcstStart]]+Tasks[[#This Row],[_Row]]/100000,"")</f>
        <v/>
      </c>
      <c r="GA155" s="45" t="n">
        <f aca="false">Tasks[[#This Row],[_LeafWork]]*Tasks[[#This Row],[_LeafProgress]]</f>
        <v>0</v>
      </c>
      <c r="GB155" s="74" t="str">
        <f aca="false">IF(AND(Tasks[[#This Row],[_IsLeaf]]=1,Tasks[[#This Row],[_LeafProgress]]&gt;=1),IF(N(Tasks[[#This Row],[Actual Finish]])&gt;0,Tasks[[#This Row],[Actual Finish]],Tasks[[#This Row],[_ShownFcstFinish]]),"")</f>
        <v/>
      </c>
    </row>
    <row r="156" customFormat="false" ht="15" hidden="false" customHeight="false" outlineLevel="0" collapsed="false">
      <c r="A156" s="67" t="str">
        <f aca="false">IF(Tasks[[#This Row],[Task Name]]="","",COUNTA(Tasks[[#Headers],[Task Name]]:Tasks[[#This Row],[Task Name]])-1)</f>
        <v/>
      </c>
      <c r="B156" s="21" t="n">
        <v>151</v>
      </c>
      <c r="C15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21"/>
      <c r="E156" s="22"/>
      <c r="F156" s="21"/>
      <c r="G156" s="22"/>
      <c r="H156" s="22"/>
      <c r="I156" s="22"/>
      <c r="J156" s="7"/>
      <c r="K156" s="7"/>
      <c r="L156" s="22"/>
      <c r="M156" s="58" t="str">
        <f aca="false">IF(Tasks[[#This Row],[Task Name]]="","",IF(Tasks[[#This Row],[_IsSummary]],MIN(INDEX(Tasks[_ShownFcstStart],Tasks[[#This Row],[_Row]]+1):INDEX(Tasks[_ShownFcstStart],Tasks[[#This Row],[_Row]]+Tasks[[#This Row],[_Descendants]])),Tasks[[#This Row],[_ShownFcstStart]]))</f>
        <v/>
      </c>
      <c r="N156" s="58" t="str">
        <f aca="false">IF(Tasks[[#This Row],[Task Name]]="","",IF(Tasks[[#This Row],[_IsSummary]],MAX(INDEX(Tasks[_ShownFcstFinish],Tasks[[#This Row],[_Row]]+1):INDEX(Tasks[_ShownFcstFinish],Tasks[[#This Row],[_Row]]+Tasks[[#This Row],[_Descendants]])),Tasks[[#This Row],[_ShownFcstFinish]]))</f>
        <v/>
      </c>
      <c r="O156" s="20" t="str">
        <f aca="false">IF(Tasks[[#This Row],[Task Name]]="","",IF(Tasks[[#This Row],[Progress]]&gt;=1,"Complete",IF(OR(N(Tasks[[#This Row],[Actual Start]])&gt;0,Tasks[[#This Row],[Progress]]&gt;0),IF(Tasks[[#This Row],[Finish Var]]&gt;0,"Behind","In Progress"),IF(Tasks[[#This Row],[Planned Start]]&lt;StatusDate,"Late Start","Not Started"))))</f>
        <v/>
      </c>
      <c r="P156" s="20" t="str">
        <f aca="false">IF(Tasks[[#This Row],[Task Name]]="","",IF(IF(Tasks[[#This Row],[_IsSummary]],COUNTIF(INDEX(Tasks[_LeafCritical],Tasks[[#This Row],[_Row]]+1):INDEX(Tasks[_LeafCritical],Tasks[[#This Row],[_Row]]+Tasks[[#This Row],[_Descendants]]),TRUE())&gt;0,Tasks[[#This Row],[_LeafCritical]]),"Yes",""))</f>
        <v/>
      </c>
      <c r="Q15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56" s="67" t="str">
        <f aca="false">IF(Tasks[[#This Row],[Task Name]]="","",IF(Tasks[[#This Row],[_Level]]&lt;=OutlineShowLevel,"Yes","No"))</f>
        <v/>
      </c>
      <c r="S156" s="7"/>
      <c r="T156" s="21"/>
      <c r="U156" s="22"/>
      <c r="V156" s="7"/>
      <c r="W156" s="67" t="str">
        <f aca="false">IF(Tasks[[#This Row],[Task Name]]="","",IF(Tasks[[#This Row],[Finish]]&gt;=Tasks[[#This Row],[Planned Finish]],NETWORKDAYS.INTL(Tasks[[#This Row],[Planned Finish]],Tasks[[#This Row],[Finish]],WorkWeek,Holidays)-1,1-NETWORKDAYS.INTL(Tasks[[#This Row],[Finish]],Tasks[[#This Row],[Planned Finish]],WorkWeek,Holidays)))</f>
        <v/>
      </c>
      <c r="X156" s="58" t="str">
        <f aca="false">IF(Tasks[[#This Row],[Task Name]]="","",IF(N(Tasks[[#This Row],[Baseline Start]])&gt;0,Tasks[[#This Row],[Baseline Start]],Tasks[[#This Row],[_CalcStart]]))</f>
        <v/>
      </c>
      <c r="Y156" s="58" t="str">
        <f aca="false">IF(Tasks[[#This Row],[Task Name]]="","",IF(N(Tasks[[#This Row],[Baseline Finish]])&gt;0,Tasks[[#This Row],[Baseline Finish]],Tasks[[#This Row],[_CalcFinish]]))</f>
        <v/>
      </c>
      <c r="Z156" s="67" t="str">
        <f aca="false">IF(Tasks[[#This Row],[Task Name]]="","",IF(Tasks[[#This Row],[Start]]&gt;=Tasks[[#This Row],[Planned Start]],NETWORKDAYS.INTL(Tasks[[#This Row],[Planned Start]],Tasks[[#This Row],[Start]],WorkWeek,Holidays)-1,1-NETWORKDAYS.INTL(Tasks[[#This Row],[Start]],Tasks[[#This Row],[Planned Start]],WorkWeek,Holidays)))</f>
        <v/>
      </c>
      <c r="AA156" s="58" t="str">
        <f aca="false">IF(Tasks[[#This Row],[Task Name]]="","",IF(Tasks[[#This Row],[_IsSummary]],MIN(INDEX(Tasks[_LeafLateStart],Tasks[[#This Row],[_Row]]+1):INDEX(Tasks[_LeafLateStart],Tasks[[#This Row],[_Row]]+Tasks[[#This Row],[_Descendants]])),Tasks[[#This Row],[_LeafLateStart]]))</f>
        <v/>
      </c>
      <c r="AB156" s="58" t="str">
        <f aca="false">IF(Tasks[[#This Row],[Task Name]]="","",IF(Tasks[[#This Row],[_IsSummary]],MAX(INDEX(Tasks[_LeafLateFinish],Tasks[[#This Row],[_Row]]+1):INDEX(Tasks[_LeafLateFinish],Tasks[[#This Row],[_Row]]+Tasks[[#This Row],[_Descendants]])),Tasks[[#This Row],[_LeafLateFinish]]))</f>
        <v/>
      </c>
      <c r="AC156" s="67" t="str">
        <f aca="false">IF(Tasks[[#This Row],[Task Name]]="","",IF(Tasks[[#This Row],[_IsSummary]],MIN(INDEX(Tasks[_LeafTotalSlack],Tasks[[#This Row],[_Row]]+1):INDEX(Tasks[_LeafTotalSlack],Tasks[[#This Row],[_Row]]+Tasks[[#This Row],[_Descendants]])),Tasks[[#This Row],[_LeafTotalSlack]]))</f>
        <v/>
      </c>
      <c r="AD15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5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5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56" s="60"/>
      <c r="AH15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5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56" s="69" t="str">
        <f aca="false">IF(Tasks[[#This Row],[Task Name]]="","",IF(Tasks[[#This Row],[_IsSummary]],SUM(INDEX(Tasks[_LeafTotalWork],Tasks[[#This Row],[_Row]]+1):INDEX(Tasks[_LeafTotalWork],Tasks[[#This Row],[_Row]]+Tasks[[#This Row],[_Descendants]])),Tasks[[#This Row],[_LeafTotalWork]]))</f>
        <v/>
      </c>
      <c r="AK15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56" s="70" t="str">
        <f aca="false">IF(Tasks[[#This Row],[Task Name]]="","",IF(Tasks[[#This Row],[_IsSummary]],SUM(INDEX(Tasks[_LeafTotalCost],Tasks[[#This Row],[_Row]]+1):INDEX(Tasks[_LeafTotalCost],Tasks[[#This Row],[_Row]]+Tasks[[#This Row],[_Descendants]])),Tasks[[#This Row],[_LeafTotalCost]]))</f>
        <v/>
      </c>
      <c r="AM156" s="71"/>
      <c r="AN156" s="20" t="str">
        <f aca="false">IF(OR(Tasks[[#This Row],[Task Name]]="",Tasks[[#This Row],[Baseline Duration]]=""),"",Tasks[[#This Row],[BL Source Duration]]-N(Tasks[[#This Row],[Baseline Duration]]))</f>
        <v/>
      </c>
      <c r="AO156" s="69" t="str">
        <f aca="false">IF(OR(Tasks[[#This Row],[Task Name]]="",Tasks[[#This Row],[Baseline Work]]=""),"",Tasks[[#This Row],[Work]]-N(Tasks[[#This Row],[Baseline Work]]))</f>
        <v/>
      </c>
      <c r="AP156" s="70" t="str">
        <f aca="false">IF(OR(Tasks[[#This Row],[Task Name]]="",Tasks[[#This Row],[Baseline Cost]]=""),"",Tasks[[#This Row],[Cost]]-N(Tasks[[#This Row],[Baseline Cost]]))</f>
        <v/>
      </c>
      <c r="AQ156" s="58" t="str">
        <f aca="false">IF(Tasks[[#This Row],[Task Name]]="","",Tasks[[#This Row],[Start]])</f>
        <v/>
      </c>
      <c r="AR156" s="58" t="str">
        <f aca="false">IF(Tasks[[#This Row],[Task Name]]="","",Tasks[[#This Row],[Finish]])</f>
        <v/>
      </c>
      <c r="AS156" s="67" t="str">
        <f aca="false">IF(Tasks[[#This Row],[Task Name]]="","",IF(Tasks[[#This Row],[_IsSummary]],NETWORKDAYS.INTL(Tasks[[#This Row],[Start]],Tasks[[#This Row],[Finish]],WorkWeek,Holidays),N(Tasks[[#This Row],[Duration]])))</f>
        <v/>
      </c>
      <c r="AT156" s="69" t="str">
        <f aca="false">IF(Tasks[[#This Row],[Task Name]]="","",Tasks[[#This Row],[Work]])</f>
        <v/>
      </c>
      <c r="AU156" s="70" t="str">
        <f aca="false">IF(Tasks[[#This Row],[Task Name]]="","",Tasks[[#This Row],[Cost]])</f>
        <v/>
      </c>
      <c r="AV156" s="7"/>
      <c r="AW156" s="7"/>
      <c r="AX156" s="21"/>
      <c r="AY156" s="72"/>
      <c r="AZ156" s="71"/>
      <c r="BA156" s="70" t="str">
        <f aca="false">IF(Tasks[[#This Row],[Task Name]]="","",IF(Tasks[[#This Row],[_IsSummary]],SUM(INDEX(Tasks[_LeafEV],Tasks[[#This Row],[_Row]]+1):INDEX(Tasks[_LeafEV],Tasks[[#This Row],[_Row]]+Tasks[[#This Row],[_Descendants]])),Tasks[[#This Row],[_LeafEV]]))</f>
        <v/>
      </c>
      <c r="BB156" s="70" t="str">
        <f aca="false">IF(Tasks[[#This Row],[Task Name]]="","",IF(Tasks[[#This Row],[_IsSummary]],SUM(INDEX(Tasks[_LeafBudget],Tasks[[#This Row],[_Row]]+1):INDEX(Tasks[_LeafBudget],Tasks[[#This Row],[_Row]]+Tasks[[#This Row],[_Descendants]])),Tasks[[#This Row],[_LeafBudget]]))</f>
        <v/>
      </c>
      <c r="BC156" s="70" t="str">
        <f aca="false">IF(Tasks[[#This Row],[Task Name]]="","",IF(Tasks[[#This Row],[_IsSummary]],SUM(INDEX(Tasks[_LeafPV],Tasks[[#This Row],[_Row]]+1):INDEX(Tasks[_LeafPV],Tasks[[#This Row],[_Row]]+Tasks[[#This Row],[_Descendants]])),Tasks[[#This Row],[_LeafPV]]))</f>
        <v/>
      </c>
      <c r="BD156" s="70" t="str">
        <f aca="false">IF(Tasks[[#This Row],[Task Name]]="","",IF(Tasks[[#This Row],[_IsSummary]],SUM(INDEX(Tasks[_LeafAC],Tasks[[#This Row],[_Row]]+1):INDEX(Tasks[_LeafAC],Tasks[[#This Row],[_Row]]+Tasks[[#This Row],[_Descendants]])),Tasks[[#This Row],[_LeafAC]]))</f>
        <v/>
      </c>
      <c r="BE156" s="45" t="str">
        <f aca="false">IF(Tasks[[#This Row],[Task Name]]="","",MAX(1,N(Tasks[[#This Row],[Level]])))</f>
        <v/>
      </c>
      <c r="BF156" s="45" t="n">
        <f aca="false">ROW()-ROW(Tasks[[#Headers],[ID]])</f>
        <v>151</v>
      </c>
      <c r="BG156" s="45" t="n">
        <f aca="false">IF(OR(Tasks[[#This Row],[Task Name]]="",Tasks[[#This Row],[_Level]]&lt;=1),0,IFERROR(LOOKUP(2,1/(Tasks[[#Headers],[_Level]]:Tasks[[#This Row],[_Level]]=Tasks[[#This Row],[_Level]]-1),ROW(Tasks[[#Headers],[_Level]]:Tasks[[#This Row],[_Level]])),0))</f>
        <v>0</v>
      </c>
      <c r="BH156" s="45" t="n">
        <f aca="false">IFERROR(N(INDEX(Tasks[_Level],Tasks[[#This Row],[_Row]]+1)),0)</f>
        <v>0</v>
      </c>
      <c r="BI156" s="73" t="b">
        <f aca="false">AND(Tasks[[#This Row],[Task Name]]&lt;&gt;"",Tasks[[#This Row],[_NextLevel]]&gt;Tasks[[#This Row],[_Level]])</f>
        <v>0</v>
      </c>
      <c r="BJ156" s="45" t="n">
        <f aca="false">IF(Tasks[[#This Row],[_IsSummary]],COUNTIF(Tasks[WBS],Tasks[[#This Row],[WBS]]&amp;".*"),0)</f>
        <v>0</v>
      </c>
      <c r="BK156" s="45" t="n">
        <f aca="false">IF(AND(Tasks[[#This Row],[Task Name]]&lt;&gt;"",NOT(Tasks[[#This Row],[_IsSummary]])),1,0)</f>
        <v>0</v>
      </c>
      <c r="BL156" s="45" t="n">
        <f aca="false">IF(N(Tasks[[#This Row],[_Pred1UID]])=0,0,IFERROR(MATCH(Tasks[[#This Row],[_Pred1UID]],Tasks[UID],0),-1))</f>
        <v>0</v>
      </c>
      <c r="BM156" s="45" t="n">
        <f aca="false">IF(N(Tasks[[#This Row],[_Pred2UID]])=0,0,IFERROR(MATCH(Tasks[[#This Row],[_Pred2UID]],Tasks[UID],0),-1))</f>
        <v>0</v>
      </c>
      <c r="BN156" s="45" t="n">
        <f aca="false">IF(N(Tasks[[#This Row],[_Pred3UID]])=0,0,IFERROR(MATCH(Tasks[[#This Row],[_Pred3UID]],Tasks[UID],0),-1))</f>
        <v>0</v>
      </c>
      <c r="BO156" s="45" t="n">
        <f aca="false">IF(N(Tasks[[#This Row],[_Pred4UID]])=0,0,IFERROR(MATCH(Tasks[[#This Row],[_Pred4UID]],Tasks[UID],0),-1))</f>
        <v>0</v>
      </c>
      <c r="BP15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5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56" s="74" t="n">
        <f aca="false">IF(OR(Tasks[[#This Row],[_ConstraintCode]]=2,Tasks[[#This Row],[_ConstraintCode]]=3,Tasks[[#This Row],[_ConstraintCode]]=4,Tasks[[#This Row],[_ConstraintCode]]=6),Tasks[[#This Row],[_ConstraintStart]],0)</f>
        <v>0</v>
      </c>
      <c r="BS156" s="74" t="n">
        <f aca="false">IF(OR(Tasks[[#This Row],[_ConstraintCode]]=2,Tasks[[#This Row],[_ConstraintCode]]=3,Tasks[[#This Row],[_ConstraintCode]]=5,Tasks[[#This Row],[_ConstraintCode]]=7),Tasks[[#This Row],[_ConstraintStart]],2958465)</f>
        <v>2958465</v>
      </c>
      <c r="BT15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56" s="74" t="str">
        <f aca="false">IF(NOT(Tasks[[#This Row],[_IsLeaf]]=1),"",IF(N(Tasks[[#This Row],[Duration]])&lt;=0,Tasks[[#This Row],[_LeafCalcStart]],WORKDAY.INTL(Tasks[[#This Row],[_LeafCalcStart]],Tasks[[#This Row],[Duration]]-1,WorkWeek,Holidays)))</f>
        <v/>
      </c>
      <c r="BV15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5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56" s="45" t="str">
        <f aca="false">IF(Tasks[[#This Row],[Predecessors]]="","",TRIM(MID(SUBSTITUTE(SUBSTITUTE(SUBSTITUTE(UPPER(Tasks[[#This Row],[Predecessors]]),";",",")," ",""),",",REPT(" ",99)),1,99)))</f>
        <v/>
      </c>
      <c r="BY156" s="45" t="str">
        <f aca="false">IF(Tasks[[#This Row],[_Pred1Text]]="","",IFERROR(VALUE(LEFT(Tasks[[#This Row],[_Pred1Text]],MIN(FIND("F",Tasks[[#This Row],[_Pred1Text]]&amp;"F"),FIND("S",Tasks[[#This Row],[_Pred1Text]]&amp;"S"),FIND("+",Tasks[[#This Row],[_Pred1Text]]&amp;"+"),FIND("-",Tasks[[#This Row],[_Pred1Text]]&amp;"-"))-1)),""))</f>
        <v/>
      </c>
      <c r="BZ15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5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56" s="45" t="str">
        <f aca="false">IF(Tasks[[#This Row],[_Pred1Text]]="","",TRIM(MID(SUBSTITUTE(SUBSTITUTE(SUBSTITUTE(UPPER(Tasks[[#This Row],[Predecessors]]),";",",")," ",""),",",REPT(" ",99)),100,99)))</f>
        <v/>
      </c>
      <c r="CC156" s="45" t="str">
        <f aca="false">IF(Tasks[[#This Row],[_Pred2Text]]="","",IFERROR(VALUE(LEFT(Tasks[[#This Row],[_Pred2Text]],MIN(FIND("F",Tasks[[#This Row],[_Pred2Text]]&amp;"F"),FIND("S",Tasks[[#This Row],[_Pred2Text]]&amp;"S"),FIND("+",Tasks[[#This Row],[_Pred2Text]]&amp;"+"),FIND("-",Tasks[[#This Row],[_Pred2Text]]&amp;"-"))-1)),""))</f>
        <v/>
      </c>
      <c r="CD15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5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56" s="45" t="str">
        <f aca="false">IF(Tasks[[#This Row],[_Pred2Text]]="","",TRIM(MID(SUBSTITUTE(SUBSTITUTE(SUBSTITUTE(UPPER(Tasks[[#This Row],[Predecessors]]),";",",")," ",""),",",REPT(" ",99)),199,99)))</f>
        <v/>
      </c>
      <c r="CG156" s="45" t="str">
        <f aca="false">IF(Tasks[[#This Row],[_Pred3Text]]="","",IFERROR(VALUE(LEFT(Tasks[[#This Row],[_Pred3Text]],MIN(FIND("F",Tasks[[#This Row],[_Pred3Text]]&amp;"F"),FIND("S",Tasks[[#This Row],[_Pred3Text]]&amp;"S"),FIND("+",Tasks[[#This Row],[_Pred3Text]]&amp;"+"),FIND("-",Tasks[[#This Row],[_Pred3Text]]&amp;"-"))-1)),""))</f>
        <v/>
      </c>
      <c r="CH15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5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56" s="45" t="str">
        <f aca="false">IF(Tasks[[#This Row],[_Pred3Text]]="","",TRIM(MID(SUBSTITUTE(SUBSTITUTE(SUBSTITUTE(UPPER(Tasks[[#This Row],[Predecessors]]),";",",")," ",""),",",REPT(" ",99)),298,99)))</f>
        <v/>
      </c>
      <c r="CK156" s="45" t="str">
        <f aca="false">IF(Tasks[[#This Row],[_Pred4Text]]="","",IFERROR(VALUE(LEFT(Tasks[[#This Row],[_Pred4Text]],MIN(FIND("F",Tasks[[#This Row],[_Pred4Text]]&amp;"F"),FIND("S",Tasks[[#This Row],[_Pred4Text]]&amp;"S"),FIND("+",Tasks[[#This Row],[_Pred4Text]]&amp;"+"),FIND("-",Tasks[[#This Row],[_Pred4Text]]&amp;"-"))-1)),""))</f>
        <v/>
      </c>
      <c r="CL15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5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56" s="45" t="str">
        <f aca="false">IF(OR(Tasks[[#This Row],[Task Name]]="",Tasks[[#This Row],[Resources]]=""),"",TRIM(MID(SUBSTITUTE(Tasks[[#This Row],[Resources]],",",REPT(" ",99)),1,99)))</f>
        <v/>
      </c>
      <c r="CO156" s="45" t="str">
        <f aca="false">IF(Tasks[[#This Row],[_Res1Text]]="","",TRIM(MID(SUBSTITUTE(Tasks[[#This Row],[Resources]],",",REPT(" ",99)),100,99)))</f>
        <v/>
      </c>
      <c r="CP156" s="45" t="str">
        <f aca="false">IF(Tasks[[#This Row],[_Res2Text]]="","",TRIM(MID(SUBSTITUTE(Tasks[[#This Row],[Resources]],",",REPT(" ",99)),199,99)))</f>
        <v/>
      </c>
      <c r="CQ156" s="45" t="str">
        <f aca="false">IF(Tasks[[#This Row],[_Res3Text]]="","",TRIM(MID(SUBSTITUTE(Tasks[[#This Row],[Resources]],",",REPT(" ",99)),298,99)))</f>
        <v/>
      </c>
      <c r="CR15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5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6" s="45" t="n">
        <f aca="false">IF(NOT(Tasks[[#This Row],[_IsLeaf]]=1),0,(Tasks[[#This Row],[_Resource1]]&lt;&gt;"")+(Tasks[[#This Row],[_Res2]]&lt;&gt;"")+(Tasks[[#This Row],[_Res3]]&lt;&gt;"")+(Tasks[[#This Row],[_Res4]]&lt;&gt;""))</f>
        <v>0</v>
      </c>
      <c r="CU15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5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6" s="45" t="n">
        <f aca="false">IF(OR(NOT(Tasks[[#This Row],[_IsLeaf]]=1),Tasks[[#This Row],[_Res2]]=""),0,IF(ISNA(MATCH(Tasks[[#This Row],[_Res2]],res_Name,0)),0,N(Tasks[[#This Row],[Duration]])*HoursPerDay*IF(Tasks[[#This Row],[_Res2Units]]="",DefaultUnits,Tasks[[#This Row],[_Res2Units]])))</f>
        <v>0</v>
      </c>
      <c r="CX156" s="45" t="n">
        <f aca="false">IF(Tasks[[#This Row],[_Res2Work]]=0,0,Tasks[[#This Row],[_Res2Work]]*IFERROR(INDEX(res_Rate,MATCH(Tasks[[#This Row],[_Res2]],res_Name,0)),0))</f>
        <v>0</v>
      </c>
      <c r="CY156" s="45" t="n">
        <f aca="false">IF(AND(AND(Tasks[[#This Row],[_IsLeaf]]=1,Tasks[[#This Row],[_LeafTotalWork]]&gt;0),Tasks[[#This Row],[_Res2Work]]&gt;0),Tasks[[#This Row],[_Res2Work]]/(Tasks[[#This Row],[_FinishWorkday]]-Tasks[[#This Row],[_StartWorkday]]+1),0)</f>
        <v>0</v>
      </c>
      <c r="CZ156" s="45" t="n">
        <f aca="false">Tasks[[#This Row],[_Res2WorkPerWD]]*MAX(0,Tasks[[#This Row],[_StartWorkday]]-1)</f>
        <v>0</v>
      </c>
      <c r="DA156" s="45" t="n">
        <f aca="false">Tasks[[#This Row],[_Res2Work]]*Tasks[[#This Row],[_LeafProgress]]</f>
        <v>0</v>
      </c>
      <c r="DB156" s="45" t="n">
        <f aca="false">IF(Tasks[[#This Row],[_LeafTotalCost]]=0,0,Tasks[[#This Row],[_LeafAC]]*Tasks[[#This Row],[_Res2Cost]]/Tasks[[#This Row],[_LeafTotalCost]])</f>
        <v>0</v>
      </c>
      <c r="DC15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5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56" s="45" t="n">
        <f aca="false">IF(OR(NOT(Tasks[[#This Row],[_IsLeaf]]=1),Tasks[[#This Row],[_Res3]]=""),0,IF(ISNA(MATCH(Tasks[[#This Row],[_Res3]],res_Name,0)),0,N(Tasks[[#This Row],[Duration]])*HoursPerDay*IF(Tasks[[#This Row],[_Res3Units]]="",DefaultUnits,Tasks[[#This Row],[_Res3Units]])))</f>
        <v>0</v>
      </c>
      <c r="DF156" s="45" t="n">
        <f aca="false">IF(Tasks[[#This Row],[_Res3Work]]=0,0,Tasks[[#This Row],[_Res3Work]]*IFERROR(INDEX(res_Rate,MATCH(Tasks[[#This Row],[_Res3]],res_Name,0)),0))</f>
        <v>0</v>
      </c>
      <c r="DG156" s="45" t="n">
        <f aca="false">IF(AND(AND(Tasks[[#This Row],[_IsLeaf]]=1,Tasks[[#This Row],[_LeafTotalWork]]&gt;0),Tasks[[#This Row],[_Res3Work]]&gt;0),Tasks[[#This Row],[_Res3Work]]/(Tasks[[#This Row],[_FinishWorkday]]-Tasks[[#This Row],[_StartWorkday]]+1),0)</f>
        <v>0</v>
      </c>
      <c r="DH156" s="45" t="n">
        <f aca="false">Tasks[[#This Row],[_Res3WorkPerWD]]*MAX(0,Tasks[[#This Row],[_StartWorkday]]-1)</f>
        <v>0</v>
      </c>
      <c r="DI156" s="45" t="n">
        <f aca="false">Tasks[[#This Row],[_Res3Work]]*Tasks[[#This Row],[_LeafProgress]]</f>
        <v>0</v>
      </c>
      <c r="DJ156" s="45" t="n">
        <f aca="false">IF(Tasks[[#This Row],[_LeafTotalCost]]=0,0,Tasks[[#This Row],[_LeafAC]]*Tasks[[#This Row],[_Res3Cost]]/Tasks[[#This Row],[_LeafTotalCost]])</f>
        <v>0</v>
      </c>
      <c r="DK15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5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56" s="45" t="n">
        <f aca="false">IF(OR(NOT(Tasks[[#This Row],[_IsLeaf]]=1),Tasks[[#This Row],[_Res4]]=""),0,IF(ISNA(MATCH(Tasks[[#This Row],[_Res4]],res_Name,0)),0,N(Tasks[[#This Row],[Duration]])*HoursPerDay*IF(Tasks[[#This Row],[_Res4Units]]="",DefaultUnits,Tasks[[#This Row],[_Res4Units]])))</f>
        <v>0</v>
      </c>
      <c r="DN156" s="45" t="n">
        <f aca="false">IF(Tasks[[#This Row],[_Res4Work]]=0,0,Tasks[[#This Row],[_Res4Work]]*IFERROR(INDEX(res_Rate,MATCH(Tasks[[#This Row],[_Res4]],res_Name,0)),0))</f>
        <v>0</v>
      </c>
      <c r="DO156" s="45" t="n">
        <f aca="false">IF(AND(AND(Tasks[[#This Row],[_IsLeaf]]=1,Tasks[[#This Row],[_LeafTotalWork]]&gt;0),Tasks[[#This Row],[_Res4Work]]&gt;0),Tasks[[#This Row],[_Res4Work]]/(Tasks[[#This Row],[_FinishWorkday]]-Tasks[[#This Row],[_StartWorkday]]+1),0)</f>
        <v>0</v>
      </c>
      <c r="DP156" s="45" t="n">
        <f aca="false">Tasks[[#This Row],[_Res4WorkPerWD]]*MAX(0,Tasks[[#This Row],[_StartWorkday]]-1)</f>
        <v>0</v>
      </c>
      <c r="DQ156" s="45" t="n">
        <f aca="false">Tasks[[#This Row],[_Res4Work]]*Tasks[[#This Row],[_LeafProgress]]</f>
        <v>0</v>
      </c>
      <c r="DR156" s="45" t="n">
        <f aca="false">IF(Tasks[[#This Row],[_LeafTotalCost]]=0,0,Tasks[[#This Row],[_LeafAC]]*Tasks[[#This Row],[_Res4Cost]]/Tasks[[#This Row],[_LeafTotalCost]])</f>
        <v>0</v>
      </c>
      <c r="DS156" s="45" t="n">
        <f aca="false">IF(ISNUMBER(Tasks[[#This Row],[% Complete]]),Tasks[[#This Row],[% Complete]],IF(Tasks[[#This Row],[Stage]]="",0,IFERROR(INDEX(stg_Pct,MATCH(Tasks[[#This Row],[Stage]],stg_Name,0)),0)))</f>
        <v>0</v>
      </c>
      <c r="DT156" s="45" t="n">
        <f aca="false">IF(NOT(Tasks[[#This Row],[_IsLeaf]]=1),0,IF(N(Tasks[[#This Row],[Actual Finish]])&gt;0,1,MIN(1,Tasks[[#This Row],[_Pct]])))</f>
        <v>0</v>
      </c>
      <c r="DU156" s="45" t="n">
        <f aca="false">IF(OR(NOT(Tasks[[#This Row],[_IsLeaf]]=1),Tasks[[#This Row],[_Resource1]]=""),0,IF(ISNA(MATCH(Tasks[[#This Row],[_Resource1]],res_Name,0)),0,N(Tasks[[#This Row],[Duration]])*HoursPerDay*IF(Tasks[[#This Row],[_Units1]]="",DefaultUnits,Tasks[[#This Row],[_Units1]])))</f>
        <v>0</v>
      </c>
      <c r="DV156" s="45" t="n">
        <f aca="false">IF(Tasks[[#This Row],[_LeafWork]]=0,0,Tasks[[#This Row],[_LeafWork]]*IFERROR(INDEX(res_Rate,MATCH(Tasks[[#This Row],[_Resource1]],res_Name,0)),0))</f>
        <v>0</v>
      </c>
      <c r="DW156" s="45" t="n">
        <f aca="false">Tasks[[#This Row],[_LeafWork]]+Tasks[[#This Row],[_Res2Work]]+Tasks[[#This Row],[_Res3Work]]+Tasks[[#This Row],[_Res4Work]]</f>
        <v>0</v>
      </c>
      <c r="DX156" s="45" t="n">
        <f aca="false">Tasks[[#This Row],[_LeafCost]]+Tasks[[#This Row],[_Res2Cost]]+Tasks[[#This Row],[_Res3Cost]]+Tasks[[#This Row],[_Res4Cost]]</f>
        <v>0</v>
      </c>
      <c r="DY156" s="45" t="n">
        <f aca="false">IF(Tasks[[#This Row],[_LeafTotalCost]]=0,Tasks[[#This Row],[_LeafAC]],Tasks[[#This Row],[_LeafAC]]*Tasks[[#This Row],[_LeafCost]]/Tasks[[#This Row],[_LeafTotalCost]])</f>
        <v>0</v>
      </c>
      <c r="DZ15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5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5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5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5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5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5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5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56" s="45" t="n">
        <f aca="false">IF(NOT(Tasks[[#This Row],[_IsLeaf]]=1),0,MAX(_xlfn.MAXIFS(Tasks[_Row],Tasks[_Pred1UID],Tasks[[#This Row],[UID]]),_xlfn.MAXIFS(Tasks[_Row],Tasks[_Pred2UID],Tasks[[#This Row],[UID]]),_xlfn.MAXIFS(Tasks[_Row],Tasks[_Pred3UID],Tasks[[#This Row],[UID]]),_xlfn.MAXIFS(Tasks[_Row],Tasks[_Pred4UID],Tasks[[#This Row],[UID]])))</f>
        <v>0</v>
      </c>
      <c r="EI15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5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56" s="74" t="str">
        <f aca="false">IF(NOT(Tasks[[#This Row],[_IsLeaf]]=1),"",IF(N(Tasks[[#This Row],[Duration]])&lt;=0,Tasks[[#This Row],[_LeafLateFinish]],WORKDAY.INTL(Tasks[[#This Row],[_LeafLateFinish]],-(Tasks[[#This Row],[Duration]]-1),WorkWeek,Holidays)))</f>
        <v/>
      </c>
      <c r="EL15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56" s="73" t="b">
        <f aca="false">AND(Tasks[[#This Row],[_IsLeaf]]=1,Tasks[[#This Row],[_LeafProgress]]&lt;1,N(Tasks[[#This Row],[_LeafTotalSlack]])&lt;=CriticalSlackDays)</f>
        <v>0</v>
      </c>
      <c r="EN156" s="45" t="n">
        <f aca="false">IF(AND(Tasks[[#This Row],[_IsLeaf]]=1,Tasks[[#This Row],[_ConstraintCode]]=1,Tasks[[#This Row],[Mode]]&lt;&gt;"Manual",N(Tasks[[#This Row],[Actual Start]])=0),MAX(0,N(Tasks[[#This Row],[Free Slack]])),0)</f>
        <v>0</v>
      </c>
      <c r="EO156" s="74" t="str">
        <f aca="false">IF(NOT(Tasks[[#This Row],[_IsLeaf]]=1),"",IF(Tasks[[#This Row],[_AlapShift]]=0,Tasks[[#This Row],[_LeafCalcStart]],WORKDAY.INTL(Tasks[[#This Row],[_LeafCalcStart]],Tasks[[#This Row],[_AlapShift]],WorkWeek,Holidays)))</f>
        <v/>
      </c>
      <c r="EP156" s="74" t="str">
        <f aca="false">IF(NOT(Tasks[[#This Row],[_IsLeaf]]=1),"",IF(Tasks[[#This Row],[_AlapShift]]=0,Tasks[[#This Row],[_LeafCalcFinish]],WORKDAY.INTL(Tasks[[#This Row],[_LeafCalcFinish]],Tasks[[#This Row],[_AlapShift]],WorkWeek,Holidays)))</f>
        <v/>
      </c>
      <c r="EQ156" s="74" t="str">
        <f aca="false">IF(NOT(Tasks[[#This Row],[_IsLeaf]]=1),"",IF(Tasks[[#This Row],[_AlapShift]]=0,Tasks[[#This Row],[_LeafFcstStart]],WORKDAY.INTL(Tasks[[#This Row],[_LeafFcstStart]],Tasks[[#This Row],[_AlapShift]],WorkWeek,Holidays)))</f>
        <v/>
      </c>
      <c r="ER156" s="74" t="str">
        <f aca="false">IF(NOT(Tasks[[#This Row],[_IsLeaf]]=1),"",IF(Tasks[[#This Row],[_AlapShift]]=0,Tasks[[#This Row],[_LeafFcstFinish]],WORKDAY.INTL(Tasks[[#This Row],[_LeafFcstFinish]],Tasks[[#This Row],[_AlapShift]],WorkWeek,Holidays)))</f>
        <v/>
      </c>
      <c r="ES156" s="74" t="str">
        <f aca="false">IF(Tasks[[#This Row],[Task Name]]="","",IF(Tasks[[#This Row],[_IsSummary]],MIN(INDEX(Tasks[_ShownCalcStart],Tasks[[#This Row],[_Row]]+1):INDEX(Tasks[_ShownCalcStart],Tasks[[#This Row],[_Row]]+Tasks[[#This Row],[_Descendants]])),Tasks[[#This Row],[_ShownCalcStart]]))</f>
        <v/>
      </c>
      <c r="ET156" s="74" t="str">
        <f aca="false">IF(Tasks[[#This Row],[Task Name]]="","",IF(Tasks[[#This Row],[_IsSummary]],MAX(INDEX(Tasks[_ShownCalcFinish],Tasks[[#This Row],[_Row]]+1):INDEX(Tasks[_ShownCalcFinish],Tasks[[#This Row],[_Row]]+Tasks[[#This Row],[_Descendants]])),Tasks[[#This Row],[_ShownCalcFinish]]))</f>
        <v/>
      </c>
      <c r="EU15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5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5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5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5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5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5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5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5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5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5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5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56" s="45" t="n">
        <f aca="false">IF(AND(Tasks[[#This Row],[_IsLeaf]]=1,Tasks[[#This Row],[_LeafTotalWork]]&gt;0),NETWORKDAYS.INTL(ProjectStart,Tasks[[#This Row],[_ShownFcstStart]],WorkWeek,Holidays),0)</f>
        <v>0</v>
      </c>
      <c r="FH156" s="45" t="n">
        <f aca="false">IF(AND(Tasks[[#This Row],[_IsLeaf]]=1,Tasks[[#This Row],[_LeafTotalWork]]&gt;0),MAX(Tasks[[#This Row],[_StartWorkday]],NETWORKDAYS.INTL(ProjectStart,Tasks[[#This Row],[_ShownFcstFinish]],WorkWeek,Holidays)),0)</f>
        <v>0</v>
      </c>
      <c r="FI156" s="45" t="n">
        <f aca="false">IF(AND(Tasks[[#This Row],[_IsLeaf]]=1,Tasks[[#This Row],[_LeafTotalWork]]&gt;0),Tasks[[#This Row],[_LeafWork]]/(Tasks[[#This Row],[_FinishWorkday]]-Tasks[[#This Row],[_StartWorkday]]+1),0)</f>
        <v>0</v>
      </c>
      <c r="FJ156" s="45" t="n">
        <f aca="false">Tasks[[#This Row],[_WorkPerWorkday]]*(Tasks[[#This Row],[_StartWorkday]]-1)</f>
        <v>-0</v>
      </c>
      <c r="FK156" s="45" t="n">
        <f aca="false">IF(Tasks[[#This Row],[_IsLeaf]]=1,MAX(N(Tasks[[#This Row],[Duration]]),0.1),0)</f>
        <v>0</v>
      </c>
      <c r="FL156" s="45" t="n">
        <f aca="false">Tasks[[#This Row],[_WeightDur]]*Tasks[[#This Row],[_LeafProgress]]</f>
        <v>0</v>
      </c>
      <c r="FM15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56" s="45" t="str">
        <f aca="false">IF(AND(Tasks[[#This Row],[_IsLeaf]]=1,N(Tasks[[#This Row],[Duration]])=0,Tasks[[#This Row],[_LeafProgress]]&lt;1),Tasks[[#This Row],[_ShownFcstFinish]]+Tasks[[#This Row],[_Row]]/100000,"")</f>
        <v/>
      </c>
      <c r="FO15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56" s="45" t="n">
        <f aca="false">IF(NOT(Tasks[[#This Row],[_IsLeaf]]=1),0,IF(Tasks[[#This Row],[Baseline Cost]]="",Tasks[[#This Row],[_LeafTotalCost]],N(Tasks[[#This Row],[Baseline Cost]])))</f>
        <v>0</v>
      </c>
      <c r="FQ156" s="45" t="n">
        <f aca="false">Tasks[[#This Row],[_LeafBudget]]*Tasks[[#This Row],[_PlannedPct]]</f>
        <v>0</v>
      </c>
      <c r="FR156" s="45" t="n">
        <f aca="false">Tasks[[#This Row],[_LeafBudget]]*Tasks[[#This Row],[_LeafProgress]]</f>
        <v>0</v>
      </c>
      <c r="FS156" s="45" t="n">
        <f aca="false">IF(NOT(Tasks[[#This Row],[_IsLeaf]]=1),0,IF(Tasks[[#This Row],[Actual Cost]]="",Tasks[[#This Row],[_LeafTotalCost]]*Tasks[[#This Row],[_LeafProgress]],N(Tasks[[#This Row],[Actual Cost]])))</f>
        <v>0</v>
      </c>
      <c r="FT156" s="45" t="str">
        <f aca="false">IF(Tasks[[#This Row],[Task Name]]="","",LEFT(Tasks[[#This Row],[WBS]],FIND(".",Tasks[[#This Row],[WBS]]&amp;".")-1))</f>
        <v/>
      </c>
      <c r="FU156" s="45" t="str">
        <f aca="false">IF(AND(Tasks[[#This Row],[Task Name]]&lt;&gt;"",Tasks[[#This Row],[_Level]]=1),Tasks[[#This Row],[_Row]],"")</f>
        <v/>
      </c>
      <c r="FV156" s="45" t="str">
        <f aca="false">IF(AND(Tasks[[#This Row],[_IsLeaf]]=1,N(Tasks[[#This Row],[Duration]])=0),Tasks[[#This Row],[Planned Finish]]+Tasks[[#This Row],[_Row]]/100000,"")</f>
        <v/>
      </c>
      <c r="FW156" s="45" t="str">
        <f aca="false">IF(AND(Tasks[[#This Row],[_IsLeaf]]=1,Tasks[[#This Row],[_LeafProgress]]&lt;1,OR(N(Tasks[[#This Row],[Finish Var]])&gt;0,Tasks[[#This Row],[Status]]="Late Start")),MAX(0,Tasks[[#This Row],[Finish Var]])+1-Tasks[[#This Row],[_Row]]/1000000,"")</f>
        <v/>
      </c>
      <c r="FX156" s="45" t="str">
        <f aca="false">IF(AND(Tasks[[#This Row],[_IsLeaf]]=1,N(Tasks[[#This Row],[Actual Start]])=0,Tasks[[#This Row],[_ShownFcstStart]]&gt;=StatusDate,Tasks[[#This Row],[_ShownFcstStart]]&lt;=LookaheadEnd),Tasks[[#This Row],[_ShownFcstStart]]+Tasks[[#This Row],[_Row]]/100000,"")</f>
        <v/>
      </c>
      <c r="FY156" s="45" t="str">
        <f aca="false">IF(AND(Tasks[[#This Row],[_IsLeaf]]=1,Tasks[[#This Row],[_LeafProgress]]&lt;1,Tasks[[#This Row],[_ShownFcstFinish]]&gt;=StatusDate,Tasks[[#This Row],[_ShownFcstFinish]]&lt;=LookaheadEnd),Tasks[[#This Row],[_ShownFcstFinish]]+Tasks[[#This Row],[_Row]]/100000,"")</f>
        <v/>
      </c>
      <c r="FZ156" s="45" t="str">
        <f aca="false">IF(Tasks[[#This Row],[_LeafCritical]],Tasks[[#This Row],[_ShownFcstStart]]+Tasks[[#This Row],[_Row]]/100000,"")</f>
        <v/>
      </c>
      <c r="GA156" s="45" t="n">
        <f aca="false">Tasks[[#This Row],[_LeafWork]]*Tasks[[#This Row],[_LeafProgress]]</f>
        <v>0</v>
      </c>
      <c r="GB156" s="74" t="str">
        <f aca="false">IF(AND(Tasks[[#This Row],[_IsLeaf]]=1,Tasks[[#This Row],[_LeafProgress]]&gt;=1),IF(N(Tasks[[#This Row],[Actual Finish]])&gt;0,Tasks[[#This Row],[Actual Finish]],Tasks[[#This Row],[_ShownFcstFinish]]),"")</f>
        <v/>
      </c>
    </row>
    <row r="157" customFormat="false" ht="15" hidden="false" customHeight="false" outlineLevel="0" collapsed="false">
      <c r="A157" s="67" t="str">
        <f aca="false">IF(Tasks[[#This Row],[Task Name]]="","",COUNTA(Tasks[[#Headers],[Task Name]]:Tasks[[#This Row],[Task Name]])-1)</f>
        <v/>
      </c>
      <c r="B157" s="21" t="n">
        <v>152</v>
      </c>
      <c r="C15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21"/>
      <c r="E157" s="22"/>
      <c r="F157" s="21"/>
      <c r="G157" s="22"/>
      <c r="H157" s="22"/>
      <c r="I157" s="22"/>
      <c r="J157" s="7"/>
      <c r="K157" s="7"/>
      <c r="L157" s="22"/>
      <c r="M157" s="58" t="str">
        <f aca="false">IF(Tasks[[#This Row],[Task Name]]="","",IF(Tasks[[#This Row],[_IsSummary]],MIN(INDEX(Tasks[_ShownFcstStart],Tasks[[#This Row],[_Row]]+1):INDEX(Tasks[_ShownFcstStart],Tasks[[#This Row],[_Row]]+Tasks[[#This Row],[_Descendants]])),Tasks[[#This Row],[_ShownFcstStart]]))</f>
        <v/>
      </c>
      <c r="N157" s="58" t="str">
        <f aca="false">IF(Tasks[[#This Row],[Task Name]]="","",IF(Tasks[[#This Row],[_IsSummary]],MAX(INDEX(Tasks[_ShownFcstFinish],Tasks[[#This Row],[_Row]]+1):INDEX(Tasks[_ShownFcstFinish],Tasks[[#This Row],[_Row]]+Tasks[[#This Row],[_Descendants]])),Tasks[[#This Row],[_ShownFcstFinish]]))</f>
        <v/>
      </c>
      <c r="O157" s="20" t="str">
        <f aca="false">IF(Tasks[[#This Row],[Task Name]]="","",IF(Tasks[[#This Row],[Progress]]&gt;=1,"Complete",IF(OR(N(Tasks[[#This Row],[Actual Start]])&gt;0,Tasks[[#This Row],[Progress]]&gt;0),IF(Tasks[[#This Row],[Finish Var]]&gt;0,"Behind","In Progress"),IF(Tasks[[#This Row],[Planned Start]]&lt;StatusDate,"Late Start","Not Started"))))</f>
        <v/>
      </c>
      <c r="P157" s="20" t="str">
        <f aca="false">IF(Tasks[[#This Row],[Task Name]]="","",IF(IF(Tasks[[#This Row],[_IsSummary]],COUNTIF(INDEX(Tasks[_LeafCritical],Tasks[[#This Row],[_Row]]+1):INDEX(Tasks[_LeafCritical],Tasks[[#This Row],[_Row]]+Tasks[[#This Row],[_Descendants]]),TRUE())&gt;0,Tasks[[#This Row],[_LeafCritical]]),"Yes",""))</f>
        <v/>
      </c>
      <c r="Q15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57" s="67" t="str">
        <f aca="false">IF(Tasks[[#This Row],[Task Name]]="","",IF(Tasks[[#This Row],[_Level]]&lt;=OutlineShowLevel,"Yes","No"))</f>
        <v/>
      </c>
      <c r="S157" s="7"/>
      <c r="T157" s="21"/>
      <c r="U157" s="22"/>
      <c r="V157" s="7"/>
      <c r="W157" s="67" t="str">
        <f aca="false">IF(Tasks[[#This Row],[Task Name]]="","",IF(Tasks[[#This Row],[Finish]]&gt;=Tasks[[#This Row],[Planned Finish]],NETWORKDAYS.INTL(Tasks[[#This Row],[Planned Finish]],Tasks[[#This Row],[Finish]],WorkWeek,Holidays)-1,1-NETWORKDAYS.INTL(Tasks[[#This Row],[Finish]],Tasks[[#This Row],[Planned Finish]],WorkWeek,Holidays)))</f>
        <v/>
      </c>
      <c r="X157" s="58" t="str">
        <f aca="false">IF(Tasks[[#This Row],[Task Name]]="","",IF(N(Tasks[[#This Row],[Baseline Start]])&gt;0,Tasks[[#This Row],[Baseline Start]],Tasks[[#This Row],[_CalcStart]]))</f>
        <v/>
      </c>
      <c r="Y157" s="58" t="str">
        <f aca="false">IF(Tasks[[#This Row],[Task Name]]="","",IF(N(Tasks[[#This Row],[Baseline Finish]])&gt;0,Tasks[[#This Row],[Baseline Finish]],Tasks[[#This Row],[_CalcFinish]]))</f>
        <v/>
      </c>
      <c r="Z157" s="67" t="str">
        <f aca="false">IF(Tasks[[#This Row],[Task Name]]="","",IF(Tasks[[#This Row],[Start]]&gt;=Tasks[[#This Row],[Planned Start]],NETWORKDAYS.INTL(Tasks[[#This Row],[Planned Start]],Tasks[[#This Row],[Start]],WorkWeek,Holidays)-1,1-NETWORKDAYS.INTL(Tasks[[#This Row],[Start]],Tasks[[#This Row],[Planned Start]],WorkWeek,Holidays)))</f>
        <v/>
      </c>
      <c r="AA157" s="58" t="str">
        <f aca="false">IF(Tasks[[#This Row],[Task Name]]="","",IF(Tasks[[#This Row],[_IsSummary]],MIN(INDEX(Tasks[_LeafLateStart],Tasks[[#This Row],[_Row]]+1):INDEX(Tasks[_LeafLateStart],Tasks[[#This Row],[_Row]]+Tasks[[#This Row],[_Descendants]])),Tasks[[#This Row],[_LeafLateStart]]))</f>
        <v/>
      </c>
      <c r="AB157" s="58" t="str">
        <f aca="false">IF(Tasks[[#This Row],[Task Name]]="","",IF(Tasks[[#This Row],[_IsSummary]],MAX(INDEX(Tasks[_LeafLateFinish],Tasks[[#This Row],[_Row]]+1):INDEX(Tasks[_LeafLateFinish],Tasks[[#This Row],[_Row]]+Tasks[[#This Row],[_Descendants]])),Tasks[[#This Row],[_LeafLateFinish]]))</f>
        <v/>
      </c>
      <c r="AC157" s="67" t="str">
        <f aca="false">IF(Tasks[[#This Row],[Task Name]]="","",IF(Tasks[[#This Row],[_IsSummary]],MIN(INDEX(Tasks[_LeafTotalSlack],Tasks[[#This Row],[_Row]]+1):INDEX(Tasks[_LeafTotalSlack],Tasks[[#This Row],[_Row]]+Tasks[[#This Row],[_Descendants]])),Tasks[[#This Row],[_LeafTotalSlack]]))</f>
        <v/>
      </c>
      <c r="AD15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5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5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57" s="60"/>
      <c r="AH15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5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57" s="69" t="str">
        <f aca="false">IF(Tasks[[#This Row],[Task Name]]="","",IF(Tasks[[#This Row],[_IsSummary]],SUM(INDEX(Tasks[_LeafTotalWork],Tasks[[#This Row],[_Row]]+1):INDEX(Tasks[_LeafTotalWork],Tasks[[#This Row],[_Row]]+Tasks[[#This Row],[_Descendants]])),Tasks[[#This Row],[_LeafTotalWork]]))</f>
        <v/>
      </c>
      <c r="AK15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57" s="70" t="str">
        <f aca="false">IF(Tasks[[#This Row],[Task Name]]="","",IF(Tasks[[#This Row],[_IsSummary]],SUM(INDEX(Tasks[_LeafTotalCost],Tasks[[#This Row],[_Row]]+1):INDEX(Tasks[_LeafTotalCost],Tasks[[#This Row],[_Row]]+Tasks[[#This Row],[_Descendants]])),Tasks[[#This Row],[_LeafTotalCost]]))</f>
        <v/>
      </c>
      <c r="AM157" s="71"/>
      <c r="AN157" s="20" t="str">
        <f aca="false">IF(OR(Tasks[[#This Row],[Task Name]]="",Tasks[[#This Row],[Baseline Duration]]=""),"",Tasks[[#This Row],[BL Source Duration]]-N(Tasks[[#This Row],[Baseline Duration]]))</f>
        <v/>
      </c>
      <c r="AO157" s="69" t="str">
        <f aca="false">IF(OR(Tasks[[#This Row],[Task Name]]="",Tasks[[#This Row],[Baseline Work]]=""),"",Tasks[[#This Row],[Work]]-N(Tasks[[#This Row],[Baseline Work]]))</f>
        <v/>
      </c>
      <c r="AP157" s="70" t="str">
        <f aca="false">IF(OR(Tasks[[#This Row],[Task Name]]="",Tasks[[#This Row],[Baseline Cost]]=""),"",Tasks[[#This Row],[Cost]]-N(Tasks[[#This Row],[Baseline Cost]]))</f>
        <v/>
      </c>
      <c r="AQ157" s="58" t="str">
        <f aca="false">IF(Tasks[[#This Row],[Task Name]]="","",Tasks[[#This Row],[Start]])</f>
        <v/>
      </c>
      <c r="AR157" s="58" t="str">
        <f aca="false">IF(Tasks[[#This Row],[Task Name]]="","",Tasks[[#This Row],[Finish]])</f>
        <v/>
      </c>
      <c r="AS157" s="67" t="str">
        <f aca="false">IF(Tasks[[#This Row],[Task Name]]="","",IF(Tasks[[#This Row],[_IsSummary]],NETWORKDAYS.INTL(Tasks[[#This Row],[Start]],Tasks[[#This Row],[Finish]],WorkWeek,Holidays),N(Tasks[[#This Row],[Duration]])))</f>
        <v/>
      </c>
      <c r="AT157" s="69" t="str">
        <f aca="false">IF(Tasks[[#This Row],[Task Name]]="","",Tasks[[#This Row],[Work]])</f>
        <v/>
      </c>
      <c r="AU157" s="70" t="str">
        <f aca="false">IF(Tasks[[#This Row],[Task Name]]="","",Tasks[[#This Row],[Cost]])</f>
        <v/>
      </c>
      <c r="AV157" s="7"/>
      <c r="AW157" s="7"/>
      <c r="AX157" s="21"/>
      <c r="AY157" s="72"/>
      <c r="AZ157" s="71"/>
      <c r="BA157" s="70" t="str">
        <f aca="false">IF(Tasks[[#This Row],[Task Name]]="","",IF(Tasks[[#This Row],[_IsSummary]],SUM(INDEX(Tasks[_LeafEV],Tasks[[#This Row],[_Row]]+1):INDEX(Tasks[_LeafEV],Tasks[[#This Row],[_Row]]+Tasks[[#This Row],[_Descendants]])),Tasks[[#This Row],[_LeafEV]]))</f>
        <v/>
      </c>
      <c r="BB157" s="70" t="str">
        <f aca="false">IF(Tasks[[#This Row],[Task Name]]="","",IF(Tasks[[#This Row],[_IsSummary]],SUM(INDEX(Tasks[_LeafBudget],Tasks[[#This Row],[_Row]]+1):INDEX(Tasks[_LeafBudget],Tasks[[#This Row],[_Row]]+Tasks[[#This Row],[_Descendants]])),Tasks[[#This Row],[_LeafBudget]]))</f>
        <v/>
      </c>
      <c r="BC157" s="70" t="str">
        <f aca="false">IF(Tasks[[#This Row],[Task Name]]="","",IF(Tasks[[#This Row],[_IsSummary]],SUM(INDEX(Tasks[_LeafPV],Tasks[[#This Row],[_Row]]+1):INDEX(Tasks[_LeafPV],Tasks[[#This Row],[_Row]]+Tasks[[#This Row],[_Descendants]])),Tasks[[#This Row],[_LeafPV]]))</f>
        <v/>
      </c>
      <c r="BD157" s="70" t="str">
        <f aca="false">IF(Tasks[[#This Row],[Task Name]]="","",IF(Tasks[[#This Row],[_IsSummary]],SUM(INDEX(Tasks[_LeafAC],Tasks[[#This Row],[_Row]]+1):INDEX(Tasks[_LeafAC],Tasks[[#This Row],[_Row]]+Tasks[[#This Row],[_Descendants]])),Tasks[[#This Row],[_LeafAC]]))</f>
        <v/>
      </c>
      <c r="BE157" s="45" t="str">
        <f aca="false">IF(Tasks[[#This Row],[Task Name]]="","",MAX(1,N(Tasks[[#This Row],[Level]])))</f>
        <v/>
      </c>
      <c r="BF157" s="45" t="n">
        <f aca="false">ROW()-ROW(Tasks[[#Headers],[ID]])</f>
        <v>152</v>
      </c>
      <c r="BG157" s="45" t="n">
        <f aca="false">IF(OR(Tasks[[#This Row],[Task Name]]="",Tasks[[#This Row],[_Level]]&lt;=1),0,IFERROR(LOOKUP(2,1/(Tasks[[#Headers],[_Level]]:Tasks[[#This Row],[_Level]]=Tasks[[#This Row],[_Level]]-1),ROW(Tasks[[#Headers],[_Level]]:Tasks[[#This Row],[_Level]])),0))</f>
        <v>0</v>
      </c>
      <c r="BH157" s="45" t="n">
        <f aca="false">IFERROR(N(INDEX(Tasks[_Level],Tasks[[#This Row],[_Row]]+1)),0)</f>
        <v>0</v>
      </c>
      <c r="BI157" s="73" t="b">
        <f aca="false">AND(Tasks[[#This Row],[Task Name]]&lt;&gt;"",Tasks[[#This Row],[_NextLevel]]&gt;Tasks[[#This Row],[_Level]])</f>
        <v>0</v>
      </c>
      <c r="BJ157" s="45" t="n">
        <f aca="false">IF(Tasks[[#This Row],[_IsSummary]],COUNTIF(Tasks[WBS],Tasks[[#This Row],[WBS]]&amp;".*"),0)</f>
        <v>0</v>
      </c>
      <c r="BK157" s="45" t="n">
        <f aca="false">IF(AND(Tasks[[#This Row],[Task Name]]&lt;&gt;"",NOT(Tasks[[#This Row],[_IsSummary]])),1,0)</f>
        <v>0</v>
      </c>
      <c r="BL157" s="45" t="n">
        <f aca="false">IF(N(Tasks[[#This Row],[_Pred1UID]])=0,0,IFERROR(MATCH(Tasks[[#This Row],[_Pred1UID]],Tasks[UID],0),-1))</f>
        <v>0</v>
      </c>
      <c r="BM157" s="45" t="n">
        <f aca="false">IF(N(Tasks[[#This Row],[_Pred2UID]])=0,0,IFERROR(MATCH(Tasks[[#This Row],[_Pred2UID]],Tasks[UID],0),-1))</f>
        <v>0</v>
      </c>
      <c r="BN157" s="45" t="n">
        <f aca="false">IF(N(Tasks[[#This Row],[_Pred3UID]])=0,0,IFERROR(MATCH(Tasks[[#This Row],[_Pred3UID]],Tasks[UID],0),-1))</f>
        <v>0</v>
      </c>
      <c r="BO157" s="45" t="n">
        <f aca="false">IF(N(Tasks[[#This Row],[_Pred4UID]])=0,0,IFERROR(MATCH(Tasks[[#This Row],[_Pred4UID]],Tasks[UID],0),-1))</f>
        <v>0</v>
      </c>
      <c r="BP15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5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57" s="74" t="n">
        <f aca="false">IF(OR(Tasks[[#This Row],[_ConstraintCode]]=2,Tasks[[#This Row],[_ConstraintCode]]=3,Tasks[[#This Row],[_ConstraintCode]]=4,Tasks[[#This Row],[_ConstraintCode]]=6),Tasks[[#This Row],[_ConstraintStart]],0)</f>
        <v>0</v>
      </c>
      <c r="BS157" s="74" t="n">
        <f aca="false">IF(OR(Tasks[[#This Row],[_ConstraintCode]]=2,Tasks[[#This Row],[_ConstraintCode]]=3,Tasks[[#This Row],[_ConstraintCode]]=5,Tasks[[#This Row],[_ConstraintCode]]=7),Tasks[[#This Row],[_ConstraintStart]],2958465)</f>
        <v>2958465</v>
      </c>
      <c r="BT15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57" s="74" t="str">
        <f aca="false">IF(NOT(Tasks[[#This Row],[_IsLeaf]]=1),"",IF(N(Tasks[[#This Row],[Duration]])&lt;=0,Tasks[[#This Row],[_LeafCalcStart]],WORKDAY.INTL(Tasks[[#This Row],[_LeafCalcStart]],Tasks[[#This Row],[Duration]]-1,WorkWeek,Holidays)))</f>
        <v/>
      </c>
      <c r="BV15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5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57" s="45" t="str">
        <f aca="false">IF(Tasks[[#This Row],[Predecessors]]="","",TRIM(MID(SUBSTITUTE(SUBSTITUTE(SUBSTITUTE(UPPER(Tasks[[#This Row],[Predecessors]]),";",",")," ",""),",",REPT(" ",99)),1,99)))</f>
        <v/>
      </c>
      <c r="BY157" s="45" t="str">
        <f aca="false">IF(Tasks[[#This Row],[_Pred1Text]]="","",IFERROR(VALUE(LEFT(Tasks[[#This Row],[_Pred1Text]],MIN(FIND("F",Tasks[[#This Row],[_Pred1Text]]&amp;"F"),FIND("S",Tasks[[#This Row],[_Pred1Text]]&amp;"S"),FIND("+",Tasks[[#This Row],[_Pred1Text]]&amp;"+"),FIND("-",Tasks[[#This Row],[_Pred1Text]]&amp;"-"))-1)),""))</f>
        <v/>
      </c>
      <c r="BZ15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5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57" s="45" t="str">
        <f aca="false">IF(Tasks[[#This Row],[_Pred1Text]]="","",TRIM(MID(SUBSTITUTE(SUBSTITUTE(SUBSTITUTE(UPPER(Tasks[[#This Row],[Predecessors]]),";",",")," ",""),",",REPT(" ",99)),100,99)))</f>
        <v/>
      </c>
      <c r="CC157" s="45" t="str">
        <f aca="false">IF(Tasks[[#This Row],[_Pred2Text]]="","",IFERROR(VALUE(LEFT(Tasks[[#This Row],[_Pred2Text]],MIN(FIND("F",Tasks[[#This Row],[_Pred2Text]]&amp;"F"),FIND("S",Tasks[[#This Row],[_Pred2Text]]&amp;"S"),FIND("+",Tasks[[#This Row],[_Pred2Text]]&amp;"+"),FIND("-",Tasks[[#This Row],[_Pred2Text]]&amp;"-"))-1)),""))</f>
        <v/>
      </c>
      <c r="CD15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5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57" s="45" t="str">
        <f aca="false">IF(Tasks[[#This Row],[_Pred2Text]]="","",TRIM(MID(SUBSTITUTE(SUBSTITUTE(SUBSTITUTE(UPPER(Tasks[[#This Row],[Predecessors]]),";",",")," ",""),",",REPT(" ",99)),199,99)))</f>
        <v/>
      </c>
      <c r="CG157" s="45" t="str">
        <f aca="false">IF(Tasks[[#This Row],[_Pred3Text]]="","",IFERROR(VALUE(LEFT(Tasks[[#This Row],[_Pred3Text]],MIN(FIND("F",Tasks[[#This Row],[_Pred3Text]]&amp;"F"),FIND("S",Tasks[[#This Row],[_Pred3Text]]&amp;"S"),FIND("+",Tasks[[#This Row],[_Pred3Text]]&amp;"+"),FIND("-",Tasks[[#This Row],[_Pred3Text]]&amp;"-"))-1)),""))</f>
        <v/>
      </c>
      <c r="CH15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5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57" s="45" t="str">
        <f aca="false">IF(Tasks[[#This Row],[_Pred3Text]]="","",TRIM(MID(SUBSTITUTE(SUBSTITUTE(SUBSTITUTE(UPPER(Tasks[[#This Row],[Predecessors]]),";",",")," ",""),",",REPT(" ",99)),298,99)))</f>
        <v/>
      </c>
      <c r="CK157" s="45" t="str">
        <f aca="false">IF(Tasks[[#This Row],[_Pred4Text]]="","",IFERROR(VALUE(LEFT(Tasks[[#This Row],[_Pred4Text]],MIN(FIND("F",Tasks[[#This Row],[_Pred4Text]]&amp;"F"),FIND("S",Tasks[[#This Row],[_Pred4Text]]&amp;"S"),FIND("+",Tasks[[#This Row],[_Pred4Text]]&amp;"+"),FIND("-",Tasks[[#This Row],[_Pred4Text]]&amp;"-"))-1)),""))</f>
        <v/>
      </c>
      <c r="CL15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5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57" s="45" t="str">
        <f aca="false">IF(OR(Tasks[[#This Row],[Task Name]]="",Tasks[[#This Row],[Resources]]=""),"",TRIM(MID(SUBSTITUTE(Tasks[[#This Row],[Resources]],",",REPT(" ",99)),1,99)))</f>
        <v/>
      </c>
      <c r="CO157" s="45" t="str">
        <f aca="false">IF(Tasks[[#This Row],[_Res1Text]]="","",TRIM(MID(SUBSTITUTE(Tasks[[#This Row],[Resources]],",",REPT(" ",99)),100,99)))</f>
        <v/>
      </c>
      <c r="CP157" s="45" t="str">
        <f aca="false">IF(Tasks[[#This Row],[_Res2Text]]="","",TRIM(MID(SUBSTITUTE(Tasks[[#This Row],[Resources]],",",REPT(" ",99)),199,99)))</f>
        <v/>
      </c>
      <c r="CQ157" s="45" t="str">
        <f aca="false">IF(Tasks[[#This Row],[_Res3Text]]="","",TRIM(MID(SUBSTITUTE(Tasks[[#This Row],[Resources]],",",REPT(" ",99)),298,99)))</f>
        <v/>
      </c>
      <c r="CR15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5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7" s="45" t="n">
        <f aca="false">IF(NOT(Tasks[[#This Row],[_IsLeaf]]=1),0,(Tasks[[#This Row],[_Resource1]]&lt;&gt;"")+(Tasks[[#This Row],[_Res2]]&lt;&gt;"")+(Tasks[[#This Row],[_Res3]]&lt;&gt;"")+(Tasks[[#This Row],[_Res4]]&lt;&gt;""))</f>
        <v>0</v>
      </c>
      <c r="CU15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5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7" s="45" t="n">
        <f aca="false">IF(OR(NOT(Tasks[[#This Row],[_IsLeaf]]=1),Tasks[[#This Row],[_Res2]]=""),0,IF(ISNA(MATCH(Tasks[[#This Row],[_Res2]],res_Name,0)),0,N(Tasks[[#This Row],[Duration]])*HoursPerDay*IF(Tasks[[#This Row],[_Res2Units]]="",DefaultUnits,Tasks[[#This Row],[_Res2Units]])))</f>
        <v>0</v>
      </c>
      <c r="CX157" s="45" t="n">
        <f aca="false">IF(Tasks[[#This Row],[_Res2Work]]=0,0,Tasks[[#This Row],[_Res2Work]]*IFERROR(INDEX(res_Rate,MATCH(Tasks[[#This Row],[_Res2]],res_Name,0)),0))</f>
        <v>0</v>
      </c>
      <c r="CY157" s="45" t="n">
        <f aca="false">IF(AND(AND(Tasks[[#This Row],[_IsLeaf]]=1,Tasks[[#This Row],[_LeafTotalWork]]&gt;0),Tasks[[#This Row],[_Res2Work]]&gt;0),Tasks[[#This Row],[_Res2Work]]/(Tasks[[#This Row],[_FinishWorkday]]-Tasks[[#This Row],[_StartWorkday]]+1),0)</f>
        <v>0</v>
      </c>
      <c r="CZ157" s="45" t="n">
        <f aca="false">Tasks[[#This Row],[_Res2WorkPerWD]]*MAX(0,Tasks[[#This Row],[_StartWorkday]]-1)</f>
        <v>0</v>
      </c>
      <c r="DA157" s="45" t="n">
        <f aca="false">Tasks[[#This Row],[_Res2Work]]*Tasks[[#This Row],[_LeafProgress]]</f>
        <v>0</v>
      </c>
      <c r="DB157" s="45" t="n">
        <f aca="false">IF(Tasks[[#This Row],[_LeafTotalCost]]=0,0,Tasks[[#This Row],[_LeafAC]]*Tasks[[#This Row],[_Res2Cost]]/Tasks[[#This Row],[_LeafTotalCost]])</f>
        <v>0</v>
      </c>
      <c r="DC15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5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57" s="45" t="n">
        <f aca="false">IF(OR(NOT(Tasks[[#This Row],[_IsLeaf]]=1),Tasks[[#This Row],[_Res3]]=""),0,IF(ISNA(MATCH(Tasks[[#This Row],[_Res3]],res_Name,0)),0,N(Tasks[[#This Row],[Duration]])*HoursPerDay*IF(Tasks[[#This Row],[_Res3Units]]="",DefaultUnits,Tasks[[#This Row],[_Res3Units]])))</f>
        <v>0</v>
      </c>
      <c r="DF157" s="45" t="n">
        <f aca="false">IF(Tasks[[#This Row],[_Res3Work]]=0,0,Tasks[[#This Row],[_Res3Work]]*IFERROR(INDEX(res_Rate,MATCH(Tasks[[#This Row],[_Res3]],res_Name,0)),0))</f>
        <v>0</v>
      </c>
      <c r="DG157" s="45" t="n">
        <f aca="false">IF(AND(AND(Tasks[[#This Row],[_IsLeaf]]=1,Tasks[[#This Row],[_LeafTotalWork]]&gt;0),Tasks[[#This Row],[_Res3Work]]&gt;0),Tasks[[#This Row],[_Res3Work]]/(Tasks[[#This Row],[_FinishWorkday]]-Tasks[[#This Row],[_StartWorkday]]+1),0)</f>
        <v>0</v>
      </c>
      <c r="DH157" s="45" t="n">
        <f aca="false">Tasks[[#This Row],[_Res3WorkPerWD]]*MAX(0,Tasks[[#This Row],[_StartWorkday]]-1)</f>
        <v>0</v>
      </c>
      <c r="DI157" s="45" t="n">
        <f aca="false">Tasks[[#This Row],[_Res3Work]]*Tasks[[#This Row],[_LeafProgress]]</f>
        <v>0</v>
      </c>
      <c r="DJ157" s="45" t="n">
        <f aca="false">IF(Tasks[[#This Row],[_LeafTotalCost]]=0,0,Tasks[[#This Row],[_LeafAC]]*Tasks[[#This Row],[_Res3Cost]]/Tasks[[#This Row],[_LeafTotalCost]])</f>
        <v>0</v>
      </c>
      <c r="DK15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5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57" s="45" t="n">
        <f aca="false">IF(OR(NOT(Tasks[[#This Row],[_IsLeaf]]=1),Tasks[[#This Row],[_Res4]]=""),0,IF(ISNA(MATCH(Tasks[[#This Row],[_Res4]],res_Name,0)),0,N(Tasks[[#This Row],[Duration]])*HoursPerDay*IF(Tasks[[#This Row],[_Res4Units]]="",DefaultUnits,Tasks[[#This Row],[_Res4Units]])))</f>
        <v>0</v>
      </c>
      <c r="DN157" s="45" t="n">
        <f aca="false">IF(Tasks[[#This Row],[_Res4Work]]=0,0,Tasks[[#This Row],[_Res4Work]]*IFERROR(INDEX(res_Rate,MATCH(Tasks[[#This Row],[_Res4]],res_Name,0)),0))</f>
        <v>0</v>
      </c>
      <c r="DO157" s="45" t="n">
        <f aca="false">IF(AND(AND(Tasks[[#This Row],[_IsLeaf]]=1,Tasks[[#This Row],[_LeafTotalWork]]&gt;0),Tasks[[#This Row],[_Res4Work]]&gt;0),Tasks[[#This Row],[_Res4Work]]/(Tasks[[#This Row],[_FinishWorkday]]-Tasks[[#This Row],[_StartWorkday]]+1),0)</f>
        <v>0</v>
      </c>
      <c r="DP157" s="45" t="n">
        <f aca="false">Tasks[[#This Row],[_Res4WorkPerWD]]*MAX(0,Tasks[[#This Row],[_StartWorkday]]-1)</f>
        <v>0</v>
      </c>
      <c r="DQ157" s="45" t="n">
        <f aca="false">Tasks[[#This Row],[_Res4Work]]*Tasks[[#This Row],[_LeafProgress]]</f>
        <v>0</v>
      </c>
      <c r="DR157" s="45" t="n">
        <f aca="false">IF(Tasks[[#This Row],[_LeafTotalCost]]=0,0,Tasks[[#This Row],[_LeafAC]]*Tasks[[#This Row],[_Res4Cost]]/Tasks[[#This Row],[_LeafTotalCost]])</f>
        <v>0</v>
      </c>
      <c r="DS157" s="45" t="n">
        <f aca="false">IF(ISNUMBER(Tasks[[#This Row],[% Complete]]),Tasks[[#This Row],[% Complete]],IF(Tasks[[#This Row],[Stage]]="",0,IFERROR(INDEX(stg_Pct,MATCH(Tasks[[#This Row],[Stage]],stg_Name,0)),0)))</f>
        <v>0</v>
      </c>
      <c r="DT157" s="45" t="n">
        <f aca="false">IF(NOT(Tasks[[#This Row],[_IsLeaf]]=1),0,IF(N(Tasks[[#This Row],[Actual Finish]])&gt;0,1,MIN(1,Tasks[[#This Row],[_Pct]])))</f>
        <v>0</v>
      </c>
      <c r="DU157" s="45" t="n">
        <f aca="false">IF(OR(NOT(Tasks[[#This Row],[_IsLeaf]]=1),Tasks[[#This Row],[_Resource1]]=""),0,IF(ISNA(MATCH(Tasks[[#This Row],[_Resource1]],res_Name,0)),0,N(Tasks[[#This Row],[Duration]])*HoursPerDay*IF(Tasks[[#This Row],[_Units1]]="",DefaultUnits,Tasks[[#This Row],[_Units1]])))</f>
        <v>0</v>
      </c>
      <c r="DV157" s="45" t="n">
        <f aca="false">IF(Tasks[[#This Row],[_LeafWork]]=0,0,Tasks[[#This Row],[_LeafWork]]*IFERROR(INDEX(res_Rate,MATCH(Tasks[[#This Row],[_Resource1]],res_Name,0)),0))</f>
        <v>0</v>
      </c>
      <c r="DW157" s="45" t="n">
        <f aca="false">Tasks[[#This Row],[_LeafWork]]+Tasks[[#This Row],[_Res2Work]]+Tasks[[#This Row],[_Res3Work]]+Tasks[[#This Row],[_Res4Work]]</f>
        <v>0</v>
      </c>
      <c r="DX157" s="45" t="n">
        <f aca="false">Tasks[[#This Row],[_LeafCost]]+Tasks[[#This Row],[_Res2Cost]]+Tasks[[#This Row],[_Res3Cost]]+Tasks[[#This Row],[_Res4Cost]]</f>
        <v>0</v>
      </c>
      <c r="DY157" s="45" t="n">
        <f aca="false">IF(Tasks[[#This Row],[_LeafTotalCost]]=0,Tasks[[#This Row],[_LeafAC]],Tasks[[#This Row],[_LeafAC]]*Tasks[[#This Row],[_LeafCost]]/Tasks[[#This Row],[_LeafTotalCost]])</f>
        <v>0</v>
      </c>
      <c r="DZ15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5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5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5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5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5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5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5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57" s="45" t="n">
        <f aca="false">IF(NOT(Tasks[[#This Row],[_IsLeaf]]=1),0,MAX(_xlfn.MAXIFS(Tasks[_Row],Tasks[_Pred1UID],Tasks[[#This Row],[UID]]),_xlfn.MAXIFS(Tasks[_Row],Tasks[_Pred2UID],Tasks[[#This Row],[UID]]),_xlfn.MAXIFS(Tasks[_Row],Tasks[_Pred3UID],Tasks[[#This Row],[UID]]),_xlfn.MAXIFS(Tasks[_Row],Tasks[_Pred4UID],Tasks[[#This Row],[UID]])))</f>
        <v>0</v>
      </c>
      <c r="EI15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5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57" s="74" t="str">
        <f aca="false">IF(NOT(Tasks[[#This Row],[_IsLeaf]]=1),"",IF(N(Tasks[[#This Row],[Duration]])&lt;=0,Tasks[[#This Row],[_LeafLateFinish]],WORKDAY.INTL(Tasks[[#This Row],[_LeafLateFinish]],-(Tasks[[#This Row],[Duration]]-1),WorkWeek,Holidays)))</f>
        <v/>
      </c>
      <c r="EL15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57" s="73" t="b">
        <f aca="false">AND(Tasks[[#This Row],[_IsLeaf]]=1,Tasks[[#This Row],[_LeafProgress]]&lt;1,N(Tasks[[#This Row],[_LeafTotalSlack]])&lt;=CriticalSlackDays)</f>
        <v>0</v>
      </c>
      <c r="EN157" s="45" t="n">
        <f aca="false">IF(AND(Tasks[[#This Row],[_IsLeaf]]=1,Tasks[[#This Row],[_ConstraintCode]]=1,Tasks[[#This Row],[Mode]]&lt;&gt;"Manual",N(Tasks[[#This Row],[Actual Start]])=0),MAX(0,N(Tasks[[#This Row],[Free Slack]])),0)</f>
        <v>0</v>
      </c>
      <c r="EO157" s="74" t="str">
        <f aca="false">IF(NOT(Tasks[[#This Row],[_IsLeaf]]=1),"",IF(Tasks[[#This Row],[_AlapShift]]=0,Tasks[[#This Row],[_LeafCalcStart]],WORKDAY.INTL(Tasks[[#This Row],[_LeafCalcStart]],Tasks[[#This Row],[_AlapShift]],WorkWeek,Holidays)))</f>
        <v/>
      </c>
      <c r="EP157" s="74" t="str">
        <f aca="false">IF(NOT(Tasks[[#This Row],[_IsLeaf]]=1),"",IF(Tasks[[#This Row],[_AlapShift]]=0,Tasks[[#This Row],[_LeafCalcFinish]],WORKDAY.INTL(Tasks[[#This Row],[_LeafCalcFinish]],Tasks[[#This Row],[_AlapShift]],WorkWeek,Holidays)))</f>
        <v/>
      </c>
      <c r="EQ157" s="74" t="str">
        <f aca="false">IF(NOT(Tasks[[#This Row],[_IsLeaf]]=1),"",IF(Tasks[[#This Row],[_AlapShift]]=0,Tasks[[#This Row],[_LeafFcstStart]],WORKDAY.INTL(Tasks[[#This Row],[_LeafFcstStart]],Tasks[[#This Row],[_AlapShift]],WorkWeek,Holidays)))</f>
        <v/>
      </c>
      <c r="ER157" s="74" t="str">
        <f aca="false">IF(NOT(Tasks[[#This Row],[_IsLeaf]]=1),"",IF(Tasks[[#This Row],[_AlapShift]]=0,Tasks[[#This Row],[_LeafFcstFinish]],WORKDAY.INTL(Tasks[[#This Row],[_LeafFcstFinish]],Tasks[[#This Row],[_AlapShift]],WorkWeek,Holidays)))</f>
        <v/>
      </c>
      <c r="ES157" s="74" t="str">
        <f aca="false">IF(Tasks[[#This Row],[Task Name]]="","",IF(Tasks[[#This Row],[_IsSummary]],MIN(INDEX(Tasks[_ShownCalcStart],Tasks[[#This Row],[_Row]]+1):INDEX(Tasks[_ShownCalcStart],Tasks[[#This Row],[_Row]]+Tasks[[#This Row],[_Descendants]])),Tasks[[#This Row],[_ShownCalcStart]]))</f>
        <v/>
      </c>
      <c r="ET157" s="74" t="str">
        <f aca="false">IF(Tasks[[#This Row],[Task Name]]="","",IF(Tasks[[#This Row],[_IsSummary]],MAX(INDEX(Tasks[_ShownCalcFinish],Tasks[[#This Row],[_Row]]+1):INDEX(Tasks[_ShownCalcFinish],Tasks[[#This Row],[_Row]]+Tasks[[#This Row],[_Descendants]])),Tasks[[#This Row],[_ShownCalcFinish]]))</f>
        <v/>
      </c>
      <c r="EU15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5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5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5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5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5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5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5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5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5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5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5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57" s="45" t="n">
        <f aca="false">IF(AND(Tasks[[#This Row],[_IsLeaf]]=1,Tasks[[#This Row],[_LeafTotalWork]]&gt;0),NETWORKDAYS.INTL(ProjectStart,Tasks[[#This Row],[_ShownFcstStart]],WorkWeek,Holidays),0)</f>
        <v>0</v>
      </c>
      <c r="FH157" s="45" t="n">
        <f aca="false">IF(AND(Tasks[[#This Row],[_IsLeaf]]=1,Tasks[[#This Row],[_LeafTotalWork]]&gt;0),MAX(Tasks[[#This Row],[_StartWorkday]],NETWORKDAYS.INTL(ProjectStart,Tasks[[#This Row],[_ShownFcstFinish]],WorkWeek,Holidays)),0)</f>
        <v>0</v>
      </c>
      <c r="FI157" s="45" t="n">
        <f aca="false">IF(AND(Tasks[[#This Row],[_IsLeaf]]=1,Tasks[[#This Row],[_LeafTotalWork]]&gt;0),Tasks[[#This Row],[_LeafWork]]/(Tasks[[#This Row],[_FinishWorkday]]-Tasks[[#This Row],[_StartWorkday]]+1),0)</f>
        <v>0</v>
      </c>
      <c r="FJ157" s="45" t="n">
        <f aca="false">Tasks[[#This Row],[_WorkPerWorkday]]*(Tasks[[#This Row],[_StartWorkday]]-1)</f>
        <v>-0</v>
      </c>
      <c r="FK157" s="45" t="n">
        <f aca="false">IF(Tasks[[#This Row],[_IsLeaf]]=1,MAX(N(Tasks[[#This Row],[Duration]]),0.1),0)</f>
        <v>0</v>
      </c>
      <c r="FL157" s="45" t="n">
        <f aca="false">Tasks[[#This Row],[_WeightDur]]*Tasks[[#This Row],[_LeafProgress]]</f>
        <v>0</v>
      </c>
      <c r="FM15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57" s="45" t="str">
        <f aca="false">IF(AND(Tasks[[#This Row],[_IsLeaf]]=1,N(Tasks[[#This Row],[Duration]])=0,Tasks[[#This Row],[_LeafProgress]]&lt;1),Tasks[[#This Row],[_ShownFcstFinish]]+Tasks[[#This Row],[_Row]]/100000,"")</f>
        <v/>
      </c>
      <c r="FO15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57" s="45" t="n">
        <f aca="false">IF(NOT(Tasks[[#This Row],[_IsLeaf]]=1),0,IF(Tasks[[#This Row],[Baseline Cost]]="",Tasks[[#This Row],[_LeafTotalCost]],N(Tasks[[#This Row],[Baseline Cost]])))</f>
        <v>0</v>
      </c>
      <c r="FQ157" s="45" t="n">
        <f aca="false">Tasks[[#This Row],[_LeafBudget]]*Tasks[[#This Row],[_PlannedPct]]</f>
        <v>0</v>
      </c>
      <c r="FR157" s="45" t="n">
        <f aca="false">Tasks[[#This Row],[_LeafBudget]]*Tasks[[#This Row],[_LeafProgress]]</f>
        <v>0</v>
      </c>
      <c r="FS157" s="45" t="n">
        <f aca="false">IF(NOT(Tasks[[#This Row],[_IsLeaf]]=1),0,IF(Tasks[[#This Row],[Actual Cost]]="",Tasks[[#This Row],[_LeafTotalCost]]*Tasks[[#This Row],[_LeafProgress]],N(Tasks[[#This Row],[Actual Cost]])))</f>
        <v>0</v>
      </c>
      <c r="FT157" s="45" t="str">
        <f aca="false">IF(Tasks[[#This Row],[Task Name]]="","",LEFT(Tasks[[#This Row],[WBS]],FIND(".",Tasks[[#This Row],[WBS]]&amp;".")-1))</f>
        <v/>
      </c>
      <c r="FU157" s="45" t="str">
        <f aca="false">IF(AND(Tasks[[#This Row],[Task Name]]&lt;&gt;"",Tasks[[#This Row],[_Level]]=1),Tasks[[#This Row],[_Row]],"")</f>
        <v/>
      </c>
      <c r="FV157" s="45" t="str">
        <f aca="false">IF(AND(Tasks[[#This Row],[_IsLeaf]]=1,N(Tasks[[#This Row],[Duration]])=0),Tasks[[#This Row],[Planned Finish]]+Tasks[[#This Row],[_Row]]/100000,"")</f>
        <v/>
      </c>
      <c r="FW157" s="45" t="str">
        <f aca="false">IF(AND(Tasks[[#This Row],[_IsLeaf]]=1,Tasks[[#This Row],[_LeafProgress]]&lt;1,OR(N(Tasks[[#This Row],[Finish Var]])&gt;0,Tasks[[#This Row],[Status]]="Late Start")),MAX(0,Tasks[[#This Row],[Finish Var]])+1-Tasks[[#This Row],[_Row]]/1000000,"")</f>
        <v/>
      </c>
      <c r="FX157" s="45" t="str">
        <f aca="false">IF(AND(Tasks[[#This Row],[_IsLeaf]]=1,N(Tasks[[#This Row],[Actual Start]])=0,Tasks[[#This Row],[_ShownFcstStart]]&gt;=StatusDate,Tasks[[#This Row],[_ShownFcstStart]]&lt;=LookaheadEnd),Tasks[[#This Row],[_ShownFcstStart]]+Tasks[[#This Row],[_Row]]/100000,"")</f>
        <v/>
      </c>
      <c r="FY157" s="45" t="str">
        <f aca="false">IF(AND(Tasks[[#This Row],[_IsLeaf]]=1,Tasks[[#This Row],[_LeafProgress]]&lt;1,Tasks[[#This Row],[_ShownFcstFinish]]&gt;=StatusDate,Tasks[[#This Row],[_ShownFcstFinish]]&lt;=LookaheadEnd),Tasks[[#This Row],[_ShownFcstFinish]]+Tasks[[#This Row],[_Row]]/100000,"")</f>
        <v/>
      </c>
      <c r="FZ157" s="45" t="str">
        <f aca="false">IF(Tasks[[#This Row],[_LeafCritical]],Tasks[[#This Row],[_ShownFcstStart]]+Tasks[[#This Row],[_Row]]/100000,"")</f>
        <v/>
      </c>
      <c r="GA157" s="45" t="n">
        <f aca="false">Tasks[[#This Row],[_LeafWork]]*Tasks[[#This Row],[_LeafProgress]]</f>
        <v>0</v>
      </c>
      <c r="GB157" s="74" t="str">
        <f aca="false">IF(AND(Tasks[[#This Row],[_IsLeaf]]=1,Tasks[[#This Row],[_LeafProgress]]&gt;=1),IF(N(Tasks[[#This Row],[Actual Finish]])&gt;0,Tasks[[#This Row],[Actual Finish]],Tasks[[#This Row],[_ShownFcstFinish]]),"")</f>
        <v/>
      </c>
    </row>
    <row r="158" customFormat="false" ht="15" hidden="false" customHeight="false" outlineLevel="0" collapsed="false">
      <c r="A158" s="67" t="str">
        <f aca="false">IF(Tasks[[#This Row],[Task Name]]="","",COUNTA(Tasks[[#Headers],[Task Name]]:Tasks[[#This Row],[Task Name]])-1)</f>
        <v/>
      </c>
      <c r="B158" s="21" t="n">
        <v>153</v>
      </c>
      <c r="C15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21"/>
      <c r="E158" s="22"/>
      <c r="F158" s="21"/>
      <c r="G158" s="22"/>
      <c r="H158" s="22"/>
      <c r="I158" s="22"/>
      <c r="J158" s="7"/>
      <c r="K158" s="7"/>
      <c r="L158" s="22"/>
      <c r="M158" s="58" t="str">
        <f aca="false">IF(Tasks[[#This Row],[Task Name]]="","",IF(Tasks[[#This Row],[_IsSummary]],MIN(INDEX(Tasks[_ShownFcstStart],Tasks[[#This Row],[_Row]]+1):INDEX(Tasks[_ShownFcstStart],Tasks[[#This Row],[_Row]]+Tasks[[#This Row],[_Descendants]])),Tasks[[#This Row],[_ShownFcstStart]]))</f>
        <v/>
      </c>
      <c r="N158" s="58" t="str">
        <f aca="false">IF(Tasks[[#This Row],[Task Name]]="","",IF(Tasks[[#This Row],[_IsSummary]],MAX(INDEX(Tasks[_ShownFcstFinish],Tasks[[#This Row],[_Row]]+1):INDEX(Tasks[_ShownFcstFinish],Tasks[[#This Row],[_Row]]+Tasks[[#This Row],[_Descendants]])),Tasks[[#This Row],[_ShownFcstFinish]]))</f>
        <v/>
      </c>
      <c r="O158" s="20" t="str">
        <f aca="false">IF(Tasks[[#This Row],[Task Name]]="","",IF(Tasks[[#This Row],[Progress]]&gt;=1,"Complete",IF(OR(N(Tasks[[#This Row],[Actual Start]])&gt;0,Tasks[[#This Row],[Progress]]&gt;0),IF(Tasks[[#This Row],[Finish Var]]&gt;0,"Behind","In Progress"),IF(Tasks[[#This Row],[Planned Start]]&lt;StatusDate,"Late Start","Not Started"))))</f>
        <v/>
      </c>
      <c r="P158" s="20" t="str">
        <f aca="false">IF(Tasks[[#This Row],[Task Name]]="","",IF(IF(Tasks[[#This Row],[_IsSummary]],COUNTIF(INDEX(Tasks[_LeafCritical],Tasks[[#This Row],[_Row]]+1):INDEX(Tasks[_LeafCritical],Tasks[[#This Row],[_Row]]+Tasks[[#This Row],[_Descendants]]),TRUE())&gt;0,Tasks[[#This Row],[_LeafCritical]]),"Yes",""))</f>
        <v/>
      </c>
      <c r="Q15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58" s="67" t="str">
        <f aca="false">IF(Tasks[[#This Row],[Task Name]]="","",IF(Tasks[[#This Row],[_Level]]&lt;=OutlineShowLevel,"Yes","No"))</f>
        <v/>
      </c>
      <c r="S158" s="7"/>
      <c r="T158" s="21"/>
      <c r="U158" s="22"/>
      <c r="V158" s="7"/>
      <c r="W158" s="67" t="str">
        <f aca="false">IF(Tasks[[#This Row],[Task Name]]="","",IF(Tasks[[#This Row],[Finish]]&gt;=Tasks[[#This Row],[Planned Finish]],NETWORKDAYS.INTL(Tasks[[#This Row],[Planned Finish]],Tasks[[#This Row],[Finish]],WorkWeek,Holidays)-1,1-NETWORKDAYS.INTL(Tasks[[#This Row],[Finish]],Tasks[[#This Row],[Planned Finish]],WorkWeek,Holidays)))</f>
        <v/>
      </c>
      <c r="X158" s="58" t="str">
        <f aca="false">IF(Tasks[[#This Row],[Task Name]]="","",IF(N(Tasks[[#This Row],[Baseline Start]])&gt;0,Tasks[[#This Row],[Baseline Start]],Tasks[[#This Row],[_CalcStart]]))</f>
        <v/>
      </c>
      <c r="Y158" s="58" t="str">
        <f aca="false">IF(Tasks[[#This Row],[Task Name]]="","",IF(N(Tasks[[#This Row],[Baseline Finish]])&gt;0,Tasks[[#This Row],[Baseline Finish]],Tasks[[#This Row],[_CalcFinish]]))</f>
        <v/>
      </c>
      <c r="Z158" s="67" t="str">
        <f aca="false">IF(Tasks[[#This Row],[Task Name]]="","",IF(Tasks[[#This Row],[Start]]&gt;=Tasks[[#This Row],[Planned Start]],NETWORKDAYS.INTL(Tasks[[#This Row],[Planned Start]],Tasks[[#This Row],[Start]],WorkWeek,Holidays)-1,1-NETWORKDAYS.INTL(Tasks[[#This Row],[Start]],Tasks[[#This Row],[Planned Start]],WorkWeek,Holidays)))</f>
        <v/>
      </c>
      <c r="AA158" s="58" t="str">
        <f aca="false">IF(Tasks[[#This Row],[Task Name]]="","",IF(Tasks[[#This Row],[_IsSummary]],MIN(INDEX(Tasks[_LeafLateStart],Tasks[[#This Row],[_Row]]+1):INDEX(Tasks[_LeafLateStart],Tasks[[#This Row],[_Row]]+Tasks[[#This Row],[_Descendants]])),Tasks[[#This Row],[_LeafLateStart]]))</f>
        <v/>
      </c>
      <c r="AB158" s="58" t="str">
        <f aca="false">IF(Tasks[[#This Row],[Task Name]]="","",IF(Tasks[[#This Row],[_IsSummary]],MAX(INDEX(Tasks[_LeafLateFinish],Tasks[[#This Row],[_Row]]+1):INDEX(Tasks[_LeafLateFinish],Tasks[[#This Row],[_Row]]+Tasks[[#This Row],[_Descendants]])),Tasks[[#This Row],[_LeafLateFinish]]))</f>
        <v/>
      </c>
      <c r="AC158" s="67" t="str">
        <f aca="false">IF(Tasks[[#This Row],[Task Name]]="","",IF(Tasks[[#This Row],[_IsSummary]],MIN(INDEX(Tasks[_LeafTotalSlack],Tasks[[#This Row],[_Row]]+1):INDEX(Tasks[_LeafTotalSlack],Tasks[[#This Row],[_Row]]+Tasks[[#This Row],[_Descendants]])),Tasks[[#This Row],[_LeafTotalSlack]]))</f>
        <v/>
      </c>
      <c r="AD15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5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5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58" s="60"/>
      <c r="AH15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5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58" s="69" t="str">
        <f aca="false">IF(Tasks[[#This Row],[Task Name]]="","",IF(Tasks[[#This Row],[_IsSummary]],SUM(INDEX(Tasks[_LeafTotalWork],Tasks[[#This Row],[_Row]]+1):INDEX(Tasks[_LeafTotalWork],Tasks[[#This Row],[_Row]]+Tasks[[#This Row],[_Descendants]])),Tasks[[#This Row],[_LeafTotalWork]]))</f>
        <v/>
      </c>
      <c r="AK15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58" s="70" t="str">
        <f aca="false">IF(Tasks[[#This Row],[Task Name]]="","",IF(Tasks[[#This Row],[_IsSummary]],SUM(INDEX(Tasks[_LeafTotalCost],Tasks[[#This Row],[_Row]]+1):INDEX(Tasks[_LeafTotalCost],Tasks[[#This Row],[_Row]]+Tasks[[#This Row],[_Descendants]])),Tasks[[#This Row],[_LeafTotalCost]]))</f>
        <v/>
      </c>
      <c r="AM158" s="71"/>
      <c r="AN158" s="20" t="str">
        <f aca="false">IF(OR(Tasks[[#This Row],[Task Name]]="",Tasks[[#This Row],[Baseline Duration]]=""),"",Tasks[[#This Row],[BL Source Duration]]-N(Tasks[[#This Row],[Baseline Duration]]))</f>
        <v/>
      </c>
      <c r="AO158" s="69" t="str">
        <f aca="false">IF(OR(Tasks[[#This Row],[Task Name]]="",Tasks[[#This Row],[Baseline Work]]=""),"",Tasks[[#This Row],[Work]]-N(Tasks[[#This Row],[Baseline Work]]))</f>
        <v/>
      </c>
      <c r="AP158" s="70" t="str">
        <f aca="false">IF(OR(Tasks[[#This Row],[Task Name]]="",Tasks[[#This Row],[Baseline Cost]]=""),"",Tasks[[#This Row],[Cost]]-N(Tasks[[#This Row],[Baseline Cost]]))</f>
        <v/>
      </c>
      <c r="AQ158" s="58" t="str">
        <f aca="false">IF(Tasks[[#This Row],[Task Name]]="","",Tasks[[#This Row],[Start]])</f>
        <v/>
      </c>
      <c r="AR158" s="58" t="str">
        <f aca="false">IF(Tasks[[#This Row],[Task Name]]="","",Tasks[[#This Row],[Finish]])</f>
        <v/>
      </c>
      <c r="AS158" s="67" t="str">
        <f aca="false">IF(Tasks[[#This Row],[Task Name]]="","",IF(Tasks[[#This Row],[_IsSummary]],NETWORKDAYS.INTL(Tasks[[#This Row],[Start]],Tasks[[#This Row],[Finish]],WorkWeek,Holidays),N(Tasks[[#This Row],[Duration]])))</f>
        <v/>
      </c>
      <c r="AT158" s="69" t="str">
        <f aca="false">IF(Tasks[[#This Row],[Task Name]]="","",Tasks[[#This Row],[Work]])</f>
        <v/>
      </c>
      <c r="AU158" s="70" t="str">
        <f aca="false">IF(Tasks[[#This Row],[Task Name]]="","",Tasks[[#This Row],[Cost]])</f>
        <v/>
      </c>
      <c r="AV158" s="7"/>
      <c r="AW158" s="7"/>
      <c r="AX158" s="21"/>
      <c r="AY158" s="72"/>
      <c r="AZ158" s="71"/>
      <c r="BA158" s="70" t="str">
        <f aca="false">IF(Tasks[[#This Row],[Task Name]]="","",IF(Tasks[[#This Row],[_IsSummary]],SUM(INDEX(Tasks[_LeafEV],Tasks[[#This Row],[_Row]]+1):INDEX(Tasks[_LeafEV],Tasks[[#This Row],[_Row]]+Tasks[[#This Row],[_Descendants]])),Tasks[[#This Row],[_LeafEV]]))</f>
        <v/>
      </c>
      <c r="BB158" s="70" t="str">
        <f aca="false">IF(Tasks[[#This Row],[Task Name]]="","",IF(Tasks[[#This Row],[_IsSummary]],SUM(INDEX(Tasks[_LeafBudget],Tasks[[#This Row],[_Row]]+1):INDEX(Tasks[_LeafBudget],Tasks[[#This Row],[_Row]]+Tasks[[#This Row],[_Descendants]])),Tasks[[#This Row],[_LeafBudget]]))</f>
        <v/>
      </c>
      <c r="BC158" s="70" t="str">
        <f aca="false">IF(Tasks[[#This Row],[Task Name]]="","",IF(Tasks[[#This Row],[_IsSummary]],SUM(INDEX(Tasks[_LeafPV],Tasks[[#This Row],[_Row]]+1):INDEX(Tasks[_LeafPV],Tasks[[#This Row],[_Row]]+Tasks[[#This Row],[_Descendants]])),Tasks[[#This Row],[_LeafPV]]))</f>
        <v/>
      </c>
      <c r="BD158" s="70" t="str">
        <f aca="false">IF(Tasks[[#This Row],[Task Name]]="","",IF(Tasks[[#This Row],[_IsSummary]],SUM(INDEX(Tasks[_LeafAC],Tasks[[#This Row],[_Row]]+1):INDEX(Tasks[_LeafAC],Tasks[[#This Row],[_Row]]+Tasks[[#This Row],[_Descendants]])),Tasks[[#This Row],[_LeafAC]]))</f>
        <v/>
      </c>
      <c r="BE158" s="45" t="str">
        <f aca="false">IF(Tasks[[#This Row],[Task Name]]="","",MAX(1,N(Tasks[[#This Row],[Level]])))</f>
        <v/>
      </c>
      <c r="BF158" s="45" t="n">
        <f aca="false">ROW()-ROW(Tasks[[#Headers],[ID]])</f>
        <v>153</v>
      </c>
      <c r="BG158" s="45" t="n">
        <f aca="false">IF(OR(Tasks[[#This Row],[Task Name]]="",Tasks[[#This Row],[_Level]]&lt;=1),0,IFERROR(LOOKUP(2,1/(Tasks[[#Headers],[_Level]]:Tasks[[#This Row],[_Level]]=Tasks[[#This Row],[_Level]]-1),ROW(Tasks[[#Headers],[_Level]]:Tasks[[#This Row],[_Level]])),0))</f>
        <v>0</v>
      </c>
      <c r="BH158" s="45" t="n">
        <f aca="false">IFERROR(N(INDEX(Tasks[_Level],Tasks[[#This Row],[_Row]]+1)),0)</f>
        <v>0</v>
      </c>
      <c r="BI158" s="73" t="b">
        <f aca="false">AND(Tasks[[#This Row],[Task Name]]&lt;&gt;"",Tasks[[#This Row],[_NextLevel]]&gt;Tasks[[#This Row],[_Level]])</f>
        <v>0</v>
      </c>
      <c r="BJ158" s="45" t="n">
        <f aca="false">IF(Tasks[[#This Row],[_IsSummary]],COUNTIF(Tasks[WBS],Tasks[[#This Row],[WBS]]&amp;".*"),0)</f>
        <v>0</v>
      </c>
      <c r="BK158" s="45" t="n">
        <f aca="false">IF(AND(Tasks[[#This Row],[Task Name]]&lt;&gt;"",NOT(Tasks[[#This Row],[_IsSummary]])),1,0)</f>
        <v>0</v>
      </c>
      <c r="BL158" s="45" t="n">
        <f aca="false">IF(N(Tasks[[#This Row],[_Pred1UID]])=0,0,IFERROR(MATCH(Tasks[[#This Row],[_Pred1UID]],Tasks[UID],0),-1))</f>
        <v>0</v>
      </c>
      <c r="BM158" s="45" t="n">
        <f aca="false">IF(N(Tasks[[#This Row],[_Pred2UID]])=0,0,IFERROR(MATCH(Tasks[[#This Row],[_Pred2UID]],Tasks[UID],0),-1))</f>
        <v>0</v>
      </c>
      <c r="BN158" s="45" t="n">
        <f aca="false">IF(N(Tasks[[#This Row],[_Pred3UID]])=0,0,IFERROR(MATCH(Tasks[[#This Row],[_Pred3UID]],Tasks[UID],0),-1))</f>
        <v>0</v>
      </c>
      <c r="BO158" s="45" t="n">
        <f aca="false">IF(N(Tasks[[#This Row],[_Pred4UID]])=0,0,IFERROR(MATCH(Tasks[[#This Row],[_Pred4UID]],Tasks[UID],0),-1))</f>
        <v>0</v>
      </c>
      <c r="BP15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5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58" s="74" t="n">
        <f aca="false">IF(OR(Tasks[[#This Row],[_ConstraintCode]]=2,Tasks[[#This Row],[_ConstraintCode]]=3,Tasks[[#This Row],[_ConstraintCode]]=4,Tasks[[#This Row],[_ConstraintCode]]=6),Tasks[[#This Row],[_ConstraintStart]],0)</f>
        <v>0</v>
      </c>
      <c r="BS158" s="74" t="n">
        <f aca="false">IF(OR(Tasks[[#This Row],[_ConstraintCode]]=2,Tasks[[#This Row],[_ConstraintCode]]=3,Tasks[[#This Row],[_ConstraintCode]]=5,Tasks[[#This Row],[_ConstraintCode]]=7),Tasks[[#This Row],[_ConstraintStart]],2958465)</f>
        <v>2958465</v>
      </c>
      <c r="BT15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58" s="74" t="str">
        <f aca="false">IF(NOT(Tasks[[#This Row],[_IsLeaf]]=1),"",IF(N(Tasks[[#This Row],[Duration]])&lt;=0,Tasks[[#This Row],[_LeafCalcStart]],WORKDAY.INTL(Tasks[[#This Row],[_LeafCalcStart]],Tasks[[#This Row],[Duration]]-1,WorkWeek,Holidays)))</f>
        <v/>
      </c>
      <c r="BV15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5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58" s="45" t="str">
        <f aca="false">IF(Tasks[[#This Row],[Predecessors]]="","",TRIM(MID(SUBSTITUTE(SUBSTITUTE(SUBSTITUTE(UPPER(Tasks[[#This Row],[Predecessors]]),";",",")," ",""),",",REPT(" ",99)),1,99)))</f>
        <v/>
      </c>
      <c r="BY158" s="45" t="str">
        <f aca="false">IF(Tasks[[#This Row],[_Pred1Text]]="","",IFERROR(VALUE(LEFT(Tasks[[#This Row],[_Pred1Text]],MIN(FIND("F",Tasks[[#This Row],[_Pred1Text]]&amp;"F"),FIND("S",Tasks[[#This Row],[_Pred1Text]]&amp;"S"),FIND("+",Tasks[[#This Row],[_Pred1Text]]&amp;"+"),FIND("-",Tasks[[#This Row],[_Pred1Text]]&amp;"-"))-1)),""))</f>
        <v/>
      </c>
      <c r="BZ15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5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58" s="45" t="str">
        <f aca="false">IF(Tasks[[#This Row],[_Pred1Text]]="","",TRIM(MID(SUBSTITUTE(SUBSTITUTE(SUBSTITUTE(UPPER(Tasks[[#This Row],[Predecessors]]),";",",")," ",""),",",REPT(" ",99)),100,99)))</f>
        <v/>
      </c>
      <c r="CC158" s="45" t="str">
        <f aca="false">IF(Tasks[[#This Row],[_Pred2Text]]="","",IFERROR(VALUE(LEFT(Tasks[[#This Row],[_Pred2Text]],MIN(FIND("F",Tasks[[#This Row],[_Pred2Text]]&amp;"F"),FIND("S",Tasks[[#This Row],[_Pred2Text]]&amp;"S"),FIND("+",Tasks[[#This Row],[_Pred2Text]]&amp;"+"),FIND("-",Tasks[[#This Row],[_Pred2Text]]&amp;"-"))-1)),""))</f>
        <v/>
      </c>
      <c r="CD15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5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58" s="45" t="str">
        <f aca="false">IF(Tasks[[#This Row],[_Pred2Text]]="","",TRIM(MID(SUBSTITUTE(SUBSTITUTE(SUBSTITUTE(UPPER(Tasks[[#This Row],[Predecessors]]),";",",")," ",""),",",REPT(" ",99)),199,99)))</f>
        <v/>
      </c>
      <c r="CG158" s="45" t="str">
        <f aca="false">IF(Tasks[[#This Row],[_Pred3Text]]="","",IFERROR(VALUE(LEFT(Tasks[[#This Row],[_Pred3Text]],MIN(FIND("F",Tasks[[#This Row],[_Pred3Text]]&amp;"F"),FIND("S",Tasks[[#This Row],[_Pred3Text]]&amp;"S"),FIND("+",Tasks[[#This Row],[_Pred3Text]]&amp;"+"),FIND("-",Tasks[[#This Row],[_Pred3Text]]&amp;"-"))-1)),""))</f>
        <v/>
      </c>
      <c r="CH15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5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58" s="45" t="str">
        <f aca="false">IF(Tasks[[#This Row],[_Pred3Text]]="","",TRIM(MID(SUBSTITUTE(SUBSTITUTE(SUBSTITUTE(UPPER(Tasks[[#This Row],[Predecessors]]),";",",")," ",""),",",REPT(" ",99)),298,99)))</f>
        <v/>
      </c>
      <c r="CK158" s="45" t="str">
        <f aca="false">IF(Tasks[[#This Row],[_Pred4Text]]="","",IFERROR(VALUE(LEFT(Tasks[[#This Row],[_Pred4Text]],MIN(FIND("F",Tasks[[#This Row],[_Pred4Text]]&amp;"F"),FIND("S",Tasks[[#This Row],[_Pred4Text]]&amp;"S"),FIND("+",Tasks[[#This Row],[_Pred4Text]]&amp;"+"),FIND("-",Tasks[[#This Row],[_Pred4Text]]&amp;"-"))-1)),""))</f>
        <v/>
      </c>
      <c r="CL15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5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58" s="45" t="str">
        <f aca="false">IF(OR(Tasks[[#This Row],[Task Name]]="",Tasks[[#This Row],[Resources]]=""),"",TRIM(MID(SUBSTITUTE(Tasks[[#This Row],[Resources]],",",REPT(" ",99)),1,99)))</f>
        <v/>
      </c>
      <c r="CO158" s="45" t="str">
        <f aca="false">IF(Tasks[[#This Row],[_Res1Text]]="","",TRIM(MID(SUBSTITUTE(Tasks[[#This Row],[Resources]],",",REPT(" ",99)),100,99)))</f>
        <v/>
      </c>
      <c r="CP158" s="45" t="str">
        <f aca="false">IF(Tasks[[#This Row],[_Res2Text]]="","",TRIM(MID(SUBSTITUTE(Tasks[[#This Row],[Resources]],",",REPT(" ",99)),199,99)))</f>
        <v/>
      </c>
      <c r="CQ158" s="45" t="str">
        <f aca="false">IF(Tasks[[#This Row],[_Res3Text]]="","",TRIM(MID(SUBSTITUTE(Tasks[[#This Row],[Resources]],",",REPT(" ",99)),298,99)))</f>
        <v/>
      </c>
      <c r="CR15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5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8" s="45" t="n">
        <f aca="false">IF(NOT(Tasks[[#This Row],[_IsLeaf]]=1),0,(Tasks[[#This Row],[_Resource1]]&lt;&gt;"")+(Tasks[[#This Row],[_Res2]]&lt;&gt;"")+(Tasks[[#This Row],[_Res3]]&lt;&gt;"")+(Tasks[[#This Row],[_Res4]]&lt;&gt;""))</f>
        <v>0</v>
      </c>
      <c r="CU15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5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8" s="45" t="n">
        <f aca="false">IF(OR(NOT(Tasks[[#This Row],[_IsLeaf]]=1),Tasks[[#This Row],[_Res2]]=""),0,IF(ISNA(MATCH(Tasks[[#This Row],[_Res2]],res_Name,0)),0,N(Tasks[[#This Row],[Duration]])*HoursPerDay*IF(Tasks[[#This Row],[_Res2Units]]="",DefaultUnits,Tasks[[#This Row],[_Res2Units]])))</f>
        <v>0</v>
      </c>
      <c r="CX158" s="45" t="n">
        <f aca="false">IF(Tasks[[#This Row],[_Res2Work]]=0,0,Tasks[[#This Row],[_Res2Work]]*IFERROR(INDEX(res_Rate,MATCH(Tasks[[#This Row],[_Res2]],res_Name,0)),0))</f>
        <v>0</v>
      </c>
      <c r="CY158" s="45" t="n">
        <f aca="false">IF(AND(AND(Tasks[[#This Row],[_IsLeaf]]=1,Tasks[[#This Row],[_LeafTotalWork]]&gt;0),Tasks[[#This Row],[_Res2Work]]&gt;0),Tasks[[#This Row],[_Res2Work]]/(Tasks[[#This Row],[_FinishWorkday]]-Tasks[[#This Row],[_StartWorkday]]+1),0)</f>
        <v>0</v>
      </c>
      <c r="CZ158" s="45" t="n">
        <f aca="false">Tasks[[#This Row],[_Res2WorkPerWD]]*MAX(0,Tasks[[#This Row],[_StartWorkday]]-1)</f>
        <v>0</v>
      </c>
      <c r="DA158" s="45" t="n">
        <f aca="false">Tasks[[#This Row],[_Res2Work]]*Tasks[[#This Row],[_LeafProgress]]</f>
        <v>0</v>
      </c>
      <c r="DB158" s="45" t="n">
        <f aca="false">IF(Tasks[[#This Row],[_LeafTotalCost]]=0,0,Tasks[[#This Row],[_LeafAC]]*Tasks[[#This Row],[_Res2Cost]]/Tasks[[#This Row],[_LeafTotalCost]])</f>
        <v>0</v>
      </c>
      <c r="DC15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5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58" s="45" t="n">
        <f aca="false">IF(OR(NOT(Tasks[[#This Row],[_IsLeaf]]=1),Tasks[[#This Row],[_Res3]]=""),0,IF(ISNA(MATCH(Tasks[[#This Row],[_Res3]],res_Name,0)),0,N(Tasks[[#This Row],[Duration]])*HoursPerDay*IF(Tasks[[#This Row],[_Res3Units]]="",DefaultUnits,Tasks[[#This Row],[_Res3Units]])))</f>
        <v>0</v>
      </c>
      <c r="DF158" s="45" t="n">
        <f aca="false">IF(Tasks[[#This Row],[_Res3Work]]=0,0,Tasks[[#This Row],[_Res3Work]]*IFERROR(INDEX(res_Rate,MATCH(Tasks[[#This Row],[_Res3]],res_Name,0)),0))</f>
        <v>0</v>
      </c>
      <c r="DG158" s="45" t="n">
        <f aca="false">IF(AND(AND(Tasks[[#This Row],[_IsLeaf]]=1,Tasks[[#This Row],[_LeafTotalWork]]&gt;0),Tasks[[#This Row],[_Res3Work]]&gt;0),Tasks[[#This Row],[_Res3Work]]/(Tasks[[#This Row],[_FinishWorkday]]-Tasks[[#This Row],[_StartWorkday]]+1),0)</f>
        <v>0</v>
      </c>
      <c r="DH158" s="45" t="n">
        <f aca="false">Tasks[[#This Row],[_Res3WorkPerWD]]*MAX(0,Tasks[[#This Row],[_StartWorkday]]-1)</f>
        <v>0</v>
      </c>
      <c r="DI158" s="45" t="n">
        <f aca="false">Tasks[[#This Row],[_Res3Work]]*Tasks[[#This Row],[_LeafProgress]]</f>
        <v>0</v>
      </c>
      <c r="DJ158" s="45" t="n">
        <f aca="false">IF(Tasks[[#This Row],[_LeafTotalCost]]=0,0,Tasks[[#This Row],[_LeafAC]]*Tasks[[#This Row],[_Res3Cost]]/Tasks[[#This Row],[_LeafTotalCost]])</f>
        <v>0</v>
      </c>
      <c r="DK15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5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58" s="45" t="n">
        <f aca="false">IF(OR(NOT(Tasks[[#This Row],[_IsLeaf]]=1),Tasks[[#This Row],[_Res4]]=""),0,IF(ISNA(MATCH(Tasks[[#This Row],[_Res4]],res_Name,0)),0,N(Tasks[[#This Row],[Duration]])*HoursPerDay*IF(Tasks[[#This Row],[_Res4Units]]="",DefaultUnits,Tasks[[#This Row],[_Res4Units]])))</f>
        <v>0</v>
      </c>
      <c r="DN158" s="45" t="n">
        <f aca="false">IF(Tasks[[#This Row],[_Res4Work]]=0,0,Tasks[[#This Row],[_Res4Work]]*IFERROR(INDEX(res_Rate,MATCH(Tasks[[#This Row],[_Res4]],res_Name,0)),0))</f>
        <v>0</v>
      </c>
      <c r="DO158" s="45" t="n">
        <f aca="false">IF(AND(AND(Tasks[[#This Row],[_IsLeaf]]=1,Tasks[[#This Row],[_LeafTotalWork]]&gt;0),Tasks[[#This Row],[_Res4Work]]&gt;0),Tasks[[#This Row],[_Res4Work]]/(Tasks[[#This Row],[_FinishWorkday]]-Tasks[[#This Row],[_StartWorkday]]+1),0)</f>
        <v>0</v>
      </c>
      <c r="DP158" s="45" t="n">
        <f aca="false">Tasks[[#This Row],[_Res4WorkPerWD]]*MAX(0,Tasks[[#This Row],[_StartWorkday]]-1)</f>
        <v>0</v>
      </c>
      <c r="DQ158" s="45" t="n">
        <f aca="false">Tasks[[#This Row],[_Res4Work]]*Tasks[[#This Row],[_LeafProgress]]</f>
        <v>0</v>
      </c>
      <c r="DR158" s="45" t="n">
        <f aca="false">IF(Tasks[[#This Row],[_LeafTotalCost]]=0,0,Tasks[[#This Row],[_LeafAC]]*Tasks[[#This Row],[_Res4Cost]]/Tasks[[#This Row],[_LeafTotalCost]])</f>
        <v>0</v>
      </c>
      <c r="DS158" s="45" t="n">
        <f aca="false">IF(ISNUMBER(Tasks[[#This Row],[% Complete]]),Tasks[[#This Row],[% Complete]],IF(Tasks[[#This Row],[Stage]]="",0,IFERROR(INDEX(stg_Pct,MATCH(Tasks[[#This Row],[Stage]],stg_Name,0)),0)))</f>
        <v>0</v>
      </c>
      <c r="DT158" s="45" t="n">
        <f aca="false">IF(NOT(Tasks[[#This Row],[_IsLeaf]]=1),0,IF(N(Tasks[[#This Row],[Actual Finish]])&gt;0,1,MIN(1,Tasks[[#This Row],[_Pct]])))</f>
        <v>0</v>
      </c>
      <c r="DU158" s="45" t="n">
        <f aca="false">IF(OR(NOT(Tasks[[#This Row],[_IsLeaf]]=1),Tasks[[#This Row],[_Resource1]]=""),0,IF(ISNA(MATCH(Tasks[[#This Row],[_Resource1]],res_Name,0)),0,N(Tasks[[#This Row],[Duration]])*HoursPerDay*IF(Tasks[[#This Row],[_Units1]]="",DefaultUnits,Tasks[[#This Row],[_Units1]])))</f>
        <v>0</v>
      </c>
      <c r="DV158" s="45" t="n">
        <f aca="false">IF(Tasks[[#This Row],[_LeafWork]]=0,0,Tasks[[#This Row],[_LeafWork]]*IFERROR(INDEX(res_Rate,MATCH(Tasks[[#This Row],[_Resource1]],res_Name,0)),0))</f>
        <v>0</v>
      </c>
      <c r="DW158" s="45" t="n">
        <f aca="false">Tasks[[#This Row],[_LeafWork]]+Tasks[[#This Row],[_Res2Work]]+Tasks[[#This Row],[_Res3Work]]+Tasks[[#This Row],[_Res4Work]]</f>
        <v>0</v>
      </c>
      <c r="DX158" s="45" t="n">
        <f aca="false">Tasks[[#This Row],[_LeafCost]]+Tasks[[#This Row],[_Res2Cost]]+Tasks[[#This Row],[_Res3Cost]]+Tasks[[#This Row],[_Res4Cost]]</f>
        <v>0</v>
      </c>
      <c r="DY158" s="45" t="n">
        <f aca="false">IF(Tasks[[#This Row],[_LeafTotalCost]]=0,Tasks[[#This Row],[_LeafAC]],Tasks[[#This Row],[_LeafAC]]*Tasks[[#This Row],[_LeafCost]]/Tasks[[#This Row],[_LeafTotalCost]])</f>
        <v>0</v>
      </c>
      <c r="DZ15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5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5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5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5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5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5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5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58" s="45" t="n">
        <f aca="false">IF(NOT(Tasks[[#This Row],[_IsLeaf]]=1),0,MAX(_xlfn.MAXIFS(Tasks[_Row],Tasks[_Pred1UID],Tasks[[#This Row],[UID]]),_xlfn.MAXIFS(Tasks[_Row],Tasks[_Pred2UID],Tasks[[#This Row],[UID]]),_xlfn.MAXIFS(Tasks[_Row],Tasks[_Pred3UID],Tasks[[#This Row],[UID]]),_xlfn.MAXIFS(Tasks[_Row],Tasks[_Pred4UID],Tasks[[#This Row],[UID]])))</f>
        <v>0</v>
      </c>
      <c r="EI15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5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58" s="74" t="str">
        <f aca="false">IF(NOT(Tasks[[#This Row],[_IsLeaf]]=1),"",IF(N(Tasks[[#This Row],[Duration]])&lt;=0,Tasks[[#This Row],[_LeafLateFinish]],WORKDAY.INTL(Tasks[[#This Row],[_LeafLateFinish]],-(Tasks[[#This Row],[Duration]]-1),WorkWeek,Holidays)))</f>
        <v/>
      </c>
      <c r="EL15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58" s="73" t="b">
        <f aca="false">AND(Tasks[[#This Row],[_IsLeaf]]=1,Tasks[[#This Row],[_LeafProgress]]&lt;1,N(Tasks[[#This Row],[_LeafTotalSlack]])&lt;=CriticalSlackDays)</f>
        <v>0</v>
      </c>
      <c r="EN158" s="45" t="n">
        <f aca="false">IF(AND(Tasks[[#This Row],[_IsLeaf]]=1,Tasks[[#This Row],[_ConstraintCode]]=1,Tasks[[#This Row],[Mode]]&lt;&gt;"Manual",N(Tasks[[#This Row],[Actual Start]])=0),MAX(0,N(Tasks[[#This Row],[Free Slack]])),0)</f>
        <v>0</v>
      </c>
      <c r="EO158" s="74" t="str">
        <f aca="false">IF(NOT(Tasks[[#This Row],[_IsLeaf]]=1),"",IF(Tasks[[#This Row],[_AlapShift]]=0,Tasks[[#This Row],[_LeafCalcStart]],WORKDAY.INTL(Tasks[[#This Row],[_LeafCalcStart]],Tasks[[#This Row],[_AlapShift]],WorkWeek,Holidays)))</f>
        <v/>
      </c>
      <c r="EP158" s="74" t="str">
        <f aca="false">IF(NOT(Tasks[[#This Row],[_IsLeaf]]=1),"",IF(Tasks[[#This Row],[_AlapShift]]=0,Tasks[[#This Row],[_LeafCalcFinish]],WORKDAY.INTL(Tasks[[#This Row],[_LeafCalcFinish]],Tasks[[#This Row],[_AlapShift]],WorkWeek,Holidays)))</f>
        <v/>
      </c>
      <c r="EQ158" s="74" t="str">
        <f aca="false">IF(NOT(Tasks[[#This Row],[_IsLeaf]]=1),"",IF(Tasks[[#This Row],[_AlapShift]]=0,Tasks[[#This Row],[_LeafFcstStart]],WORKDAY.INTL(Tasks[[#This Row],[_LeafFcstStart]],Tasks[[#This Row],[_AlapShift]],WorkWeek,Holidays)))</f>
        <v/>
      </c>
      <c r="ER158" s="74" t="str">
        <f aca="false">IF(NOT(Tasks[[#This Row],[_IsLeaf]]=1),"",IF(Tasks[[#This Row],[_AlapShift]]=0,Tasks[[#This Row],[_LeafFcstFinish]],WORKDAY.INTL(Tasks[[#This Row],[_LeafFcstFinish]],Tasks[[#This Row],[_AlapShift]],WorkWeek,Holidays)))</f>
        <v/>
      </c>
      <c r="ES158" s="74" t="str">
        <f aca="false">IF(Tasks[[#This Row],[Task Name]]="","",IF(Tasks[[#This Row],[_IsSummary]],MIN(INDEX(Tasks[_ShownCalcStart],Tasks[[#This Row],[_Row]]+1):INDEX(Tasks[_ShownCalcStart],Tasks[[#This Row],[_Row]]+Tasks[[#This Row],[_Descendants]])),Tasks[[#This Row],[_ShownCalcStart]]))</f>
        <v/>
      </c>
      <c r="ET158" s="74" t="str">
        <f aca="false">IF(Tasks[[#This Row],[Task Name]]="","",IF(Tasks[[#This Row],[_IsSummary]],MAX(INDEX(Tasks[_ShownCalcFinish],Tasks[[#This Row],[_Row]]+1):INDEX(Tasks[_ShownCalcFinish],Tasks[[#This Row],[_Row]]+Tasks[[#This Row],[_Descendants]])),Tasks[[#This Row],[_ShownCalcFinish]]))</f>
        <v/>
      </c>
      <c r="EU15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5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5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5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5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5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5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5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5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5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5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5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58" s="45" t="n">
        <f aca="false">IF(AND(Tasks[[#This Row],[_IsLeaf]]=1,Tasks[[#This Row],[_LeafTotalWork]]&gt;0),NETWORKDAYS.INTL(ProjectStart,Tasks[[#This Row],[_ShownFcstStart]],WorkWeek,Holidays),0)</f>
        <v>0</v>
      </c>
      <c r="FH158" s="45" t="n">
        <f aca="false">IF(AND(Tasks[[#This Row],[_IsLeaf]]=1,Tasks[[#This Row],[_LeafTotalWork]]&gt;0),MAX(Tasks[[#This Row],[_StartWorkday]],NETWORKDAYS.INTL(ProjectStart,Tasks[[#This Row],[_ShownFcstFinish]],WorkWeek,Holidays)),0)</f>
        <v>0</v>
      </c>
      <c r="FI158" s="45" t="n">
        <f aca="false">IF(AND(Tasks[[#This Row],[_IsLeaf]]=1,Tasks[[#This Row],[_LeafTotalWork]]&gt;0),Tasks[[#This Row],[_LeafWork]]/(Tasks[[#This Row],[_FinishWorkday]]-Tasks[[#This Row],[_StartWorkday]]+1),0)</f>
        <v>0</v>
      </c>
      <c r="FJ158" s="45" t="n">
        <f aca="false">Tasks[[#This Row],[_WorkPerWorkday]]*(Tasks[[#This Row],[_StartWorkday]]-1)</f>
        <v>-0</v>
      </c>
      <c r="FK158" s="45" t="n">
        <f aca="false">IF(Tasks[[#This Row],[_IsLeaf]]=1,MAX(N(Tasks[[#This Row],[Duration]]),0.1),0)</f>
        <v>0</v>
      </c>
      <c r="FL158" s="45" t="n">
        <f aca="false">Tasks[[#This Row],[_WeightDur]]*Tasks[[#This Row],[_LeafProgress]]</f>
        <v>0</v>
      </c>
      <c r="FM15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58" s="45" t="str">
        <f aca="false">IF(AND(Tasks[[#This Row],[_IsLeaf]]=1,N(Tasks[[#This Row],[Duration]])=0,Tasks[[#This Row],[_LeafProgress]]&lt;1),Tasks[[#This Row],[_ShownFcstFinish]]+Tasks[[#This Row],[_Row]]/100000,"")</f>
        <v/>
      </c>
      <c r="FO15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58" s="45" t="n">
        <f aca="false">IF(NOT(Tasks[[#This Row],[_IsLeaf]]=1),0,IF(Tasks[[#This Row],[Baseline Cost]]="",Tasks[[#This Row],[_LeafTotalCost]],N(Tasks[[#This Row],[Baseline Cost]])))</f>
        <v>0</v>
      </c>
      <c r="FQ158" s="45" t="n">
        <f aca="false">Tasks[[#This Row],[_LeafBudget]]*Tasks[[#This Row],[_PlannedPct]]</f>
        <v>0</v>
      </c>
      <c r="FR158" s="45" t="n">
        <f aca="false">Tasks[[#This Row],[_LeafBudget]]*Tasks[[#This Row],[_LeafProgress]]</f>
        <v>0</v>
      </c>
      <c r="FS158" s="45" t="n">
        <f aca="false">IF(NOT(Tasks[[#This Row],[_IsLeaf]]=1),0,IF(Tasks[[#This Row],[Actual Cost]]="",Tasks[[#This Row],[_LeafTotalCost]]*Tasks[[#This Row],[_LeafProgress]],N(Tasks[[#This Row],[Actual Cost]])))</f>
        <v>0</v>
      </c>
      <c r="FT158" s="45" t="str">
        <f aca="false">IF(Tasks[[#This Row],[Task Name]]="","",LEFT(Tasks[[#This Row],[WBS]],FIND(".",Tasks[[#This Row],[WBS]]&amp;".")-1))</f>
        <v/>
      </c>
      <c r="FU158" s="45" t="str">
        <f aca="false">IF(AND(Tasks[[#This Row],[Task Name]]&lt;&gt;"",Tasks[[#This Row],[_Level]]=1),Tasks[[#This Row],[_Row]],"")</f>
        <v/>
      </c>
      <c r="FV158" s="45" t="str">
        <f aca="false">IF(AND(Tasks[[#This Row],[_IsLeaf]]=1,N(Tasks[[#This Row],[Duration]])=0),Tasks[[#This Row],[Planned Finish]]+Tasks[[#This Row],[_Row]]/100000,"")</f>
        <v/>
      </c>
      <c r="FW158" s="45" t="str">
        <f aca="false">IF(AND(Tasks[[#This Row],[_IsLeaf]]=1,Tasks[[#This Row],[_LeafProgress]]&lt;1,OR(N(Tasks[[#This Row],[Finish Var]])&gt;0,Tasks[[#This Row],[Status]]="Late Start")),MAX(0,Tasks[[#This Row],[Finish Var]])+1-Tasks[[#This Row],[_Row]]/1000000,"")</f>
        <v/>
      </c>
      <c r="FX158" s="45" t="str">
        <f aca="false">IF(AND(Tasks[[#This Row],[_IsLeaf]]=1,N(Tasks[[#This Row],[Actual Start]])=0,Tasks[[#This Row],[_ShownFcstStart]]&gt;=StatusDate,Tasks[[#This Row],[_ShownFcstStart]]&lt;=LookaheadEnd),Tasks[[#This Row],[_ShownFcstStart]]+Tasks[[#This Row],[_Row]]/100000,"")</f>
        <v/>
      </c>
      <c r="FY158" s="45" t="str">
        <f aca="false">IF(AND(Tasks[[#This Row],[_IsLeaf]]=1,Tasks[[#This Row],[_LeafProgress]]&lt;1,Tasks[[#This Row],[_ShownFcstFinish]]&gt;=StatusDate,Tasks[[#This Row],[_ShownFcstFinish]]&lt;=LookaheadEnd),Tasks[[#This Row],[_ShownFcstFinish]]+Tasks[[#This Row],[_Row]]/100000,"")</f>
        <v/>
      </c>
      <c r="FZ158" s="45" t="str">
        <f aca="false">IF(Tasks[[#This Row],[_LeafCritical]],Tasks[[#This Row],[_ShownFcstStart]]+Tasks[[#This Row],[_Row]]/100000,"")</f>
        <v/>
      </c>
      <c r="GA158" s="45" t="n">
        <f aca="false">Tasks[[#This Row],[_LeafWork]]*Tasks[[#This Row],[_LeafProgress]]</f>
        <v>0</v>
      </c>
      <c r="GB158" s="74" t="str">
        <f aca="false">IF(AND(Tasks[[#This Row],[_IsLeaf]]=1,Tasks[[#This Row],[_LeafProgress]]&gt;=1),IF(N(Tasks[[#This Row],[Actual Finish]])&gt;0,Tasks[[#This Row],[Actual Finish]],Tasks[[#This Row],[_ShownFcstFinish]]),"")</f>
        <v/>
      </c>
    </row>
    <row r="159" customFormat="false" ht="15" hidden="false" customHeight="false" outlineLevel="0" collapsed="false">
      <c r="A159" s="67" t="str">
        <f aca="false">IF(Tasks[[#This Row],[Task Name]]="","",COUNTA(Tasks[[#Headers],[Task Name]]:Tasks[[#This Row],[Task Name]])-1)</f>
        <v/>
      </c>
      <c r="B159" s="21" t="n">
        <v>154</v>
      </c>
      <c r="C15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21"/>
      <c r="E159" s="22"/>
      <c r="F159" s="21"/>
      <c r="G159" s="22"/>
      <c r="H159" s="22"/>
      <c r="I159" s="22"/>
      <c r="J159" s="7"/>
      <c r="K159" s="7"/>
      <c r="L159" s="22"/>
      <c r="M159" s="58" t="str">
        <f aca="false">IF(Tasks[[#This Row],[Task Name]]="","",IF(Tasks[[#This Row],[_IsSummary]],MIN(INDEX(Tasks[_ShownFcstStart],Tasks[[#This Row],[_Row]]+1):INDEX(Tasks[_ShownFcstStart],Tasks[[#This Row],[_Row]]+Tasks[[#This Row],[_Descendants]])),Tasks[[#This Row],[_ShownFcstStart]]))</f>
        <v/>
      </c>
      <c r="N159" s="58" t="str">
        <f aca="false">IF(Tasks[[#This Row],[Task Name]]="","",IF(Tasks[[#This Row],[_IsSummary]],MAX(INDEX(Tasks[_ShownFcstFinish],Tasks[[#This Row],[_Row]]+1):INDEX(Tasks[_ShownFcstFinish],Tasks[[#This Row],[_Row]]+Tasks[[#This Row],[_Descendants]])),Tasks[[#This Row],[_ShownFcstFinish]]))</f>
        <v/>
      </c>
      <c r="O159" s="20" t="str">
        <f aca="false">IF(Tasks[[#This Row],[Task Name]]="","",IF(Tasks[[#This Row],[Progress]]&gt;=1,"Complete",IF(OR(N(Tasks[[#This Row],[Actual Start]])&gt;0,Tasks[[#This Row],[Progress]]&gt;0),IF(Tasks[[#This Row],[Finish Var]]&gt;0,"Behind","In Progress"),IF(Tasks[[#This Row],[Planned Start]]&lt;StatusDate,"Late Start","Not Started"))))</f>
        <v/>
      </c>
      <c r="P159" s="20" t="str">
        <f aca="false">IF(Tasks[[#This Row],[Task Name]]="","",IF(IF(Tasks[[#This Row],[_IsSummary]],COUNTIF(INDEX(Tasks[_LeafCritical],Tasks[[#This Row],[_Row]]+1):INDEX(Tasks[_LeafCritical],Tasks[[#This Row],[_Row]]+Tasks[[#This Row],[_Descendants]]),TRUE())&gt;0,Tasks[[#This Row],[_LeafCritical]]),"Yes",""))</f>
        <v/>
      </c>
      <c r="Q15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59" s="67" t="str">
        <f aca="false">IF(Tasks[[#This Row],[Task Name]]="","",IF(Tasks[[#This Row],[_Level]]&lt;=OutlineShowLevel,"Yes","No"))</f>
        <v/>
      </c>
      <c r="S159" s="7"/>
      <c r="T159" s="21"/>
      <c r="U159" s="22"/>
      <c r="V159" s="7"/>
      <c r="W159" s="67" t="str">
        <f aca="false">IF(Tasks[[#This Row],[Task Name]]="","",IF(Tasks[[#This Row],[Finish]]&gt;=Tasks[[#This Row],[Planned Finish]],NETWORKDAYS.INTL(Tasks[[#This Row],[Planned Finish]],Tasks[[#This Row],[Finish]],WorkWeek,Holidays)-1,1-NETWORKDAYS.INTL(Tasks[[#This Row],[Finish]],Tasks[[#This Row],[Planned Finish]],WorkWeek,Holidays)))</f>
        <v/>
      </c>
      <c r="X159" s="58" t="str">
        <f aca="false">IF(Tasks[[#This Row],[Task Name]]="","",IF(N(Tasks[[#This Row],[Baseline Start]])&gt;0,Tasks[[#This Row],[Baseline Start]],Tasks[[#This Row],[_CalcStart]]))</f>
        <v/>
      </c>
      <c r="Y159" s="58" t="str">
        <f aca="false">IF(Tasks[[#This Row],[Task Name]]="","",IF(N(Tasks[[#This Row],[Baseline Finish]])&gt;0,Tasks[[#This Row],[Baseline Finish]],Tasks[[#This Row],[_CalcFinish]]))</f>
        <v/>
      </c>
      <c r="Z159" s="67" t="str">
        <f aca="false">IF(Tasks[[#This Row],[Task Name]]="","",IF(Tasks[[#This Row],[Start]]&gt;=Tasks[[#This Row],[Planned Start]],NETWORKDAYS.INTL(Tasks[[#This Row],[Planned Start]],Tasks[[#This Row],[Start]],WorkWeek,Holidays)-1,1-NETWORKDAYS.INTL(Tasks[[#This Row],[Start]],Tasks[[#This Row],[Planned Start]],WorkWeek,Holidays)))</f>
        <v/>
      </c>
      <c r="AA159" s="58" t="str">
        <f aca="false">IF(Tasks[[#This Row],[Task Name]]="","",IF(Tasks[[#This Row],[_IsSummary]],MIN(INDEX(Tasks[_LeafLateStart],Tasks[[#This Row],[_Row]]+1):INDEX(Tasks[_LeafLateStart],Tasks[[#This Row],[_Row]]+Tasks[[#This Row],[_Descendants]])),Tasks[[#This Row],[_LeafLateStart]]))</f>
        <v/>
      </c>
      <c r="AB159" s="58" t="str">
        <f aca="false">IF(Tasks[[#This Row],[Task Name]]="","",IF(Tasks[[#This Row],[_IsSummary]],MAX(INDEX(Tasks[_LeafLateFinish],Tasks[[#This Row],[_Row]]+1):INDEX(Tasks[_LeafLateFinish],Tasks[[#This Row],[_Row]]+Tasks[[#This Row],[_Descendants]])),Tasks[[#This Row],[_LeafLateFinish]]))</f>
        <v/>
      </c>
      <c r="AC159" s="67" t="str">
        <f aca="false">IF(Tasks[[#This Row],[Task Name]]="","",IF(Tasks[[#This Row],[_IsSummary]],MIN(INDEX(Tasks[_LeafTotalSlack],Tasks[[#This Row],[_Row]]+1):INDEX(Tasks[_LeafTotalSlack],Tasks[[#This Row],[_Row]]+Tasks[[#This Row],[_Descendants]])),Tasks[[#This Row],[_LeafTotalSlack]]))</f>
        <v/>
      </c>
      <c r="AD15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5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5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59" s="60"/>
      <c r="AH15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5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59" s="69" t="str">
        <f aca="false">IF(Tasks[[#This Row],[Task Name]]="","",IF(Tasks[[#This Row],[_IsSummary]],SUM(INDEX(Tasks[_LeafTotalWork],Tasks[[#This Row],[_Row]]+1):INDEX(Tasks[_LeafTotalWork],Tasks[[#This Row],[_Row]]+Tasks[[#This Row],[_Descendants]])),Tasks[[#This Row],[_LeafTotalWork]]))</f>
        <v/>
      </c>
      <c r="AK15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59" s="70" t="str">
        <f aca="false">IF(Tasks[[#This Row],[Task Name]]="","",IF(Tasks[[#This Row],[_IsSummary]],SUM(INDEX(Tasks[_LeafTotalCost],Tasks[[#This Row],[_Row]]+1):INDEX(Tasks[_LeafTotalCost],Tasks[[#This Row],[_Row]]+Tasks[[#This Row],[_Descendants]])),Tasks[[#This Row],[_LeafTotalCost]]))</f>
        <v/>
      </c>
      <c r="AM159" s="71"/>
      <c r="AN159" s="20" t="str">
        <f aca="false">IF(OR(Tasks[[#This Row],[Task Name]]="",Tasks[[#This Row],[Baseline Duration]]=""),"",Tasks[[#This Row],[BL Source Duration]]-N(Tasks[[#This Row],[Baseline Duration]]))</f>
        <v/>
      </c>
      <c r="AO159" s="69" t="str">
        <f aca="false">IF(OR(Tasks[[#This Row],[Task Name]]="",Tasks[[#This Row],[Baseline Work]]=""),"",Tasks[[#This Row],[Work]]-N(Tasks[[#This Row],[Baseline Work]]))</f>
        <v/>
      </c>
      <c r="AP159" s="70" t="str">
        <f aca="false">IF(OR(Tasks[[#This Row],[Task Name]]="",Tasks[[#This Row],[Baseline Cost]]=""),"",Tasks[[#This Row],[Cost]]-N(Tasks[[#This Row],[Baseline Cost]]))</f>
        <v/>
      </c>
      <c r="AQ159" s="58" t="str">
        <f aca="false">IF(Tasks[[#This Row],[Task Name]]="","",Tasks[[#This Row],[Start]])</f>
        <v/>
      </c>
      <c r="AR159" s="58" t="str">
        <f aca="false">IF(Tasks[[#This Row],[Task Name]]="","",Tasks[[#This Row],[Finish]])</f>
        <v/>
      </c>
      <c r="AS159" s="67" t="str">
        <f aca="false">IF(Tasks[[#This Row],[Task Name]]="","",IF(Tasks[[#This Row],[_IsSummary]],NETWORKDAYS.INTL(Tasks[[#This Row],[Start]],Tasks[[#This Row],[Finish]],WorkWeek,Holidays),N(Tasks[[#This Row],[Duration]])))</f>
        <v/>
      </c>
      <c r="AT159" s="69" t="str">
        <f aca="false">IF(Tasks[[#This Row],[Task Name]]="","",Tasks[[#This Row],[Work]])</f>
        <v/>
      </c>
      <c r="AU159" s="70" t="str">
        <f aca="false">IF(Tasks[[#This Row],[Task Name]]="","",Tasks[[#This Row],[Cost]])</f>
        <v/>
      </c>
      <c r="AV159" s="7"/>
      <c r="AW159" s="7"/>
      <c r="AX159" s="21"/>
      <c r="AY159" s="72"/>
      <c r="AZ159" s="71"/>
      <c r="BA159" s="70" t="str">
        <f aca="false">IF(Tasks[[#This Row],[Task Name]]="","",IF(Tasks[[#This Row],[_IsSummary]],SUM(INDEX(Tasks[_LeafEV],Tasks[[#This Row],[_Row]]+1):INDEX(Tasks[_LeafEV],Tasks[[#This Row],[_Row]]+Tasks[[#This Row],[_Descendants]])),Tasks[[#This Row],[_LeafEV]]))</f>
        <v/>
      </c>
      <c r="BB159" s="70" t="str">
        <f aca="false">IF(Tasks[[#This Row],[Task Name]]="","",IF(Tasks[[#This Row],[_IsSummary]],SUM(INDEX(Tasks[_LeafBudget],Tasks[[#This Row],[_Row]]+1):INDEX(Tasks[_LeafBudget],Tasks[[#This Row],[_Row]]+Tasks[[#This Row],[_Descendants]])),Tasks[[#This Row],[_LeafBudget]]))</f>
        <v/>
      </c>
      <c r="BC159" s="70" t="str">
        <f aca="false">IF(Tasks[[#This Row],[Task Name]]="","",IF(Tasks[[#This Row],[_IsSummary]],SUM(INDEX(Tasks[_LeafPV],Tasks[[#This Row],[_Row]]+1):INDEX(Tasks[_LeafPV],Tasks[[#This Row],[_Row]]+Tasks[[#This Row],[_Descendants]])),Tasks[[#This Row],[_LeafPV]]))</f>
        <v/>
      </c>
      <c r="BD159" s="70" t="str">
        <f aca="false">IF(Tasks[[#This Row],[Task Name]]="","",IF(Tasks[[#This Row],[_IsSummary]],SUM(INDEX(Tasks[_LeafAC],Tasks[[#This Row],[_Row]]+1):INDEX(Tasks[_LeafAC],Tasks[[#This Row],[_Row]]+Tasks[[#This Row],[_Descendants]])),Tasks[[#This Row],[_LeafAC]]))</f>
        <v/>
      </c>
      <c r="BE159" s="45" t="str">
        <f aca="false">IF(Tasks[[#This Row],[Task Name]]="","",MAX(1,N(Tasks[[#This Row],[Level]])))</f>
        <v/>
      </c>
      <c r="BF159" s="45" t="n">
        <f aca="false">ROW()-ROW(Tasks[[#Headers],[ID]])</f>
        <v>154</v>
      </c>
      <c r="BG159" s="45" t="n">
        <f aca="false">IF(OR(Tasks[[#This Row],[Task Name]]="",Tasks[[#This Row],[_Level]]&lt;=1),0,IFERROR(LOOKUP(2,1/(Tasks[[#Headers],[_Level]]:Tasks[[#This Row],[_Level]]=Tasks[[#This Row],[_Level]]-1),ROW(Tasks[[#Headers],[_Level]]:Tasks[[#This Row],[_Level]])),0))</f>
        <v>0</v>
      </c>
      <c r="BH159" s="45" t="n">
        <f aca="false">IFERROR(N(INDEX(Tasks[_Level],Tasks[[#This Row],[_Row]]+1)),0)</f>
        <v>0</v>
      </c>
      <c r="BI159" s="73" t="b">
        <f aca="false">AND(Tasks[[#This Row],[Task Name]]&lt;&gt;"",Tasks[[#This Row],[_NextLevel]]&gt;Tasks[[#This Row],[_Level]])</f>
        <v>0</v>
      </c>
      <c r="BJ159" s="45" t="n">
        <f aca="false">IF(Tasks[[#This Row],[_IsSummary]],COUNTIF(Tasks[WBS],Tasks[[#This Row],[WBS]]&amp;".*"),0)</f>
        <v>0</v>
      </c>
      <c r="BK159" s="45" t="n">
        <f aca="false">IF(AND(Tasks[[#This Row],[Task Name]]&lt;&gt;"",NOT(Tasks[[#This Row],[_IsSummary]])),1,0)</f>
        <v>0</v>
      </c>
      <c r="BL159" s="45" t="n">
        <f aca="false">IF(N(Tasks[[#This Row],[_Pred1UID]])=0,0,IFERROR(MATCH(Tasks[[#This Row],[_Pred1UID]],Tasks[UID],0),-1))</f>
        <v>0</v>
      </c>
      <c r="BM159" s="45" t="n">
        <f aca="false">IF(N(Tasks[[#This Row],[_Pred2UID]])=0,0,IFERROR(MATCH(Tasks[[#This Row],[_Pred2UID]],Tasks[UID],0),-1))</f>
        <v>0</v>
      </c>
      <c r="BN159" s="45" t="n">
        <f aca="false">IF(N(Tasks[[#This Row],[_Pred3UID]])=0,0,IFERROR(MATCH(Tasks[[#This Row],[_Pred3UID]],Tasks[UID],0),-1))</f>
        <v>0</v>
      </c>
      <c r="BO159" s="45" t="n">
        <f aca="false">IF(N(Tasks[[#This Row],[_Pred4UID]])=0,0,IFERROR(MATCH(Tasks[[#This Row],[_Pred4UID]],Tasks[UID],0),-1))</f>
        <v>0</v>
      </c>
      <c r="BP15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5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59" s="74" t="n">
        <f aca="false">IF(OR(Tasks[[#This Row],[_ConstraintCode]]=2,Tasks[[#This Row],[_ConstraintCode]]=3,Tasks[[#This Row],[_ConstraintCode]]=4,Tasks[[#This Row],[_ConstraintCode]]=6),Tasks[[#This Row],[_ConstraintStart]],0)</f>
        <v>0</v>
      </c>
      <c r="BS159" s="74" t="n">
        <f aca="false">IF(OR(Tasks[[#This Row],[_ConstraintCode]]=2,Tasks[[#This Row],[_ConstraintCode]]=3,Tasks[[#This Row],[_ConstraintCode]]=5,Tasks[[#This Row],[_ConstraintCode]]=7),Tasks[[#This Row],[_ConstraintStart]],2958465)</f>
        <v>2958465</v>
      </c>
      <c r="BT15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59" s="74" t="str">
        <f aca="false">IF(NOT(Tasks[[#This Row],[_IsLeaf]]=1),"",IF(N(Tasks[[#This Row],[Duration]])&lt;=0,Tasks[[#This Row],[_LeafCalcStart]],WORKDAY.INTL(Tasks[[#This Row],[_LeafCalcStart]],Tasks[[#This Row],[Duration]]-1,WorkWeek,Holidays)))</f>
        <v/>
      </c>
      <c r="BV15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5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59" s="45" t="str">
        <f aca="false">IF(Tasks[[#This Row],[Predecessors]]="","",TRIM(MID(SUBSTITUTE(SUBSTITUTE(SUBSTITUTE(UPPER(Tasks[[#This Row],[Predecessors]]),";",",")," ",""),",",REPT(" ",99)),1,99)))</f>
        <v/>
      </c>
      <c r="BY159" s="45" t="str">
        <f aca="false">IF(Tasks[[#This Row],[_Pred1Text]]="","",IFERROR(VALUE(LEFT(Tasks[[#This Row],[_Pred1Text]],MIN(FIND("F",Tasks[[#This Row],[_Pred1Text]]&amp;"F"),FIND("S",Tasks[[#This Row],[_Pred1Text]]&amp;"S"),FIND("+",Tasks[[#This Row],[_Pred1Text]]&amp;"+"),FIND("-",Tasks[[#This Row],[_Pred1Text]]&amp;"-"))-1)),""))</f>
        <v/>
      </c>
      <c r="BZ15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5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59" s="45" t="str">
        <f aca="false">IF(Tasks[[#This Row],[_Pred1Text]]="","",TRIM(MID(SUBSTITUTE(SUBSTITUTE(SUBSTITUTE(UPPER(Tasks[[#This Row],[Predecessors]]),";",",")," ",""),",",REPT(" ",99)),100,99)))</f>
        <v/>
      </c>
      <c r="CC159" s="45" t="str">
        <f aca="false">IF(Tasks[[#This Row],[_Pred2Text]]="","",IFERROR(VALUE(LEFT(Tasks[[#This Row],[_Pred2Text]],MIN(FIND("F",Tasks[[#This Row],[_Pred2Text]]&amp;"F"),FIND("S",Tasks[[#This Row],[_Pred2Text]]&amp;"S"),FIND("+",Tasks[[#This Row],[_Pred2Text]]&amp;"+"),FIND("-",Tasks[[#This Row],[_Pred2Text]]&amp;"-"))-1)),""))</f>
        <v/>
      </c>
      <c r="CD15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5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59" s="45" t="str">
        <f aca="false">IF(Tasks[[#This Row],[_Pred2Text]]="","",TRIM(MID(SUBSTITUTE(SUBSTITUTE(SUBSTITUTE(UPPER(Tasks[[#This Row],[Predecessors]]),";",",")," ",""),",",REPT(" ",99)),199,99)))</f>
        <v/>
      </c>
      <c r="CG159" s="45" t="str">
        <f aca="false">IF(Tasks[[#This Row],[_Pred3Text]]="","",IFERROR(VALUE(LEFT(Tasks[[#This Row],[_Pred3Text]],MIN(FIND("F",Tasks[[#This Row],[_Pred3Text]]&amp;"F"),FIND("S",Tasks[[#This Row],[_Pred3Text]]&amp;"S"),FIND("+",Tasks[[#This Row],[_Pred3Text]]&amp;"+"),FIND("-",Tasks[[#This Row],[_Pred3Text]]&amp;"-"))-1)),""))</f>
        <v/>
      </c>
      <c r="CH15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5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59" s="45" t="str">
        <f aca="false">IF(Tasks[[#This Row],[_Pred3Text]]="","",TRIM(MID(SUBSTITUTE(SUBSTITUTE(SUBSTITUTE(UPPER(Tasks[[#This Row],[Predecessors]]),";",",")," ",""),",",REPT(" ",99)),298,99)))</f>
        <v/>
      </c>
      <c r="CK159" s="45" t="str">
        <f aca="false">IF(Tasks[[#This Row],[_Pred4Text]]="","",IFERROR(VALUE(LEFT(Tasks[[#This Row],[_Pred4Text]],MIN(FIND("F",Tasks[[#This Row],[_Pred4Text]]&amp;"F"),FIND("S",Tasks[[#This Row],[_Pred4Text]]&amp;"S"),FIND("+",Tasks[[#This Row],[_Pred4Text]]&amp;"+"),FIND("-",Tasks[[#This Row],[_Pred4Text]]&amp;"-"))-1)),""))</f>
        <v/>
      </c>
      <c r="CL15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5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59" s="45" t="str">
        <f aca="false">IF(OR(Tasks[[#This Row],[Task Name]]="",Tasks[[#This Row],[Resources]]=""),"",TRIM(MID(SUBSTITUTE(Tasks[[#This Row],[Resources]],",",REPT(" ",99)),1,99)))</f>
        <v/>
      </c>
      <c r="CO159" s="45" t="str">
        <f aca="false">IF(Tasks[[#This Row],[_Res1Text]]="","",TRIM(MID(SUBSTITUTE(Tasks[[#This Row],[Resources]],",",REPT(" ",99)),100,99)))</f>
        <v/>
      </c>
      <c r="CP159" s="45" t="str">
        <f aca="false">IF(Tasks[[#This Row],[_Res2Text]]="","",TRIM(MID(SUBSTITUTE(Tasks[[#This Row],[Resources]],",",REPT(" ",99)),199,99)))</f>
        <v/>
      </c>
      <c r="CQ159" s="45" t="str">
        <f aca="false">IF(Tasks[[#This Row],[_Res3Text]]="","",TRIM(MID(SUBSTITUTE(Tasks[[#This Row],[Resources]],",",REPT(" ",99)),298,99)))</f>
        <v/>
      </c>
      <c r="CR15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5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9" s="45" t="n">
        <f aca="false">IF(NOT(Tasks[[#This Row],[_IsLeaf]]=1),0,(Tasks[[#This Row],[_Resource1]]&lt;&gt;"")+(Tasks[[#This Row],[_Res2]]&lt;&gt;"")+(Tasks[[#This Row],[_Res3]]&lt;&gt;"")+(Tasks[[#This Row],[_Res4]]&lt;&gt;""))</f>
        <v>0</v>
      </c>
      <c r="CU15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5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9" s="45" t="n">
        <f aca="false">IF(OR(NOT(Tasks[[#This Row],[_IsLeaf]]=1),Tasks[[#This Row],[_Res2]]=""),0,IF(ISNA(MATCH(Tasks[[#This Row],[_Res2]],res_Name,0)),0,N(Tasks[[#This Row],[Duration]])*HoursPerDay*IF(Tasks[[#This Row],[_Res2Units]]="",DefaultUnits,Tasks[[#This Row],[_Res2Units]])))</f>
        <v>0</v>
      </c>
      <c r="CX159" s="45" t="n">
        <f aca="false">IF(Tasks[[#This Row],[_Res2Work]]=0,0,Tasks[[#This Row],[_Res2Work]]*IFERROR(INDEX(res_Rate,MATCH(Tasks[[#This Row],[_Res2]],res_Name,0)),0))</f>
        <v>0</v>
      </c>
      <c r="CY159" s="45" t="n">
        <f aca="false">IF(AND(AND(Tasks[[#This Row],[_IsLeaf]]=1,Tasks[[#This Row],[_LeafTotalWork]]&gt;0),Tasks[[#This Row],[_Res2Work]]&gt;0),Tasks[[#This Row],[_Res2Work]]/(Tasks[[#This Row],[_FinishWorkday]]-Tasks[[#This Row],[_StartWorkday]]+1),0)</f>
        <v>0</v>
      </c>
      <c r="CZ159" s="45" t="n">
        <f aca="false">Tasks[[#This Row],[_Res2WorkPerWD]]*MAX(0,Tasks[[#This Row],[_StartWorkday]]-1)</f>
        <v>0</v>
      </c>
      <c r="DA159" s="45" t="n">
        <f aca="false">Tasks[[#This Row],[_Res2Work]]*Tasks[[#This Row],[_LeafProgress]]</f>
        <v>0</v>
      </c>
      <c r="DB159" s="45" t="n">
        <f aca="false">IF(Tasks[[#This Row],[_LeafTotalCost]]=0,0,Tasks[[#This Row],[_LeafAC]]*Tasks[[#This Row],[_Res2Cost]]/Tasks[[#This Row],[_LeafTotalCost]])</f>
        <v>0</v>
      </c>
      <c r="DC15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5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59" s="45" t="n">
        <f aca="false">IF(OR(NOT(Tasks[[#This Row],[_IsLeaf]]=1),Tasks[[#This Row],[_Res3]]=""),0,IF(ISNA(MATCH(Tasks[[#This Row],[_Res3]],res_Name,0)),0,N(Tasks[[#This Row],[Duration]])*HoursPerDay*IF(Tasks[[#This Row],[_Res3Units]]="",DefaultUnits,Tasks[[#This Row],[_Res3Units]])))</f>
        <v>0</v>
      </c>
      <c r="DF159" s="45" t="n">
        <f aca="false">IF(Tasks[[#This Row],[_Res3Work]]=0,0,Tasks[[#This Row],[_Res3Work]]*IFERROR(INDEX(res_Rate,MATCH(Tasks[[#This Row],[_Res3]],res_Name,0)),0))</f>
        <v>0</v>
      </c>
      <c r="DG159" s="45" t="n">
        <f aca="false">IF(AND(AND(Tasks[[#This Row],[_IsLeaf]]=1,Tasks[[#This Row],[_LeafTotalWork]]&gt;0),Tasks[[#This Row],[_Res3Work]]&gt;0),Tasks[[#This Row],[_Res3Work]]/(Tasks[[#This Row],[_FinishWorkday]]-Tasks[[#This Row],[_StartWorkday]]+1),0)</f>
        <v>0</v>
      </c>
      <c r="DH159" s="45" t="n">
        <f aca="false">Tasks[[#This Row],[_Res3WorkPerWD]]*MAX(0,Tasks[[#This Row],[_StartWorkday]]-1)</f>
        <v>0</v>
      </c>
      <c r="DI159" s="45" t="n">
        <f aca="false">Tasks[[#This Row],[_Res3Work]]*Tasks[[#This Row],[_LeafProgress]]</f>
        <v>0</v>
      </c>
      <c r="DJ159" s="45" t="n">
        <f aca="false">IF(Tasks[[#This Row],[_LeafTotalCost]]=0,0,Tasks[[#This Row],[_LeafAC]]*Tasks[[#This Row],[_Res3Cost]]/Tasks[[#This Row],[_LeafTotalCost]])</f>
        <v>0</v>
      </c>
      <c r="DK15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5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59" s="45" t="n">
        <f aca="false">IF(OR(NOT(Tasks[[#This Row],[_IsLeaf]]=1),Tasks[[#This Row],[_Res4]]=""),0,IF(ISNA(MATCH(Tasks[[#This Row],[_Res4]],res_Name,0)),0,N(Tasks[[#This Row],[Duration]])*HoursPerDay*IF(Tasks[[#This Row],[_Res4Units]]="",DefaultUnits,Tasks[[#This Row],[_Res4Units]])))</f>
        <v>0</v>
      </c>
      <c r="DN159" s="45" t="n">
        <f aca="false">IF(Tasks[[#This Row],[_Res4Work]]=0,0,Tasks[[#This Row],[_Res4Work]]*IFERROR(INDEX(res_Rate,MATCH(Tasks[[#This Row],[_Res4]],res_Name,0)),0))</f>
        <v>0</v>
      </c>
      <c r="DO159" s="45" t="n">
        <f aca="false">IF(AND(AND(Tasks[[#This Row],[_IsLeaf]]=1,Tasks[[#This Row],[_LeafTotalWork]]&gt;0),Tasks[[#This Row],[_Res4Work]]&gt;0),Tasks[[#This Row],[_Res4Work]]/(Tasks[[#This Row],[_FinishWorkday]]-Tasks[[#This Row],[_StartWorkday]]+1),0)</f>
        <v>0</v>
      </c>
      <c r="DP159" s="45" t="n">
        <f aca="false">Tasks[[#This Row],[_Res4WorkPerWD]]*MAX(0,Tasks[[#This Row],[_StartWorkday]]-1)</f>
        <v>0</v>
      </c>
      <c r="DQ159" s="45" t="n">
        <f aca="false">Tasks[[#This Row],[_Res4Work]]*Tasks[[#This Row],[_LeafProgress]]</f>
        <v>0</v>
      </c>
      <c r="DR159" s="45" t="n">
        <f aca="false">IF(Tasks[[#This Row],[_LeafTotalCost]]=0,0,Tasks[[#This Row],[_LeafAC]]*Tasks[[#This Row],[_Res4Cost]]/Tasks[[#This Row],[_LeafTotalCost]])</f>
        <v>0</v>
      </c>
      <c r="DS159" s="45" t="n">
        <f aca="false">IF(ISNUMBER(Tasks[[#This Row],[% Complete]]),Tasks[[#This Row],[% Complete]],IF(Tasks[[#This Row],[Stage]]="",0,IFERROR(INDEX(stg_Pct,MATCH(Tasks[[#This Row],[Stage]],stg_Name,0)),0)))</f>
        <v>0</v>
      </c>
      <c r="DT159" s="45" t="n">
        <f aca="false">IF(NOT(Tasks[[#This Row],[_IsLeaf]]=1),0,IF(N(Tasks[[#This Row],[Actual Finish]])&gt;0,1,MIN(1,Tasks[[#This Row],[_Pct]])))</f>
        <v>0</v>
      </c>
      <c r="DU159" s="45" t="n">
        <f aca="false">IF(OR(NOT(Tasks[[#This Row],[_IsLeaf]]=1),Tasks[[#This Row],[_Resource1]]=""),0,IF(ISNA(MATCH(Tasks[[#This Row],[_Resource1]],res_Name,0)),0,N(Tasks[[#This Row],[Duration]])*HoursPerDay*IF(Tasks[[#This Row],[_Units1]]="",DefaultUnits,Tasks[[#This Row],[_Units1]])))</f>
        <v>0</v>
      </c>
      <c r="DV159" s="45" t="n">
        <f aca="false">IF(Tasks[[#This Row],[_LeafWork]]=0,0,Tasks[[#This Row],[_LeafWork]]*IFERROR(INDEX(res_Rate,MATCH(Tasks[[#This Row],[_Resource1]],res_Name,0)),0))</f>
        <v>0</v>
      </c>
      <c r="DW159" s="45" t="n">
        <f aca="false">Tasks[[#This Row],[_LeafWork]]+Tasks[[#This Row],[_Res2Work]]+Tasks[[#This Row],[_Res3Work]]+Tasks[[#This Row],[_Res4Work]]</f>
        <v>0</v>
      </c>
      <c r="DX159" s="45" t="n">
        <f aca="false">Tasks[[#This Row],[_LeafCost]]+Tasks[[#This Row],[_Res2Cost]]+Tasks[[#This Row],[_Res3Cost]]+Tasks[[#This Row],[_Res4Cost]]</f>
        <v>0</v>
      </c>
      <c r="DY159" s="45" t="n">
        <f aca="false">IF(Tasks[[#This Row],[_LeafTotalCost]]=0,Tasks[[#This Row],[_LeafAC]],Tasks[[#This Row],[_LeafAC]]*Tasks[[#This Row],[_LeafCost]]/Tasks[[#This Row],[_LeafTotalCost]])</f>
        <v>0</v>
      </c>
      <c r="DZ15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5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5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5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5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5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5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5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59" s="45" t="n">
        <f aca="false">IF(NOT(Tasks[[#This Row],[_IsLeaf]]=1),0,MAX(_xlfn.MAXIFS(Tasks[_Row],Tasks[_Pred1UID],Tasks[[#This Row],[UID]]),_xlfn.MAXIFS(Tasks[_Row],Tasks[_Pred2UID],Tasks[[#This Row],[UID]]),_xlfn.MAXIFS(Tasks[_Row],Tasks[_Pred3UID],Tasks[[#This Row],[UID]]),_xlfn.MAXIFS(Tasks[_Row],Tasks[_Pred4UID],Tasks[[#This Row],[UID]])))</f>
        <v>0</v>
      </c>
      <c r="EI15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5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59" s="74" t="str">
        <f aca="false">IF(NOT(Tasks[[#This Row],[_IsLeaf]]=1),"",IF(N(Tasks[[#This Row],[Duration]])&lt;=0,Tasks[[#This Row],[_LeafLateFinish]],WORKDAY.INTL(Tasks[[#This Row],[_LeafLateFinish]],-(Tasks[[#This Row],[Duration]]-1),WorkWeek,Holidays)))</f>
        <v/>
      </c>
      <c r="EL15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59" s="73" t="b">
        <f aca="false">AND(Tasks[[#This Row],[_IsLeaf]]=1,Tasks[[#This Row],[_LeafProgress]]&lt;1,N(Tasks[[#This Row],[_LeafTotalSlack]])&lt;=CriticalSlackDays)</f>
        <v>0</v>
      </c>
      <c r="EN159" s="45" t="n">
        <f aca="false">IF(AND(Tasks[[#This Row],[_IsLeaf]]=1,Tasks[[#This Row],[_ConstraintCode]]=1,Tasks[[#This Row],[Mode]]&lt;&gt;"Manual",N(Tasks[[#This Row],[Actual Start]])=0),MAX(0,N(Tasks[[#This Row],[Free Slack]])),0)</f>
        <v>0</v>
      </c>
      <c r="EO159" s="74" t="str">
        <f aca="false">IF(NOT(Tasks[[#This Row],[_IsLeaf]]=1),"",IF(Tasks[[#This Row],[_AlapShift]]=0,Tasks[[#This Row],[_LeafCalcStart]],WORKDAY.INTL(Tasks[[#This Row],[_LeafCalcStart]],Tasks[[#This Row],[_AlapShift]],WorkWeek,Holidays)))</f>
        <v/>
      </c>
      <c r="EP159" s="74" t="str">
        <f aca="false">IF(NOT(Tasks[[#This Row],[_IsLeaf]]=1),"",IF(Tasks[[#This Row],[_AlapShift]]=0,Tasks[[#This Row],[_LeafCalcFinish]],WORKDAY.INTL(Tasks[[#This Row],[_LeafCalcFinish]],Tasks[[#This Row],[_AlapShift]],WorkWeek,Holidays)))</f>
        <v/>
      </c>
      <c r="EQ159" s="74" t="str">
        <f aca="false">IF(NOT(Tasks[[#This Row],[_IsLeaf]]=1),"",IF(Tasks[[#This Row],[_AlapShift]]=0,Tasks[[#This Row],[_LeafFcstStart]],WORKDAY.INTL(Tasks[[#This Row],[_LeafFcstStart]],Tasks[[#This Row],[_AlapShift]],WorkWeek,Holidays)))</f>
        <v/>
      </c>
      <c r="ER159" s="74" t="str">
        <f aca="false">IF(NOT(Tasks[[#This Row],[_IsLeaf]]=1),"",IF(Tasks[[#This Row],[_AlapShift]]=0,Tasks[[#This Row],[_LeafFcstFinish]],WORKDAY.INTL(Tasks[[#This Row],[_LeafFcstFinish]],Tasks[[#This Row],[_AlapShift]],WorkWeek,Holidays)))</f>
        <v/>
      </c>
      <c r="ES159" s="74" t="str">
        <f aca="false">IF(Tasks[[#This Row],[Task Name]]="","",IF(Tasks[[#This Row],[_IsSummary]],MIN(INDEX(Tasks[_ShownCalcStart],Tasks[[#This Row],[_Row]]+1):INDEX(Tasks[_ShownCalcStart],Tasks[[#This Row],[_Row]]+Tasks[[#This Row],[_Descendants]])),Tasks[[#This Row],[_ShownCalcStart]]))</f>
        <v/>
      </c>
      <c r="ET159" s="74" t="str">
        <f aca="false">IF(Tasks[[#This Row],[Task Name]]="","",IF(Tasks[[#This Row],[_IsSummary]],MAX(INDEX(Tasks[_ShownCalcFinish],Tasks[[#This Row],[_Row]]+1):INDEX(Tasks[_ShownCalcFinish],Tasks[[#This Row],[_Row]]+Tasks[[#This Row],[_Descendants]])),Tasks[[#This Row],[_ShownCalcFinish]]))</f>
        <v/>
      </c>
      <c r="EU15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5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5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5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5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5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5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5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5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5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5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5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59" s="45" t="n">
        <f aca="false">IF(AND(Tasks[[#This Row],[_IsLeaf]]=1,Tasks[[#This Row],[_LeafTotalWork]]&gt;0),NETWORKDAYS.INTL(ProjectStart,Tasks[[#This Row],[_ShownFcstStart]],WorkWeek,Holidays),0)</f>
        <v>0</v>
      </c>
      <c r="FH159" s="45" t="n">
        <f aca="false">IF(AND(Tasks[[#This Row],[_IsLeaf]]=1,Tasks[[#This Row],[_LeafTotalWork]]&gt;0),MAX(Tasks[[#This Row],[_StartWorkday]],NETWORKDAYS.INTL(ProjectStart,Tasks[[#This Row],[_ShownFcstFinish]],WorkWeek,Holidays)),0)</f>
        <v>0</v>
      </c>
      <c r="FI159" s="45" t="n">
        <f aca="false">IF(AND(Tasks[[#This Row],[_IsLeaf]]=1,Tasks[[#This Row],[_LeafTotalWork]]&gt;0),Tasks[[#This Row],[_LeafWork]]/(Tasks[[#This Row],[_FinishWorkday]]-Tasks[[#This Row],[_StartWorkday]]+1),0)</f>
        <v>0</v>
      </c>
      <c r="FJ159" s="45" t="n">
        <f aca="false">Tasks[[#This Row],[_WorkPerWorkday]]*(Tasks[[#This Row],[_StartWorkday]]-1)</f>
        <v>-0</v>
      </c>
      <c r="FK159" s="45" t="n">
        <f aca="false">IF(Tasks[[#This Row],[_IsLeaf]]=1,MAX(N(Tasks[[#This Row],[Duration]]),0.1),0)</f>
        <v>0</v>
      </c>
      <c r="FL159" s="45" t="n">
        <f aca="false">Tasks[[#This Row],[_WeightDur]]*Tasks[[#This Row],[_LeafProgress]]</f>
        <v>0</v>
      </c>
      <c r="FM15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59" s="45" t="str">
        <f aca="false">IF(AND(Tasks[[#This Row],[_IsLeaf]]=1,N(Tasks[[#This Row],[Duration]])=0,Tasks[[#This Row],[_LeafProgress]]&lt;1),Tasks[[#This Row],[_ShownFcstFinish]]+Tasks[[#This Row],[_Row]]/100000,"")</f>
        <v/>
      </c>
      <c r="FO15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59" s="45" t="n">
        <f aca="false">IF(NOT(Tasks[[#This Row],[_IsLeaf]]=1),0,IF(Tasks[[#This Row],[Baseline Cost]]="",Tasks[[#This Row],[_LeafTotalCost]],N(Tasks[[#This Row],[Baseline Cost]])))</f>
        <v>0</v>
      </c>
      <c r="FQ159" s="45" t="n">
        <f aca="false">Tasks[[#This Row],[_LeafBudget]]*Tasks[[#This Row],[_PlannedPct]]</f>
        <v>0</v>
      </c>
      <c r="FR159" s="45" t="n">
        <f aca="false">Tasks[[#This Row],[_LeafBudget]]*Tasks[[#This Row],[_LeafProgress]]</f>
        <v>0</v>
      </c>
      <c r="FS159" s="45" t="n">
        <f aca="false">IF(NOT(Tasks[[#This Row],[_IsLeaf]]=1),0,IF(Tasks[[#This Row],[Actual Cost]]="",Tasks[[#This Row],[_LeafTotalCost]]*Tasks[[#This Row],[_LeafProgress]],N(Tasks[[#This Row],[Actual Cost]])))</f>
        <v>0</v>
      </c>
      <c r="FT159" s="45" t="str">
        <f aca="false">IF(Tasks[[#This Row],[Task Name]]="","",LEFT(Tasks[[#This Row],[WBS]],FIND(".",Tasks[[#This Row],[WBS]]&amp;".")-1))</f>
        <v/>
      </c>
      <c r="FU159" s="45" t="str">
        <f aca="false">IF(AND(Tasks[[#This Row],[Task Name]]&lt;&gt;"",Tasks[[#This Row],[_Level]]=1),Tasks[[#This Row],[_Row]],"")</f>
        <v/>
      </c>
      <c r="FV159" s="45" t="str">
        <f aca="false">IF(AND(Tasks[[#This Row],[_IsLeaf]]=1,N(Tasks[[#This Row],[Duration]])=0),Tasks[[#This Row],[Planned Finish]]+Tasks[[#This Row],[_Row]]/100000,"")</f>
        <v/>
      </c>
      <c r="FW159" s="45" t="str">
        <f aca="false">IF(AND(Tasks[[#This Row],[_IsLeaf]]=1,Tasks[[#This Row],[_LeafProgress]]&lt;1,OR(N(Tasks[[#This Row],[Finish Var]])&gt;0,Tasks[[#This Row],[Status]]="Late Start")),MAX(0,Tasks[[#This Row],[Finish Var]])+1-Tasks[[#This Row],[_Row]]/1000000,"")</f>
        <v/>
      </c>
      <c r="FX159" s="45" t="str">
        <f aca="false">IF(AND(Tasks[[#This Row],[_IsLeaf]]=1,N(Tasks[[#This Row],[Actual Start]])=0,Tasks[[#This Row],[_ShownFcstStart]]&gt;=StatusDate,Tasks[[#This Row],[_ShownFcstStart]]&lt;=LookaheadEnd),Tasks[[#This Row],[_ShownFcstStart]]+Tasks[[#This Row],[_Row]]/100000,"")</f>
        <v/>
      </c>
      <c r="FY159" s="45" t="str">
        <f aca="false">IF(AND(Tasks[[#This Row],[_IsLeaf]]=1,Tasks[[#This Row],[_LeafProgress]]&lt;1,Tasks[[#This Row],[_ShownFcstFinish]]&gt;=StatusDate,Tasks[[#This Row],[_ShownFcstFinish]]&lt;=LookaheadEnd),Tasks[[#This Row],[_ShownFcstFinish]]+Tasks[[#This Row],[_Row]]/100000,"")</f>
        <v/>
      </c>
      <c r="FZ159" s="45" t="str">
        <f aca="false">IF(Tasks[[#This Row],[_LeafCritical]],Tasks[[#This Row],[_ShownFcstStart]]+Tasks[[#This Row],[_Row]]/100000,"")</f>
        <v/>
      </c>
      <c r="GA159" s="45" t="n">
        <f aca="false">Tasks[[#This Row],[_LeafWork]]*Tasks[[#This Row],[_LeafProgress]]</f>
        <v>0</v>
      </c>
      <c r="GB159" s="74" t="str">
        <f aca="false">IF(AND(Tasks[[#This Row],[_IsLeaf]]=1,Tasks[[#This Row],[_LeafProgress]]&gt;=1),IF(N(Tasks[[#This Row],[Actual Finish]])&gt;0,Tasks[[#This Row],[Actual Finish]],Tasks[[#This Row],[_ShownFcstFinish]]),"")</f>
        <v/>
      </c>
    </row>
    <row r="160" customFormat="false" ht="15" hidden="false" customHeight="false" outlineLevel="0" collapsed="false">
      <c r="A160" s="67" t="str">
        <f aca="false">IF(Tasks[[#This Row],[Task Name]]="","",COUNTA(Tasks[[#Headers],[Task Name]]:Tasks[[#This Row],[Task Name]])-1)</f>
        <v/>
      </c>
      <c r="B160" s="21" t="n">
        <v>155</v>
      </c>
      <c r="C16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21"/>
      <c r="E160" s="22"/>
      <c r="F160" s="21"/>
      <c r="G160" s="22"/>
      <c r="H160" s="22"/>
      <c r="I160" s="22"/>
      <c r="J160" s="7"/>
      <c r="K160" s="7"/>
      <c r="L160" s="22"/>
      <c r="M160" s="58" t="str">
        <f aca="false">IF(Tasks[[#This Row],[Task Name]]="","",IF(Tasks[[#This Row],[_IsSummary]],MIN(INDEX(Tasks[_ShownFcstStart],Tasks[[#This Row],[_Row]]+1):INDEX(Tasks[_ShownFcstStart],Tasks[[#This Row],[_Row]]+Tasks[[#This Row],[_Descendants]])),Tasks[[#This Row],[_ShownFcstStart]]))</f>
        <v/>
      </c>
      <c r="N160" s="58" t="str">
        <f aca="false">IF(Tasks[[#This Row],[Task Name]]="","",IF(Tasks[[#This Row],[_IsSummary]],MAX(INDEX(Tasks[_ShownFcstFinish],Tasks[[#This Row],[_Row]]+1):INDEX(Tasks[_ShownFcstFinish],Tasks[[#This Row],[_Row]]+Tasks[[#This Row],[_Descendants]])),Tasks[[#This Row],[_ShownFcstFinish]]))</f>
        <v/>
      </c>
      <c r="O160" s="20" t="str">
        <f aca="false">IF(Tasks[[#This Row],[Task Name]]="","",IF(Tasks[[#This Row],[Progress]]&gt;=1,"Complete",IF(OR(N(Tasks[[#This Row],[Actual Start]])&gt;0,Tasks[[#This Row],[Progress]]&gt;0),IF(Tasks[[#This Row],[Finish Var]]&gt;0,"Behind","In Progress"),IF(Tasks[[#This Row],[Planned Start]]&lt;StatusDate,"Late Start","Not Started"))))</f>
        <v/>
      </c>
      <c r="P160" s="20" t="str">
        <f aca="false">IF(Tasks[[#This Row],[Task Name]]="","",IF(IF(Tasks[[#This Row],[_IsSummary]],COUNTIF(INDEX(Tasks[_LeafCritical],Tasks[[#This Row],[_Row]]+1):INDEX(Tasks[_LeafCritical],Tasks[[#This Row],[_Row]]+Tasks[[#This Row],[_Descendants]]),TRUE())&gt;0,Tasks[[#This Row],[_LeafCritical]]),"Yes",""))</f>
        <v/>
      </c>
      <c r="Q16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60" s="67" t="str">
        <f aca="false">IF(Tasks[[#This Row],[Task Name]]="","",IF(Tasks[[#This Row],[_Level]]&lt;=OutlineShowLevel,"Yes","No"))</f>
        <v/>
      </c>
      <c r="S160" s="7"/>
      <c r="T160" s="21"/>
      <c r="U160" s="22"/>
      <c r="V160" s="7"/>
      <c r="W160" s="67" t="str">
        <f aca="false">IF(Tasks[[#This Row],[Task Name]]="","",IF(Tasks[[#This Row],[Finish]]&gt;=Tasks[[#This Row],[Planned Finish]],NETWORKDAYS.INTL(Tasks[[#This Row],[Planned Finish]],Tasks[[#This Row],[Finish]],WorkWeek,Holidays)-1,1-NETWORKDAYS.INTL(Tasks[[#This Row],[Finish]],Tasks[[#This Row],[Planned Finish]],WorkWeek,Holidays)))</f>
        <v/>
      </c>
      <c r="X160" s="58" t="str">
        <f aca="false">IF(Tasks[[#This Row],[Task Name]]="","",IF(N(Tasks[[#This Row],[Baseline Start]])&gt;0,Tasks[[#This Row],[Baseline Start]],Tasks[[#This Row],[_CalcStart]]))</f>
        <v/>
      </c>
      <c r="Y160" s="58" t="str">
        <f aca="false">IF(Tasks[[#This Row],[Task Name]]="","",IF(N(Tasks[[#This Row],[Baseline Finish]])&gt;0,Tasks[[#This Row],[Baseline Finish]],Tasks[[#This Row],[_CalcFinish]]))</f>
        <v/>
      </c>
      <c r="Z160" s="67" t="str">
        <f aca="false">IF(Tasks[[#This Row],[Task Name]]="","",IF(Tasks[[#This Row],[Start]]&gt;=Tasks[[#This Row],[Planned Start]],NETWORKDAYS.INTL(Tasks[[#This Row],[Planned Start]],Tasks[[#This Row],[Start]],WorkWeek,Holidays)-1,1-NETWORKDAYS.INTL(Tasks[[#This Row],[Start]],Tasks[[#This Row],[Planned Start]],WorkWeek,Holidays)))</f>
        <v/>
      </c>
      <c r="AA160" s="58" t="str">
        <f aca="false">IF(Tasks[[#This Row],[Task Name]]="","",IF(Tasks[[#This Row],[_IsSummary]],MIN(INDEX(Tasks[_LeafLateStart],Tasks[[#This Row],[_Row]]+1):INDEX(Tasks[_LeafLateStart],Tasks[[#This Row],[_Row]]+Tasks[[#This Row],[_Descendants]])),Tasks[[#This Row],[_LeafLateStart]]))</f>
        <v/>
      </c>
      <c r="AB160" s="58" t="str">
        <f aca="false">IF(Tasks[[#This Row],[Task Name]]="","",IF(Tasks[[#This Row],[_IsSummary]],MAX(INDEX(Tasks[_LeafLateFinish],Tasks[[#This Row],[_Row]]+1):INDEX(Tasks[_LeafLateFinish],Tasks[[#This Row],[_Row]]+Tasks[[#This Row],[_Descendants]])),Tasks[[#This Row],[_LeafLateFinish]]))</f>
        <v/>
      </c>
      <c r="AC160" s="67" t="str">
        <f aca="false">IF(Tasks[[#This Row],[Task Name]]="","",IF(Tasks[[#This Row],[_IsSummary]],MIN(INDEX(Tasks[_LeafTotalSlack],Tasks[[#This Row],[_Row]]+1):INDEX(Tasks[_LeafTotalSlack],Tasks[[#This Row],[_Row]]+Tasks[[#This Row],[_Descendants]])),Tasks[[#This Row],[_LeafTotalSlack]]))</f>
        <v/>
      </c>
      <c r="AD16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6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6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60" s="60"/>
      <c r="AH16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6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60" s="69" t="str">
        <f aca="false">IF(Tasks[[#This Row],[Task Name]]="","",IF(Tasks[[#This Row],[_IsSummary]],SUM(INDEX(Tasks[_LeafTotalWork],Tasks[[#This Row],[_Row]]+1):INDEX(Tasks[_LeafTotalWork],Tasks[[#This Row],[_Row]]+Tasks[[#This Row],[_Descendants]])),Tasks[[#This Row],[_LeafTotalWork]]))</f>
        <v/>
      </c>
      <c r="AK16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60" s="70" t="str">
        <f aca="false">IF(Tasks[[#This Row],[Task Name]]="","",IF(Tasks[[#This Row],[_IsSummary]],SUM(INDEX(Tasks[_LeafTotalCost],Tasks[[#This Row],[_Row]]+1):INDEX(Tasks[_LeafTotalCost],Tasks[[#This Row],[_Row]]+Tasks[[#This Row],[_Descendants]])),Tasks[[#This Row],[_LeafTotalCost]]))</f>
        <v/>
      </c>
      <c r="AM160" s="71"/>
      <c r="AN160" s="20" t="str">
        <f aca="false">IF(OR(Tasks[[#This Row],[Task Name]]="",Tasks[[#This Row],[Baseline Duration]]=""),"",Tasks[[#This Row],[BL Source Duration]]-N(Tasks[[#This Row],[Baseline Duration]]))</f>
        <v/>
      </c>
      <c r="AO160" s="69" t="str">
        <f aca="false">IF(OR(Tasks[[#This Row],[Task Name]]="",Tasks[[#This Row],[Baseline Work]]=""),"",Tasks[[#This Row],[Work]]-N(Tasks[[#This Row],[Baseline Work]]))</f>
        <v/>
      </c>
      <c r="AP160" s="70" t="str">
        <f aca="false">IF(OR(Tasks[[#This Row],[Task Name]]="",Tasks[[#This Row],[Baseline Cost]]=""),"",Tasks[[#This Row],[Cost]]-N(Tasks[[#This Row],[Baseline Cost]]))</f>
        <v/>
      </c>
      <c r="AQ160" s="58" t="str">
        <f aca="false">IF(Tasks[[#This Row],[Task Name]]="","",Tasks[[#This Row],[Start]])</f>
        <v/>
      </c>
      <c r="AR160" s="58" t="str">
        <f aca="false">IF(Tasks[[#This Row],[Task Name]]="","",Tasks[[#This Row],[Finish]])</f>
        <v/>
      </c>
      <c r="AS160" s="67" t="str">
        <f aca="false">IF(Tasks[[#This Row],[Task Name]]="","",IF(Tasks[[#This Row],[_IsSummary]],NETWORKDAYS.INTL(Tasks[[#This Row],[Start]],Tasks[[#This Row],[Finish]],WorkWeek,Holidays),N(Tasks[[#This Row],[Duration]])))</f>
        <v/>
      </c>
      <c r="AT160" s="69" t="str">
        <f aca="false">IF(Tasks[[#This Row],[Task Name]]="","",Tasks[[#This Row],[Work]])</f>
        <v/>
      </c>
      <c r="AU160" s="70" t="str">
        <f aca="false">IF(Tasks[[#This Row],[Task Name]]="","",Tasks[[#This Row],[Cost]])</f>
        <v/>
      </c>
      <c r="AV160" s="7"/>
      <c r="AW160" s="7"/>
      <c r="AX160" s="21"/>
      <c r="AY160" s="72"/>
      <c r="AZ160" s="71"/>
      <c r="BA160" s="70" t="str">
        <f aca="false">IF(Tasks[[#This Row],[Task Name]]="","",IF(Tasks[[#This Row],[_IsSummary]],SUM(INDEX(Tasks[_LeafEV],Tasks[[#This Row],[_Row]]+1):INDEX(Tasks[_LeafEV],Tasks[[#This Row],[_Row]]+Tasks[[#This Row],[_Descendants]])),Tasks[[#This Row],[_LeafEV]]))</f>
        <v/>
      </c>
      <c r="BB160" s="70" t="str">
        <f aca="false">IF(Tasks[[#This Row],[Task Name]]="","",IF(Tasks[[#This Row],[_IsSummary]],SUM(INDEX(Tasks[_LeafBudget],Tasks[[#This Row],[_Row]]+1):INDEX(Tasks[_LeafBudget],Tasks[[#This Row],[_Row]]+Tasks[[#This Row],[_Descendants]])),Tasks[[#This Row],[_LeafBudget]]))</f>
        <v/>
      </c>
      <c r="BC160" s="70" t="str">
        <f aca="false">IF(Tasks[[#This Row],[Task Name]]="","",IF(Tasks[[#This Row],[_IsSummary]],SUM(INDEX(Tasks[_LeafPV],Tasks[[#This Row],[_Row]]+1):INDEX(Tasks[_LeafPV],Tasks[[#This Row],[_Row]]+Tasks[[#This Row],[_Descendants]])),Tasks[[#This Row],[_LeafPV]]))</f>
        <v/>
      </c>
      <c r="BD160" s="70" t="str">
        <f aca="false">IF(Tasks[[#This Row],[Task Name]]="","",IF(Tasks[[#This Row],[_IsSummary]],SUM(INDEX(Tasks[_LeafAC],Tasks[[#This Row],[_Row]]+1):INDEX(Tasks[_LeafAC],Tasks[[#This Row],[_Row]]+Tasks[[#This Row],[_Descendants]])),Tasks[[#This Row],[_LeafAC]]))</f>
        <v/>
      </c>
      <c r="BE160" s="45" t="str">
        <f aca="false">IF(Tasks[[#This Row],[Task Name]]="","",MAX(1,N(Tasks[[#This Row],[Level]])))</f>
        <v/>
      </c>
      <c r="BF160" s="45" t="n">
        <f aca="false">ROW()-ROW(Tasks[[#Headers],[ID]])</f>
        <v>155</v>
      </c>
      <c r="BG160" s="45" t="n">
        <f aca="false">IF(OR(Tasks[[#This Row],[Task Name]]="",Tasks[[#This Row],[_Level]]&lt;=1),0,IFERROR(LOOKUP(2,1/(Tasks[[#Headers],[_Level]]:Tasks[[#This Row],[_Level]]=Tasks[[#This Row],[_Level]]-1),ROW(Tasks[[#Headers],[_Level]]:Tasks[[#This Row],[_Level]])),0))</f>
        <v>0</v>
      </c>
      <c r="BH160" s="45" t="n">
        <f aca="false">IFERROR(N(INDEX(Tasks[_Level],Tasks[[#This Row],[_Row]]+1)),0)</f>
        <v>0</v>
      </c>
      <c r="BI160" s="73" t="b">
        <f aca="false">AND(Tasks[[#This Row],[Task Name]]&lt;&gt;"",Tasks[[#This Row],[_NextLevel]]&gt;Tasks[[#This Row],[_Level]])</f>
        <v>0</v>
      </c>
      <c r="BJ160" s="45" t="n">
        <f aca="false">IF(Tasks[[#This Row],[_IsSummary]],COUNTIF(Tasks[WBS],Tasks[[#This Row],[WBS]]&amp;".*"),0)</f>
        <v>0</v>
      </c>
      <c r="BK160" s="45" t="n">
        <f aca="false">IF(AND(Tasks[[#This Row],[Task Name]]&lt;&gt;"",NOT(Tasks[[#This Row],[_IsSummary]])),1,0)</f>
        <v>0</v>
      </c>
      <c r="BL160" s="45" t="n">
        <f aca="false">IF(N(Tasks[[#This Row],[_Pred1UID]])=0,0,IFERROR(MATCH(Tasks[[#This Row],[_Pred1UID]],Tasks[UID],0),-1))</f>
        <v>0</v>
      </c>
      <c r="BM160" s="45" t="n">
        <f aca="false">IF(N(Tasks[[#This Row],[_Pred2UID]])=0,0,IFERROR(MATCH(Tasks[[#This Row],[_Pred2UID]],Tasks[UID],0),-1))</f>
        <v>0</v>
      </c>
      <c r="BN160" s="45" t="n">
        <f aca="false">IF(N(Tasks[[#This Row],[_Pred3UID]])=0,0,IFERROR(MATCH(Tasks[[#This Row],[_Pred3UID]],Tasks[UID],0),-1))</f>
        <v>0</v>
      </c>
      <c r="BO160" s="45" t="n">
        <f aca="false">IF(N(Tasks[[#This Row],[_Pred4UID]])=0,0,IFERROR(MATCH(Tasks[[#This Row],[_Pred4UID]],Tasks[UID],0),-1))</f>
        <v>0</v>
      </c>
      <c r="BP16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6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60" s="74" t="n">
        <f aca="false">IF(OR(Tasks[[#This Row],[_ConstraintCode]]=2,Tasks[[#This Row],[_ConstraintCode]]=3,Tasks[[#This Row],[_ConstraintCode]]=4,Tasks[[#This Row],[_ConstraintCode]]=6),Tasks[[#This Row],[_ConstraintStart]],0)</f>
        <v>0</v>
      </c>
      <c r="BS160" s="74" t="n">
        <f aca="false">IF(OR(Tasks[[#This Row],[_ConstraintCode]]=2,Tasks[[#This Row],[_ConstraintCode]]=3,Tasks[[#This Row],[_ConstraintCode]]=5,Tasks[[#This Row],[_ConstraintCode]]=7),Tasks[[#This Row],[_ConstraintStart]],2958465)</f>
        <v>2958465</v>
      </c>
      <c r="BT16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60" s="74" t="str">
        <f aca="false">IF(NOT(Tasks[[#This Row],[_IsLeaf]]=1),"",IF(N(Tasks[[#This Row],[Duration]])&lt;=0,Tasks[[#This Row],[_LeafCalcStart]],WORKDAY.INTL(Tasks[[#This Row],[_LeafCalcStart]],Tasks[[#This Row],[Duration]]-1,WorkWeek,Holidays)))</f>
        <v/>
      </c>
      <c r="BV16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6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60" s="45" t="str">
        <f aca="false">IF(Tasks[[#This Row],[Predecessors]]="","",TRIM(MID(SUBSTITUTE(SUBSTITUTE(SUBSTITUTE(UPPER(Tasks[[#This Row],[Predecessors]]),";",",")," ",""),",",REPT(" ",99)),1,99)))</f>
        <v/>
      </c>
      <c r="BY160" s="45" t="str">
        <f aca="false">IF(Tasks[[#This Row],[_Pred1Text]]="","",IFERROR(VALUE(LEFT(Tasks[[#This Row],[_Pred1Text]],MIN(FIND("F",Tasks[[#This Row],[_Pred1Text]]&amp;"F"),FIND("S",Tasks[[#This Row],[_Pred1Text]]&amp;"S"),FIND("+",Tasks[[#This Row],[_Pred1Text]]&amp;"+"),FIND("-",Tasks[[#This Row],[_Pred1Text]]&amp;"-"))-1)),""))</f>
        <v/>
      </c>
      <c r="BZ16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6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60" s="45" t="str">
        <f aca="false">IF(Tasks[[#This Row],[_Pred1Text]]="","",TRIM(MID(SUBSTITUTE(SUBSTITUTE(SUBSTITUTE(UPPER(Tasks[[#This Row],[Predecessors]]),";",",")," ",""),",",REPT(" ",99)),100,99)))</f>
        <v/>
      </c>
      <c r="CC160" s="45" t="str">
        <f aca="false">IF(Tasks[[#This Row],[_Pred2Text]]="","",IFERROR(VALUE(LEFT(Tasks[[#This Row],[_Pred2Text]],MIN(FIND("F",Tasks[[#This Row],[_Pred2Text]]&amp;"F"),FIND("S",Tasks[[#This Row],[_Pred2Text]]&amp;"S"),FIND("+",Tasks[[#This Row],[_Pred2Text]]&amp;"+"),FIND("-",Tasks[[#This Row],[_Pred2Text]]&amp;"-"))-1)),""))</f>
        <v/>
      </c>
      <c r="CD16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6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60" s="45" t="str">
        <f aca="false">IF(Tasks[[#This Row],[_Pred2Text]]="","",TRIM(MID(SUBSTITUTE(SUBSTITUTE(SUBSTITUTE(UPPER(Tasks[[#This Row],[Predecessors]]),";",",")," ",""),",",REPT(" ",99)),199,99)))</f>
        <v/>
      </c>
      <c r="CG160" s="45" t="str">
        <f aca="false">IF(Tasks[[#This Row],[_Pred3Text]]="","",IFERROR(VALUE(LEFT(Tasks[[#This Row],[_Pred3Text]],MIN(FIND("F",Tasks[[#This Row],[_Pred3Text]]&amp;"F"),FIND("S",Tasks[[#This Row],[_Pred3Text]]&amp;"S"),FIND("+",Tasks[[#This Row],[_Pred3Text]]&amp;"+"),FIND("-",Tasks[[#This Row],[_Pred3Text]]&amp;"-"))-1)),""))</f>
        <v/>
      </c>
      <c r="CH16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6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60" s="45" t="str">
        <f aca="false">IF(Tasks[[#This Row],[_Pred3Text]]="","",TRIM(MID(SUBSTITUTE(SUBSTITUTE(SUBSTITUTE(UPPER(Tasks[[#This Row],[Predecessors]]),";",",")," ",""),",",REPT(" ",99)),298,99)))</f>
        <v/>
      </c>
      <c r="CK160" s="45" t="str">
        <f aca="false">IF(Tasks[[#This Row],[_Pred4Text]]="","",IFERROR(VALUE(LEFT(Tasks[[#This Row],[_Pred4Text]],MIN(FIND("F",Tasks[[#This Row],[_Pred4Text]]&amp;"F"),FIND("S",Tasks[[#This Row],[_Pred4Text]]&amp;"S"),FIND("+",Tasks[[#This Row],[_Pred4Text]]&amp;"+"),FIND("-",Tasks[[#This Row],[_Pred4Text]]&amp;"-"))-1)),""))</f>
        <v/>
      </c>
      <c r="CL16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6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60" s="45" t="str">
        <f aca="false">IF(OR(Tasks[[#This Row],[Task Name]]="",Tasks[[#This Row],[Resources]]=""),"",TRIM(MID(SUBSTITUTE(Tasks[[#This Row],[Resources]],",",REPT(" ",99)),1,99)))</f>
        <v/>
      </c>
      <c r="CO160" s="45" t="str">
        <f aca="false">IF(Tasks[[#This Row],[_Res1Text]]="","",TRIM(MID(SUBSTITUTE(Tasks[[#This Row],[Resources]],",",REPT(" ",99)),100,99)))</f>
        <v/>
      </c>
      <c r="CP160" s="45" t="str">
        <f aca="false">IF(Tasks[[#This Row],[_Res2Text]]="","",TRIM(MID(SUBSTITUTE(Tasks[[#This Row],[Resources]],",",REPT(" ",99)),199,99)))</f>
        <v/>
      </c>
      <c r="CQ160" s="45" t="str">
        <f aca="false">IF(Tasks[[#This Row],[_Res3Text]]="","",TRIM(MID(SUBSTITUTE(Tasks[[#This Row],[Resources]],",",REPT(" ",99)),298,99)))</f>
        <v/>
      </c>
      <c r="CR16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6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0" s="45" t="n">
        <f aca="false">IF(NOT(Tasks[[#This Row],[_IsLeaf]]=1),0,(Tasks[[#This Row],[_Resource1]]&lt;&gt;"")+(Tasks[[#This Row],[_Res2]]&lt;&gt;"")+(Tasks[[#This Row],[_Res3]]&lt;&gt;"")+(Tasks[[#This Row],[_Res4]]&lt;&gt;""))</f>
        <v>0</v>
      </c>
      <c r="CU16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6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0" s="45" t="n">
        <f aca="false">IF(OR(NOT(Tasks[[#This Row],[_IsLeaf]]=1),Tasks[[#This Row],[_Res2]]=""),0,IF(ISNA(MATCH(Tasks[[#This Row],[_Res2]],res_Name,0)),0,N(Tasks[[#This Row],[Duration]])*HoursPerDay*IF(Tasks[[#This Row],[_Res2Units]]="",DefaultUnits,Tasks[[#This Row],[_Res2Units]])))</f>
        <v>0</v>
      </c>
      <c r="CX160" s="45" t="n">
        <f aca="false">IF(Tasks[[#This Row],[_Res2Work]]=0,0,Tasks[[#This Row],[_Res2Work]]*IFERROR(INDEX(res_Rate,MATCH(Tasks[[#This Row],[_Res2]],res_Name,0)),0))</f>
        <v>0</v>
      </c>
      <c r="CY160" s="45" t="n">
        <f aca="false">IF(AND(AND(Tasks[[#This Row],[_IsLeaf]]=1,Tasks[[#This Row],[_LeafTotalWork]]&gt;0),Tasks[[#This Row],[_Res2Work]]&gt;0),Tasks[[#This Row],[_Res2Work]]/(Tasks[[#This Row],[_FinishWorkday]]-Tasks[[#This Row],[_StartWorkday]]+1),0)</f>
        <v>0</v>
      </c>
      <c r="CZ160" s="45" t="n">
        <f aca="false">Tasks[[#This Row],[_Res2WorkPerWD]]*MAX(0,Tasks[[#This Row],[_StartWorkday]]-1)</f>
        <v>0</v>
      </c>
      <c r="DA160" s="45" t="n">
        <f aca="false">Tasks[[#This Row],[_Res2Work]]*Tasks[[#This Row],[_LeafProgress]]</f>
        <v>0</v>
      </c>
      <c r="DB160" s="45" t="n">
        <f aca="false">IF(Tasks[[#This Row],[_LeafTotalCost]]=0,0,Tasks[[#This Row],[_LeafAC]]*Tasks[[#This Row],[_Res2Cost]]/Tasks[[#This Row],[_LeafTotalCost]])</f>
        <v>0</v>
      </c>
      <c r="DC16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6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60" s="45" t="n">
        <f aca="false">IF(OR(NOT(Tasks[[#This Row],[_IsLeaf]]=1),Tasks[[#This Row],[_Res3]]=""),0,IF(ISNA(MATCH(Tasks[[#This Row],[_Res3]],res_Name,0)),0,N(Tasks[[#This Row],[Duration]])*HoursPerDay*IF(Tasks[[#This Row],[_Res3Units]]="",DefaultUnits,Tasks[[#This Row],[_Res3Units]])))</f>
        <v>0</v>
      </c>
      <c r="DF160" s="45" t="n">
        <f aca="false">IF(Tasks[[#This Row],[_Res3Work]]=0,0,Tasks[[#This Row],[_Res3Work]]*IFERROR(INDEX(res_Rate,MATCH(Tasks[[#This Row],[_Res3]],res_Name,0)),0))</f>
        <v>0</v>
      </c>
      <c r="DG160" s="45" t="n">
        <f aca="false">IF(AND(AND(Tasks[[#This Row],[_IsLeaf]]=1,Tasks[[#This Row],[_LeafTotalWork]]&gt;0),Tasks[[#This Row],[_Res3Work]]&gt;0),Tasks[[#This Row],[_Res3Work]]/(Tasks[[#This Row],[_FinishWorkday]]-Tasks[[#This Row],[_StartWorkday]]+1),0)</f>
        <v>0</v>
      </c>
      <c r="DH160" s="45" t="n">
        <f aca="false">Tasks[[#This Row],[_Res3WorkPerWD]]*MAX(0,Tasks[[#This Row],[_StartWorkday]]-1)</f>
        <v>0</v>
      </c>
      <c r="DI160" s="45" t="n">
        <f aca="false">Tasks[[#This Row],[_Res3Work]]*Tasks[[#This Row],[_LeafProgress]]</f>
        <v>0</v>
      </c>
      <c r="DJ160" s="45" t="n">
        <f aca="false">IF(Tasks[[#This Row],[_LeafTotalCost]]=0,0,Tasks[[#This Row],[_LeafAC]]*Tasks[[#This Row],[_Res3Cost]]/Tasks[[#This Row],[_LeafTotalCost]])</f>
        <v>0</v>
      </c>
      <c r="DK16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6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60" s="45" t="n">
        <f aca="false">IF(OR(NOT(Tasks[[#This Row],[_IsLeaf]]=1),Tasks[[#This Row],[_Res4]]=""),0,IF(ISNA(MATCH(Tasks[[#This Row],[_Res4]],res_Name,0)),0,N(Tasks[[#This Row],[Duration]])*HoursPerDay*IF(Tasks[[#This Row],[_Res4Units]]="",DefaultUnits,Tasks[[#This Row],[_Res4Units]])))</f>
        <v>0</v>
      </c>
      <c r="DN160" s="45" t="n">
        <f aca="false">IF(Tasks[[#This Row],[_Res4Work]]=0,0,Tasks[[#This Row],[_Res4Work]]*IFERROR(INDEX(res_Rate,MATCH(Tasks[[#This Row],[_Res4]],res_Name,0)),0))</f>
        <v>0</v>
      </c>
      <c r="DO160" s="45" t="n">
        <f aca="false">IF(AND(AND(Tasks[[#This Row],[_IsLeaf]]=1,Tasks[[#This Row],[_LeafTotalWork]]&gt;0),Tasks[[#This Row],[_Res4Work]]&gt;0),Tasks[[#This Row],[_Res4Work]]/(Tasks[[#This Row],[_FinishWorkday]]-Tasks[[#This Row],[_StartWorkday]]+1),0)</f>
        <v>0</v>
      </c>
      <c r="DP160" s="45" t="n">
        <f aca="false">Tasks[[#This Row],[_Res4WorkPerWD]]*MAX(0,Tasks[[#This Row],[_StartWorkday]]-1)</f>
        <v>0</v>
      </c>
      <c r="DQ160" s="45" t="n">
        <f aca="false">Tasks[[#This Row],[_Res4Work]]*Tasks[[#This Row],[_LeafProgress]]</f>
        <v>0</v>
      </c>
      <c r="DR160" s="45" t="n">
        <f aca="false">IF(Tasks[[#This Row],[_LeafTotalCost]]=0,0,Tasks[[#This Row],[_LeafAC]]*Tasks[[#This Row],[_Res4Cost]]/Tasks[[#This Row],[_LeafTotalCost]])</f>
        <v>0</v>
      </c>
      <c r="DS160" s="45" t="n">
        <f aca="false">IF(ISNUMBER(Tasks[[#This Row],[% Complete]]),Tasks[[#This Row],[% Complete]],IF(Tasks[[#This Row],[Stage]]="",0,IFERROR(INDEX(stg_Pct,MATCH(Tasks[[#This Row],[Stage]],stg_Name,0)),0)))</f>
        <v>0</v>
      </c>
      <c r="DT160" s="45" t="n">
        <f aca="false">IF(NOT(Tasks[[#This Row],[_IsLeaf]]=1),0,IF(N(Tasks[[#This Row],[Actual Finish]])&gt;0,1,MIN(1,Tasks[[#This Row],[_Pct]])))</f>
        <v>0</v>
      </c>
      <c r="DU160" s="45" t="n">
        <f aca="false">IF(OR(NOT(Tasks[[#This Row],[_IsLeaf]]=1),Tasks[[#This Row],[_Resource1]]=""),0,IF(ISNA(MATCH(Tasks[[#This Row],[_Resource1]],res_Name,0)),0,N(Tasks[[#This Row],[Duration]])*HoursPerDay*IF(Tasks[[#This Row],[_Units1]]="",DefaultUnits,Tasks[[#This Row],[_Units1]])))</f>
        <v>0</v>
      </c>
      <c r="DV160" s="45" t="n">
        <f aca="false">IF(Tasks[[#This Row],[_LeafWork]]=0,0,Tasks[[#This Row],[_LeafWork]]*IFERROR(INDEX(res_Rate,MATCH(Tasks[[#This Row],[_Resource1]],res_Name,0)),0))</f>
        <v>0</v>
      </c>
      <c r="DW160" s="45" t="n">
        <f aca="false">Tasks[[#This Row],[_LeafWork]]+Tasks[[#This Row],[_Res2Work]]+Tasks[[#This Row],[_Res3Work]]+Tasks[[#This Row],[_Res4Work]]</f>
        <v>0</v>
      </c>
      <c r="DX160" s="45" t="n">
        <f aca="false">Tasks[[#This Row],[_LeafCost]]+Tasks[[#This Row],[_Res2Cost]]+Tasks[[#This Row],[_Res3Cost]]+Tasks[[#This Row],[_Res4Cost]]</f>
        <v>0</v>
      </c>
      <c r="DY160" s="45" t="n">
        <f aca="false">IF(Tasks[[#This Row],[_LeafTotalCost]]=0,Tasks[[#This Row],[_LeafAC]],Tasks[[#This Row],[_LeafAC]]*Tasks[[#This Row],[_LeafCost]]/Tasks[[#This Row],[_LeafTotalCost]])</f>
        <v>0</v>
      </c>
      <c r="DZ16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6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6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6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6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6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6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6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60" s="45" t="n">
        <f aca="false">IF(NOT(Tasks[[#This Row],[_IsLeaf]]=1),0,MAX(_xlfn.MAXIFS(Tasks[_Row],Tasks[_Pred1UID],Tasks[[#This Row],[UID]]),_xlfn.MAXIFS(Tasks[_Row],Tasks[_Pred2UID],Tasks[[#This Row],[UID]]),_xlfn.MAXIFS(Tasks[_Row],Tasks[_Pred3UID],Tasks[[#This Row],[UID]]),_xlfn.MAXIFS(Tasks[_Row],Tasks[_Pred4UID],Tasks[[#This Row],[UID]])))</f>
        <v>0</v>
      </c>
      <c r="EI16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6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60" s="74" t="str">
        <f aca="false">IF(NOT(Tasks[[#This Row],[_IsLeaf]]=1),"",IF(N(Tasks[[#This Row],[Duration]])&lt;=0,Tasks[[#This Row],[_LeafLateFinish]],WORKDAY.INTL(Tasks[[#This Row],[_LeafLateFinish]],-(Tasks[[#This Row],[Duration]]-1),WorkWeek,Holidays)))</f>
        <v/>
      </c>
      <c r="EL16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60" s="73" t="b">
        <f aca="false">AND(Tasks[[#This Row],[_IsLeaf]]=1,Tasks[[#This Row],[_LeafProgress]]&lt;1,N(Tasks[[#This Row],[_LeafTotalSlack]])&lt;=CriticalSlackDays)</f>
        <v>0</v>
      </c>
      <c r="EN160" s="45" t="n">
        <f aca="false">IF(AND(Tasks[[#This Row],[_IsLeaf]]=1,Tasks[[#This Row],[_ConstraintCode]]=1,Tasks[[#This Row],[Mode]]&lt;&gt;"Manual",N(Tasks[[#This Row],[Actual Start]])=0),MAX(0,N(Tasks[[#This Row],[Free Slack]])),0)</f>
        <v>0</v>
      </c>
      <c r="EO160" s="74" t="str">
        <f aca="false">IF(NOT(Tasks[[#This Row],[_IsLeaf]]=1),"",IF(Tasks[[#This Row],[_AlapShift]]=0,Tasks[[#This Row],[_LeafCalcStart]],WORKDAY.INTL(Tasks[[#This Row],[_LeafCalcStart]],Tasks[[#This Row],[_AlapShift]],WorkWeek,Holidays)))</f>
        <v/>
      </c>
      <c r="EP160" s="74" t="str">
        <f aca="false">IF(NOT(Tasks[[#This Row],[_IsLeaf]]=1),"",IF(Tasks[[#This Row],[_AlapShift]]=0,Tasks[[#This Row],[_LeafCalcFinish]],WORKDAY.INTL(Tasks[[#This Row],[_LeafCalcFinish]],Tasks[[#This Row],[_AlapShift]],WorkWeek,Holidays)))</f>
        <v/>
      </c>
      <c r="EQ160" s="74" t="str">
        <f aca="false">IF(NOT(Tasks[[#This Row],[_IsLeaf]]=1),"",IF(Tasks[[#This Row],[_AlapShift]]=0,Tasks[[#This Row],[_LeafFcstStart]],WORKDAY.INTL(Tasks[[#This Row],[_LeafFcstStart]],Tasks[[#This Row],[_AlapShift]],WorkWeek,Holidays)))</f>
        <v/>
      </c>
      <c r="ER160" s="74" t="str">
        <f aca="false">IF(NOT(Tasks[[#This Row],[_IsLeaf]]=1),"",IF(Tasks[[#This Row],[_AlapShift]]=0,Tasks[[#This Row],[_LeafFcstFinish]],WORKDAY.INTL(Tasks[[#This Row],[_LeafFcstFinish]],Tasks[[#This Row],[_AlapShift]],WorkWeek,Holidays)))</f>
        <v/>
      </c>
      <c r="ES160" s="74" t="str">
        <f aca="false">IF(Tasks[[#This Row],[Task Name]]="","",IF(Tasks[[#This Row],[_IsSummary]],MIN(INDEX(Tasks[_ShownCalcStart],Tasks[[#This Row],[_Row]]+1):INDEX(Tasks[_ShownCalcStart],Tasks[[#This Row],[_Row]]+Tasks[[#This Row],[_Descendants]])),Tasks[[#This Row],[_ShownCalcStart]]))</f>
        <v/>
      </c>
      <c r="ET160" s="74" t="str">
        <f aca="false">IF(Tasks[[#This Row],[Task Name]]="","",IF(Tasks[[#This Row],[_IsSummary]],MAX(INDEX(Tasks[_ShownCalcFinish],Tasks[[#This Row],[_Row]]+1):INDEX(Tasks[_ShownCalcFinish],Tasks[[#This Row],[_Row]]+Tasks[[#This Row],[_Descendants]])),Tasks[[#This Row],[_ShownCalcFinish]]))</f>
        <v/>
      </c>
      <c r="EU16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6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6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6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6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6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6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6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6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6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6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6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60" s="45" t="n">
        <f aca="false">IF(AND(Tasks[[#This Row],[_IsLeaf]]=1,Tasks[[#This Row],[_LeafTotalWork]]&gt;0),NETWORKDAYS.INTL(ProjectStart,Tasks[[#This Row],[_ShownFcstStart]],WorkWeek,Holidays),0)</f>
        <v>0</v>
      </c>
      <c r="FH160" s="45" t="n">
        <f aca="false">IF(AND(Tasks[[#This Row],[_IsLeaf]]=1,Tasks[[#This Row],[_LeafTotalWork]]&gt;0),MAX(Tasks[[#This Row],[_StartWorkday]],NETWORKDAYS.INTL(ProjectStart,Tasks[[#This Row],[_ShownFcstFinish]],WorkWeek,Holidays)),0)</f>
        <v>0</v>
      </c>
      <c r="FI160" s="45" t="n">
        <f aca="false">IF(AND(Tasks[[#This Row],[_IsLeaf]]=1,Tasks[[#This Row],[_LeafTotalWork]]&gt;0),Tasks[[#This Row],[_LeafWork]]/(Tasks[[#This Row],[_FinishWorkday]]-Tasks[[#This Row],[_StartWorkday]]+1),0)</f>
        <v>0</v>
      </c>
      <c r="FJ160" s="45" t="n">
        <f aca="false">Tasks[[#This Row],[_WorkPerWorkday]]*(Tasks[[#This Row],[_StartWorkday]]-1)</f>
        <v>-0</v>
      </c>
      <c r="FK160" s="45" t="n">
        <f aca="false">IF(Tasks[[#This Row],[_IsLeaf]]=1,MAX(N(Tasks[[#This Row],[Duration]]),0.1),0)</f>
        <v>0</v>
      </c>
      <c r="FL160" s="45" t="n">
        <f aca="false">Tasks[[#This Row],[_WeightDur]]*Tasks[[#This Row],[_LeafProgress]]</f>
        <v>0</v>
      </c>
      <c r="FM16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60" s="45" t="str">
        <f aca="false">IF(AND(Tasks[[#This Row],[_IsLeaf]]=1,N(Tasks[[#This Row],[Duration]])=0,Tasks[[#This Row],[_LeafProgress]]&lt;1),Tasks[[#This Row],[_ShownFcstFinish]]+Tasks[[#This Row],[_Row]]/100000,"")</f>
        <v/>
      </c>
      <c r="FO16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60" s="45" t="n">
        <f aca="false">IF(NOT(Tasks[[#This Row],[_IsLeaf]]=1),0,IF(Tasks[[#This Row],[Baseline Cost]]="",Tasks[[#This Row],[_LeafTotalCost]],N(Tasks[[#This Row],[Baseline Cost]])))</f>
        <v>0</v>
      </c>
      <c r="FQ160" s="45" t="n">
        <f aca="false">Tasks[[#This Row],[_LeafBudget]]*Tasks[[#This Row],[_PlannedPct]]</f>
        <v>0</v>
      </c>
      <c r="FR160" s="45" t="n">
        <f aca="false">Tasks[[#This Row],[_LeafBudget]]*Tasks[[#This Row],[_LeafProgress]]</f>
        <v>0</v>
      </c>
      <c r="FS160" s="45" t="n">
        <f aca="false">IF(NOT(Tasks[[#This Row],[_IsLeaf]]=1),0,IF(Tasks[[#This Row],[Actual Cost]]="",Tasks[[#This Row],[_LeafTotalCost]]*Tasks[[#This Row],[_LeafProgress]],N(Tasks[[#This Row],[Actual Cost]])))</f>
        <v>0</v>
      </c>
      <c r="FT160" s="45" t="str">
        <f aca="false">IF(Tasks[[#This Row],[Task Name]]="","",LEFT(Tasks[[#This Row],[WBS]],FIND(".",Tasks[[#This Row],[WBS]]&amp;".")-1))</f>
        <v/>
      </c>
      <c r="FU160" s="45" t="str">
        <f aca="false">IF(AND(Tasks[[#This Row],[Task Name]]&lt;&gt;"",Tasks[[#This Row],[_Level]]=1),Tasks[[#This Row],[_Row]],"")</f>
        <v/>
      </c>
      <c r="FV160" s="45" t="str">
        <f aca="false">IF(AND(Tasks[[#This Row],[_IsLeaf]]=1,N(Tasks[[#This Row],[Duration]])=0),Tasks[[#This Row],[Planned Finish]]+Tasks[[#This Row],[_Row]]/100000,"")</f>
        <v/>
      </c>
      <c r="FW160" s="45" t="str">
        <f aca="false">IF(AND(Tasks[[#This Row],[_IsLeaf]]=1,Tasks[[#This Row],[_LeafProgress]]&lt;1,OR(N(Tasks[[#This Row],[Finish Var]])&gt;0,Tasks[[#This Row],[Status]]="Late Start")),MAX(0,Tasks[[#This Row],[Finish Var]])+1-Tasks[[#This Row],[_Row]]/1000000,"")</f>
        <v/>
      </c>
      <c r="FX160" s="45" t="str">
        <f aca="false">IF(AND(Tasks[[#This Row],[_IsLeaf]]=1,N(Tasks[[#This Row],[Actual Start]])=0,Tasks[[#This Row],[_ShownFcstStart]]&gt;=StatusDate,Tasks[[#This Row],[_ShownFcstStart]]&lt;=LookaheadEnd),Tasks[[#This Row],[_ShownFcstStart]]+Tasks[[#This Row],[_Row]]/100000,"")</f>
        <v/>
      </c>
      <c r="FY160" s="45" t="str">
        <f aca="false">IF(AND(Tasks[[#This Row],[_IsLeaf]]=1,Tasks[[#This Row],[_LeafProgress]]&lt;1,Tasks[[#This Row],[_ShownFcstFinish]]&gt;=StatusDate,Tasks[[#This Row],[_ShownFcstFinish]]&lt;=LookaheadEnd),Tasks[[#This Row],[_ShownFcstFinish]]+Tasks[[#This Row],[_Row]]/100000,"")</f>
        <v/>
      </c>
      <c r="FZ160" s="45" t="str">
        <f aca="false">IF(Tasks[[#This Row],[_LeafCritical]],Tasks[[#This Row],[_ShownFcstStart]]+Tasks[[#This Row],[_Row]]/100000,"")</f>
        <v/>
      </c>
      <c r="GA160" s="45" t="n">
        <f aca="false">Tasks[[#This Row],[_LeafWork]]*Tasks[[#This Row],[_LeafProgress]]</f>
        <v>0</v>
      </c>
      <c r="GB160" s="74" t="str">
        <f aca="false">IF(AND(Tasks[[#This Row],[_IsLeaf]]=1,Tasks[[#This Row],[_LeafProgress]]&gt;=1),IF(N(Tasks[[#This Row],[Actual Finish]])&gt;0,Tasks[[#This Row],[Actual Finish]],Tasks[[#This Row],[_ShownFcstFinish]]),"")</f>
        <v/>
      </c>
    </row>
    <row r="161" customFormat="false" ht="15" hidden="false" customHeight="false" outlineLevel="0" collapsed="false">
      <c r="A161" s="67" t="str">
        <f aca="false">IF(Tasks[[#This Row],[Task Name]]="","",COUNTA(Tasks[[#Headers],[Task Name]]:Tasks[[#This Row],[Task Name]])-1)</f>
        <v/>
      </c>
      <c r="B161" s="21" t="n">
        <v>156</v>
      </c>
      <c r="C16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21"/>
      <c r="E161" s="22"/>
      <c r="F161" s="21"/>
      <c r="G161" s="22"/>
      <c r="H161" s="22"/>
      <c r="I161" s="22"/>
      <c r="J161" s="7"/>
      <c r="K161" s="7"/>
      <c r="L161" s="22"/>
      <c r="M161" s="58" t="str">
        <f aca="false">IF(Tasks[[#This Row],[Task Name]]="","",IF(Tasks[[#This Row],[_IsSummary]],MIN(INDEX(Tasks[_ShownFcstStart],Tasks[[#This Row],[_Row]]+1):INDEX(Tasks[_ShownFcstStart],Tasks[[#This Row],[_Row]]+Tasks[[#This Row],[_Descendants]])),Tasks[[#This Row],[_ShownFcstStart]]))</f>
        <v/>
      </c>
      <c r="N161" s="58" t="str">
        <f aca="false">IF(Tasks[[#This Row],[Task Name]]="","",IF(Tasks[[#This Row],[_IsSummary]],MAX(INDEX(Tasks[_ShownFcstFinish],Tasks[[#This Row],[_Row]]+1):INDEX(Tasks[_ShownFcstFinish],Tasks[[#This Row],[_Row]]+Tasks[[#This Row],[_Descendants]])),Tasks[[#This Row],[_ShownFcstFinish]]))</f>
        <v/>
      </c>
      <c r="O161" s="20" t="str">
        <f aca="false">IF(Tasks[[#This Row],[Task Name]]="","",IF(Tasks[[#This Row],[Progress]]&gt;=1,"Complete",IF(OR(N(Tasks[[#This Row],[Actual Start]])&gt;0,Tasks[[#This Row],[Progress]]&gt;0),IF(Tasks[[#This Row],[Finish Var]]&gt;0,"Behind","In Progress"),IF(Tasks[[#This Row],[Planned Start]]&lt;StatusDate,"Late Start","Not Started"))))</f>
        <v/>
      </c>
      <c r="P161" s="20" t="str">
        <f aca="false">IF(Tasks[[#This Row],[Task Name]]="","",IF(IF(Tasks[[#This Row],[_IsSummary]],COUNTIF(INDEX(Tasks[_LeafCritical],Tasks[[#This Row],[_Row]]+1):INDEX(Tasks[_LeafCritical],Tasks[[#This Row],[_Row]]+Tasks[[#This Row],[_Descendants]]),TRUE())&gt;0,Tasks[[#This Row],[_LeafCritical]]),"Yes",""))</f>
        <v/>
      </c>
      <c r="Q16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61" s="67" t="str">
        <f aca="false">IF(Tasks[[#This Row],[Task Name]]="","",IF(Tasks[[#This Row],[_Level]]&lt;=OutlineShowLevel,"Yes","No"))</f>
        <v/>
      </c>
      <c r="S161" s="7"/>
      <c r="T161" s="21"/>
      <c r="U161" s="22"/>
      <c r="V161" s="7"/>
      <c r="W161" s="67" t="str">
        <f aca="false">IF(Tasks[[#This Row],[Task Name]]="","",IF(Tasks[[#This Row],[Finish]]&gt;=Tasks[[#This Row],[Planned Finish]],NETWORKDAYS.INTL(Tasks[[#This Row],[Planned Finish]],Tasks[[#This Row],[Finish]],WorkWeek,Holidays)-1,1-NETWORKDAYS.INTL(Tasks[[#This Row],[Finish]],Tasks[[#This Row],[Planned Finish]],WorkWeek,Holidays)))</f>
        <v/>
      </c>
      <c r="X161" s="58" t="str">
        <f aca="false">IF(Tasks[[#This Row],[Task Name]]="","",IF(N(Tasks[[#This Row],[Baseline Start]])&gt;0,Tasks[[#This Row],[Baseline Start]],Tasks[[#This Row],[_CalcStart]]))</f>
        <v/>
      </c>
      <c r="Y161" s="58" t="str">
        <f aca="false">IF(Tasks[[#This Row],[Task Name]]="","",IF(N(Tasks[[#This Row],[Baseline Finish]])&gt;0,Tasks[[#This Row],[Baseline Finish]],Tasks[[#This Row],[_CalcFinish]]))</f>
        <v/>
      </c>
      <c r="Z161" s="67" t="str">
        <f aca="false">IF(Tasks[[#This Row],[Task Name]]="","",IF(Tasks[[#This Row],[Start]]&gt;=Tasks[[#This Row],[Planned Start]],NETWORKDAYS.INTL(Tasks[[#This Row],[Planned Start]],Tasks[[#This Row],[Start]],WorkWeek,Holidays)-1,1-NETWORKDAYS.INTL(Tasks[[#This Row],[Start]],Tasks[[#This Row],[Planned Start]],WorkWeek,Holidays)))</f>
        <v/>
      </c>
      <c r="AA161" s="58" t="str">
        <f aca="false">IF(Tasks[[#This Row],[Task Name]]="","",IF(Tasks[[#This Row],[_IsSummary]],MIN(INDEX(Tasks[_LeafLateStart],Tasks[[#This Row],[_Row]]+1):INDEX(Tasks[_LeafLateStart],Tasks[[#This Row],[_Row]]+Tasks[[#This Row],[_Descendants]])),Tasks[[#This Row],[_LeafLateStart]]))</f>
        <v/>
      </c>
      <c r="AB161" s="58" t="str">
        <f aca="false">IF(Tasks[[#This Row],[Task Name]]="","",IF(Tasks[[#This Row],[_IsSummary]],MAX(INDEX(Tasks[_LeafLateFinish],Tasks[[#This Row],[_Row]]+1):INDEX(Tasks[_LeafLateFinish],Tasks[[#This Row],[_Row]]+Tasks[[#This Row],[_Descendants]])),Tasks[[#This Row],[_LeafLateFinish]]))</f>
        <v/>
      </c>
      <c r="AC161" s="67" t="str">
        <f aca="false">IF(Tasks[[#This Row],[Task Name]]="","",IF(Tasks[[#This Row],[_IsSummary]],MIN(INDEX(Tasks[_LeafTotalSlack],Tasks[[#This Row],[_Row]]+1):INDEX(Tasks[_LeafTotalSlack],Tasks[[#This Row],[_Row]]+Tasks[[#This Row],[_Descendants]])),Tasks[[#This Row],[_LeafTotalSlack]]))</f>
        <v/>
      </c>
      <c r="AD16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6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6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61" s="60"/>
      <c r="AH16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6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61" s="69" t="str">
        <f aca="false">IF(Tasks[[#This Row],[Task Name]]="","",IF(Tasks[[#This Row],[_IsSummary]],SUM(INDEX(Tasks[_LeafTotalWork],Tasks[[#This Row],[_Row]]+1):INDEX(Tasks[_LeafTotalWork],Tasks[[#This Row],[_Row]]+Tasks[[#This Row],[_Descendants]])),Tasks[[#This Row],[_LeafTotalWork]]))</f>
        <v/>
      </c>
      <c r="AK16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61" s="70" t="str">
        <f aca="false">IF(Tasks[[#This Row],[Task Name]]="","",IF(Tasks[[#This Row],[_IsSummary]],SUM(INDEX(Tasks[_LeafTotalCost],Tasks[[#This Row],[_Row]]+1):INDEX(Tasks[_LeafTotalCost],Tasks[[#This Row],[_Row]]+Tasks[[#This Row],[_Descendants]])),Tasks[[#This Row],[_LeafTotalCost]]))</f>
        <v/>
      </c>
      <c r="AM161" s="71"/>
      <c r="AN161" s="20" t="str">
        <f aca="false">IF(OR(Tasks[[#This Row],[Task Name]]="",Tasks[[#This Row],[Baseline Duration]]=""),"",Tasks[[#This Row],[BL Source Duration]]-N(Tasks[[#This Row],[Baseline Duration]]))</f>
        <v/>
      </c>
      <c r="AO161" s="69" t="str">
        <f aca="false">IF(OR(Tasks[[#This Row],[Task Name]]="",Tasks[[#This Row],[Baseline Work]]=""),"",Tasks[[#This Row],[Work]]-N(Tasks[[#This Row],[Baseline Work]]))</f>
        <v/>
      </c>
      <c r="AP161" s="70" t="str">
        <f aca="false">IF(OR(Tasks[[#This Row],[Task Name]]="",Tasks[[#This Row],[Baseline Cost]]=""),"",Tasks[[#This Row],[Cost]]-N(Tasks[[#This Row],[Baseline Cost]]))</f>
        <v/>
      </c>
      <c r="AQ161" s="58" t="str">
        <f aca="false">IF(Tasks[[#This Row],[Task Name]]="","",Tasks[[#This Row],[Start]])</f>
        <v/>
      </c>
      <c r="AR161" s="58" t="str">
        <f aca="false">IF(Tasks[[#This Row],[Task Name]]="","",Tasks[[#This Row],[Finish]])</f>
        <v/>
      </c>
      <c r="AS161" s="67" t="str">
        <f aca="false">IF(Tasks[[#This Row],[Task Name]]="","",IF(Tasks[[#This Row],[_IsSummary]],NETWORKDAYS.INTL(Tasks[[#This Row],[Start]],Tasks[[#This Row],[Finish]],WorkWeek,Holidays),N(Tasks[[#This Row],[Duration]])))</f>
        <v/>
      </c>
      <c r="AT161" s="69" t="str">
        <f aca="false">IF(Tasks[[#This Row],[Task Name]]="","",Tasks[[#This Row],[Work]])</f>
        <v/>
      </c>
      <c r="AU161" s="70" t="str">
        <f aca="false">IF(Tasks[[#This Row],[Task Name]]="","",Tasks[[#This Row],[Cost]])</f>
        <v/>
      </c>
      <c r="AV161" s="7"/>
      <c r="AW161" s="7"/>
      <c r="AX161" s="21"/>
      <c r="AY161" s="72"/>
      <c r="AZ161" s="71"/>
      <c r="BA161" s="70" t="str">
        <f aca="false">IF(Tasks[[#This Row],[Task Name]]="","",IF(Tasks[[#This Row],[_IsSummary]],SUM(INDEX(Tasks[_LeafEV],Tasks[[#This Row],[_Row]]+1):INDEX(Tasks[_LeafEV],Tasks[[#This Row],[_Row]]+Tasks[[#This Row],[_Descendants]])),Tasks[[#This Row],[_LeafEV]]))</f>
        <v/>
      </c>
      <c r="BB161" s="70" t="str">
        <f aca="false">IF(Tasks[[#This Row],[Task Name]]="","",IF(Tasks[[#This Row],[_IsSummary]],SUM(INDEX(Tasks[_LeafBudget],Tasks[[#This Row],[_Row]]+1):INDEX(Tasks[_LeafBudget],Tasks[[#This Row],[_Row]]+Tasks[[#This Row],[_Descendants]])),Tasks[[#This Row],[_LeafBudget]]))</f>
        <v/>
      </c>
      <c r="BC161" s="70" t="str">
        <f aca="false">IF(Tasks[[#This Row],[Task Name]]="","",IF(Tasks[[#This Row],[_IsSummary]],SUM(INDEX(Tasks[_LeafPV],Tasks[[#This Row],[_Row]]+1):INDEX(Tasks[_LeafPV],Tasks[[#This Row],[_Row]]+Tasks[[#This Row],[_Descendants]])),Tasks[[#This Row],[_LeafPV]]))</f>
        <v/>
      </c>
      <c r="BD161" s="70" t="str">
        <f aca="false">IF(Tasks[[#This Row],[Task Name]]="","",IF(Tasks[[#This Row],[_IsSummary]],SUM(INDEX(Tasks[_LeafAC],Tasks[[#This Row],[_Row]]+1):INDEX(Tasks[_LeafAC],Tasks[[#This Row],[_Row]]+Tasks[[#This Row],[_Descendants]])),Tasks[[#This Row],[_LeafAC]]))</f>
        <v/>
      </c>
      <c r="BE161" s="45" t="str">
        <f aca="false">IF(Tasks[[#This Row],[Task Name]]="","",MAX(1,N(Tasks[[#This Row],[Level]])))</f>
        <v/>
      </c>
      <c r="BF161" s="45" t="n">
        <f aca="false">ROW()-ROW(Tasks[[#Headers],[ID]])</f>
        <v>156</v>
      </c>
      <c r="BG161" s="45" t="n">
        <f aca="false">IF(OR(Tasks[[#This Row],[Task Name]]="",Tasks[[#This Row],[_Level]]&lt;=1),0,IFERROR(LOOKUP(2,1/(Tasks[[#Headers],[_Level]]:Tasks[[#This Row],[_Level]]=Tasks[[#This Row],[_Level]]-1),ROW(Tasks[[#Headers],[_Level]]:Tasks[[#This Row],[_Level]])),0))</f>
        <v>0</v>
      </c>
      <c r="BH161" s="45" t="n">
        <f aca="false">IFERROR(N(INDEX(Tasks[_Level],Tasks[[#This Row],[_Row]]+1)),0)</f>
        <v>0</v>
      </c>
      <c r="BI161" s="73" t="b">
        <f aca="false">AND(Tasks[[#This Row],[Task Name]]&lt;&gt;"",Tasks[[#This Row],[_NextLevel]]&gt;Tasks[[#This Row],[_Level]])</f>
        <v>0</v>
      </c>
      <c r="BJ161" s="45" t="n">
        <f aca="false">IF(Tasks[[#This Row],[_IsSummary]],COUNTIF(Tasks[WBS],Tasks[[#This Row],[WBS]]&amp;".*"),0)</f>
        <v>0</v>
      </c>
      <c r="BK161" s="45" t="n">
        <f aca="false">IF(AND(Tasks[[#This Row],[Task Name]]&lt;&gt;"",NOT(Tasks[[#This Row],[_IsSummary]])),1,0)</f>
        <v>0</v>
      </c>
      <c r="BL161" s="45" t="n">
        <f aca="false">IF(N(Tasks[[#This Row],[_Pred1UID]])=0,0,IFERROR(MATCH(Tasks[[#This Row],[_Pred1UID]],Tasks[UID],0),-1))</f>
        <v>0</v>
      </c>
      <c r="BM161" s="45" t="n">
        <f aca="false">IF(N(Tasks[[#This Row],[_Pred2UID]])=0,0,IFERROR(MATCH(Tasks[[#This Row],[_Pred2UID]],Tasks[UID],0),-1))</f>
        <v>0</v>
      </c>
      <c r="BN161" s="45" t="n">
        <f aca="false">IF(N(Tasks[[#This Row],[_Pred3UID]])=0,0,IFERROR(MATCH(Tasks[[#This Row],[_Pred3UID]],Tasks[UID],0),-1))</f>
        <v>0</v>
      </c>
      <c r="BO161" s="45" t="n">
        <f aca="false">IF(N(Tasks[[#This Row],[_Pred4UID]])=0,0,IFERROR(MATCH(Tasks[[#This Row],[_Pred4UID]],Tasks[UID],0),-1))</f>
        <v>0</v>
      </c>
      <c r="BP16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6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61" s="74" t="n">
        <f aca="false">IF(OR(Tasks[[#This Row],[_ConstraintCode]]=2,Tasks[[#This Row],[_ConstraintCode]]=3,Tasks[[#This Row],[_ConstraintCode]]=4,Tasks[[#This Row],[_ConstraintCode]]=6),Tasks[[#This Row],[_ConstraintStart]],0)</f>
        <v>0</v>
      </c>
      <c r="BS161" s="74" t="n">
        <f aca="false">IF(OR(Tasks[[#This Row],[_ConstraintCode]]=2,Tasks[[#This Row],[_ConstraintCode]]=3,Tasks[[#This Row],[_ConstraintCode]]=5,Tasks[[#This Row],[_ConstraintCode]]=7),Tasks[[#This Row],[_ConstraintStart]],2958465)</f>
        <v>2958465</v>
      </c>
      <c r="BT16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61" s="74" t="str">
        <f aca="false">IF(NOT(Tasks[[#This Row],[_IsLeaf]]=1),"",IF(N(Tasks[[#This Row],[Duration]])&lt;=0,Tasks[[#This Row],[_LeafCalcStart]],WORKDAY.INTL(Tasks[[#This Row],[_LeafCalcStart]],Tasks[[#This Row],[Duration]]-1,WorkWeek,Holidays)))</f>
        <v/>
      </c>
      <c r="BV16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6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61" s="45" t="str">
        <f aca="false">IF(Tasks[[#This Row],[Predecessors]]="","",TRIM(MID(SUBSTITUTE(SUBSTITUTE(SUBSTITUTE(UPPER(Tasks[[#This Row],[Predecessors]]),";",",")," ",""),",",REPT(" ",99)),1,99)))</f>
        <v/>
      </c>
      <c r="BY161" s="45" t="str">
        <f aca="false">IF(Tasks[[#This Row],[_Pred1Text]]="","",IFERROR(VALUE(LEFT(Tasks[[#This Row],[_Pred1Text]],MIN(FIND("F",Tasks[[#This Row],[_Pred1Text]]&amp;"F"),FIND("S",Tasks[[#This Row],[_Pred1Text]]&amp;"S"),FIND("+",Tasks[[#This Row],[_Pred1Text]]&amp;"+"),FIND("-",Tasks[[#This Row],[_Pred1Text]]&amp;"-"))-1)),""))</f>
        <v/>
      </c>
      <c r="BZ16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6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61" s="45" t="str">
        <f aca="false">IF(Tasks[[#This Row],[_Pred1Text]]="","",TRIM(MID(SUBSTITUTE(SUBSTITUTE(SUBSTITUTE(UPPER(Tasks[[#This Row],[Predecessors]]),";",",")," ",""),",",REPT(" ",99)),100,99)))</f>
        <v/>
      </c>
      <c r="CC161" s="45" t="str">
        <f aca="false">IF(Tasks[[#This Row],[_Pred2Text]]="","",IFERROR(VALUE(LEFT(Tasks[[#This Row],[_Pred2Text]],MIN(FIND("F",Tasks[[#This Row],[_Pred2Text]]&amp;"F"),FIND("S",Tasks[[#This Row],[_Pred2Text]]&amp;"S"),FIND("+",Tasks[[#This Row],[_Pred2Text]]&amp;"+"),FIND("-",Tasks[[#This Row],[_Pred2Text]]&amp;"-"))-1)),""))</f>
        <v/>
      </c>
      <c r="CD16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6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61" s="45" t="str">
        <f aca="false">IF(Tasks[[#This Row],[_Pred2Text]]="","",TRIM(MID(SUBSTITUTE(SUBSTITUTE(SUBSTITUTE(UPPER(Tasks[[#This Row],[Predecessors]]),";",",")," ",""),",",REPT(" ",99)),199,99)))</f>
        <v/>
      </c>
      <c r="CG161" s="45" t="str">
        <f aca="false">IF(Tasks[[#This Row],[_Pred3Text]]="","",IFERROR(VALUE(LEFT(Tasks[[#This Row],[_Pred3Text]],MIN(FIND("F",Tasks[[#This Row],[_Pred3Text]]&amp;"F"),FIND("S",Tasks[[#This Row],[_Pred3Text]]&amp;"S"),FIND("+",Tasks[[#This Row],[_Pred3Text]]&amp;"+"),FIND("-",Tasks[[#This Row],[_Pred3Text]]&amp;"-"))-1)),""))</f>
        <v/>
      </c>
      <c r="CH16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6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61" s="45" t="str">
        <f aca="false">IF(Tasks[[#This Row],[_Pred3Text]]="","",TRIM(MID(SUBSTITUTE(SUBSTITUTE(SUBSTITUTE(UPPER(Tasks[[#This Row],[Predecessors]]),";",",")," ",""),",",REPT(" ",99)),298,99)))</f>
        <v/>
      </c>
      <c r="CK161" s="45" t="str">
        <f aca="false">IF(Tasks[[#This Row],[_Pred4Text]]="","",IFERROR(VALUE(LEFT(Tasks[[#This Row],[_Pred4Text]],MIN(FIND("F",Tasks[[#This Row],[_Pred4Text]]&amp;"F"),FIND("S",Tasks[[#This Row],[_Pred4Text]]&amp;"S"),FIND("+",Tasks[[#This Row],[_Pred4Text]]&amp;"+"),FIND("-",Tasks[[#This Row],[_Pred4Text]]&amp;"-"))-1)),""))</f>
        <v/>
      </c>
      <c r="CL16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6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61" s="45" t="str">
        <f aca="false">IF(OR(Tasks[[#This Row],[Task Name]]="",Tasks[[#This Row],[Resources]]=""),"",TRIM(MID(SUBSTITUTE(Tasks[[#This Row],[Resources]],",",REPT(" ",99)),1,99)))</f>
        <v/>
      </c>
      <c r="CO161" s="45" t="str">
        <f aca="false">IF(Tasks[[#This Row],[_Res1Text]]="","",TRIM(MID(SUBSTITUTE(Tasks[[#This Row],[Resources]],",",REPT(" ",99)),100,99)))</f>
        <v/>
      </c>
      <c r="CP161" s="45" t="str">
        <f aca="false">IF(Tasks[[#This Row],[_Res2Text]]="","",TRIM(MID(SUBSTITUTE(Tasks[[#This Row],[Resources]],",",REPT(" ",99)),199,99)))</f>
        <v/>
      </c>
      <c r="CQ161" s="45" t="str">
        <f aca="false">IF(Tasks[[#This Row],[_Res3Text]]="","",TRIM(MID(SUBSTITUTE(Tasks[[#This Row],[Resources]],",",REPT(" ",99)),298,99)))</f>
        <v/>
      </c>
      <c r="CR16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6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1" s="45" t="n">
        <f aca="false">IF(NOT(Tasks[[#This Row],[_IsLeaf]]=1),0,(Tasks[[#This Row],[_Resource1]]&lt;&gt;"")+(Tasks[[#This Row],[_Res2]]&lt;&gt;"")+(Tasks[[#This Row],[_Res3]]&lt;&gt;"")+(Tasks[[#This Row],[_Res4]]&lt;&gt;""))</f>
        <v>0</v>
      </c>
      <c r="CU16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6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1" s="45" t="n">
        <f aca="false">IF(OR(NOT(Tasks[[#This Row],[_IsLeaf]]=1),Tasks[[#This Row],[_Res2]]=""),0,IF(ISNA(MATCH(Tasks[[#This Row],[_Res2]],res_Name,0)),0,N(Tasks[[#This Row],[Duration]])*HoursPerDay*IF(Tasks[[#This Row],[_Res2Units]]="",DefaultUnits,Tasks[[#This Row],[_Res2Units]])))</f>
        <v>0</v>
      </c>
      <c r="CX161" s="45" t="n">
        <f aca="false">IF(Tasks[[#This Row],[_Res2Work]]=0,0,Tasks[[#This Row],[_Res2Work]]*IFERROR(INDEX(res_Rate,MATCH(Tasks[[#This Row],[_Res2]],res_Name,0)),0))</f>
        <v>0</v>
      </c>
      <c r="CY161" s="45" t="n">
        <f aca="false">IF(AND(AND(Tasks[[#This Row],[_IsLeaf]]=1,Tasks[[#This Row],[_LeafTotalWork]]&gt;0),Tasks[[#This Row],[_Res2Work]]&gt;0),Tasks[[#This Row],[_Res2Work]]/(Tasks[[#This Row],[_FinishWorkday]]-Tasks[[#This Row],[_StartWorkday]]+1),0)</f>
        <v>0</v>
      </c>
      <c r="CZ161" s="45" t="n">
        <f aca="false">Tasks[[#This Row],[_Res2WorkPerWD]]*MAX(0,Tasks[[#This Row],[_StartWorkday]]-1)</f>
        <v>0</v>
      </c>
      <c r="DA161" s="45" t="n">
        <f aca="false">Tasks[[#This Row],[_Res2Work]]*Tasks[[#This Row],[_LeafProgress]]</f>
        <v>0</v>
      </c>
      <c r="DB161" s="45" t="n">
        <f aca="false">IF(Tasks[[#This Row],[_LeafTotalCost]]=0,0,Tasks[[#This Row],[_LeafAC]]*Tasks[[#This Row],[_Res2Cost]]/Tasks[[#This Row],[_LeafTotalCost]])</f>
        <v>0</v>
      </c>
      <c r="DC16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6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61" s="45" t="n">
        <f aca="false">IF(OR(NOT(Tasks[[#This Row],[_IsLeaf]]=1),Tasks[[#This Row],[_Res3]]=""),0,IF(ISNA(MATCH(Tasks[[#This Row],[_Res3]],res_Name,0)),0,N(Tasks[[#This Row],[Duration]])*HoursPerDay*IF(Tasks[[#This Row],[_Res3Units]]="",DefaultUnits,Tasks[[#This Row],[_Res3Units]])))</f>
        <v>0</v>
      </c>
      <c r="DF161" s="45" t="n">
        <f aca="false">IF(Tasks[[#This Row],[_Res3Work]]=0,0,Tasks[[#This Row],[_Res3Work]]*IFERROR(INDEX(res_Rate,MATCH(Tasks[[#This Row],[_Res3]],res_Name,0)),0))</f>
        <v>0</v>
      </c>
      <c r="DG161" s="45" t="n">
        <f aca="false">IF(AND(AND(Tasks[[#This Row],[_IsLeaf]]=1,Tasks[[#This Row],[_LeafTotalWork]]&gt;0),Tasks[[#This Row],[_Res3Work]]&gt;0),Tasks[[#This Row],[_Res3Work]]/(Tasks[[#This Row],[_FinishWorkday]]-Tasks[[#This Row],[_StartWorkday]]+1),0)</f>
        <v>0</v>
      </c>
      <c r="DH161" s="45" t="n">
        <f aca="false">Tasks[[#This Row],[_Res3WorkPerWD]]*MAX(0,Tasks[[#This Row],[_StartWorkday]]-1)</f>
        <v>0</v>
      </c>
      <c r="DI161" s="45" t="n">
        <f aca="false">Tasks[[#This Row],[_Res3Work]]*Tasks[[#This Row],[_LeafProgress]]</f>
        <v>0</v>
      </c>
      <c r="DJ161" s="45" t="n">
        <f aca="false">IF(Tasks[[#This Row],[_LeafTotalCost]]=0,0,Tasks[[#This Row],[_LeafAC]]*Tasks[[#This Row],[_Res3Cost]]/Tasks[[#This Row],[_LeafTotalCost]])</f>
        <v>0</v>
      </c>
      <c r="DK16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6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61" s="45" t="n">
        <f aca="false">IF(OR(NOT(Tasks[[#This Row],[_IsLeaf]]=1),Tasks[[#This Row],[_Res4]]=""),0,IF(ISNA(MATCH(Tasks[[#This Row],[_Res4]],res_Name,0)),0,N(Tasks[[#This Row],[Duration]])*HoursPerDay*IF(Tasks[[#This Row],[_Res4Units]]="",DefaultUnits,Tasks[[#This Row],[_Res4Units]])))</f>
        <v>0</v>
      </c>
      <c r="DN161" s="45" t="n">
        <f aca="false">IF(Tasks[[#This Row],[_Res4Work]]=0,0,Tasks[[#This Row],[_Res4Work]]*IFERROR(INDEX(res_Rate,MATCH(Tasks[[#This Row],[_Res4]],res_Name,0)),0))</f>
        <v>0</v>
      </c>
      <c r="DO161" s="45" t="n">
        <f aca="false">IF(AND(AND(Tasks[[#This Row],[_IsLeaf]]=1,Tasks[[#This Row],[_LeafTotalWork]]&gt;0),Tasks[[#This Row],[_Res4Work]]&gt;0),Tasks[[#This Row],[_Res4Work]]/(Tasks[[#This Row],[_FinishWorkday]]-Tasks[[#This Row],[_StartWorkday]]+1),0)</f>
        <v>0</v>
      </c>
      <c r="DP161" s="45" t="n">
        <f aca="false">Tasks[[#This Row],[_Res4WorkPerWD]]*MAX(0,Tasks[[#This Row],[_StartWorkday]]-1)</f>
        <v>0</v>
      </c>
      <c r="DQ161" s="45" t="n">
        <f aca="false">Tasks[[#This Row],[_Res4Work]]*Tasks[[#This Row],[_LeafProgress]]</f>
        <v>0</v>
      </c>
      <c r="DR161" s="45" t="n">
        <f aca="false">IF(Tasks[[#This Row],[_LeafTotalCost]]=0,0,Tasks[[#This Row],[_LeafAC]]*Tasks[[#This Row],[_Res4Cost]]/Tasks[[#This Row],[_LeafTotalCost]])</f>
        <v>0</v>
      </c>
      <c r="DS161" s="45" t="n">
        <f aca="false">IF(ISNUMBER(Tasks[[#This Row],[% Complete]]),Tasks[[#This Row],[% Complete]],IF(Tasks[[#This Row],[Stage]]="",0,IFERROR(INDEX(stg_Pct,MATCH(Tasks[[#This Row],[Stage]],stg_Name,0)),0)))</f>
        <v>0</v>
      </c>
      <c r="DT161" s="45" t="n">
        <f aca="false">IF(NOT(Tasks[[#This Row],[_IsLeaf]]=1),0,IF(N(Tasks[[#This Row],[Actual Finish]])&gt;0,1,MIN(1,Tasks[[#This Row],[_Pct]])))</f>
        <v>0</v>
      </c>
      <c r="DU161" s="45" t="n">
        <f aca="false">IF(OR(NOT(Tasks[[#This Row],[_IsLeaf]]=1),Tasks[[#This Row],[_Resource1]]=""),0,IF(ISNA(MATCH(Tasks[[#This Row],[_Resource1]],res_Name,0)),0,N(Tasks[[#This Row],[Duration]])*HoursPerDay*IF(Tasks[[#This Row],[_Units1]]="",DefaultUnits,Tasks[[#This Row],[_Units1]])))</f>
        <v>0</v>
      </c>
      <c r="DV161" s="45" t="n">
        <f aca="false">IF(Tasks[[#This Row],[_LeafWork]]=0,0,Tasks[[#This Row],[_LeafWork]]*IFERROR(INDEX(res_Rate,MATCH(Tasks[[#This Row],[_Resource1]],res_Name,0)),0))</f>
        <v>0</v>
      </c>
      <c r="DW161" s="45" t="n">
        <f aca="false">Tasks[[#This Row],[_LeafWork]]+Tasks[[#This Row],[_Res2Work]]+Tasks[[#This Row],[_Res3Work]]+Tasks[[#This Row],[_Res4Work]]</f>
        <v>0</v>
      </c>
      <c r="DX161" s="45" t="n">
        <f aca="false">Tasks[[#This Row],[_LeafCost]]+Tasks[[#This Row],[_Res2Cost]]+Tasks[[#This Row],[_Res3Cost]]+Tasks[[#This Row],[_Res4Cost]]</f>
        <v>0</v>
      </c>
      <c r="DY161" s="45" t="n">
        <f aca="false">IF(Tasks[[#This Row],[_LeafTotalCost]]=0,Tasks[[#This Row],[_LeafAC]],Tasks[[#This Row],[_LeafAC]]*Tasks[[#This Row],[_LeafCost]]/Tasks[[#This Row],[_LeafTotalCost]])</f>
        <v>0</v>
      </c>
      <c r="DZ16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6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6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6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6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6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6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6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61" s="45" t="n">
        <f aca="false">IF(NOT(Tasks[[#This Row],[_IsLeaf]]=1),0,MAX(_xlfn.MAXIFS(Tasks[_Row],Tasks[_Pred1UID],Tasks[[#This Row],[UID]]),_xlfn.MAXIFS(Tasks[_Row],Tasks[_Pred2UID],Tasks[[#This Row],[UID]]),_xlfn.MAXIFS(Tasks[_Row],Tasks[_Pred3UID],Tasks[[#This Row],[UID]]),_xlfn.MAXIFS(Tasks[_Row],Tasks[_Pred4UID],Tasks[[#This Row],[UID]])))</f>
        <v>0</v>
      </c>
      <c r="EI16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6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61" s="74" t="str">
        <f aca="false">IF(NOT(Tasks[[#This Row],[_IsLeaf]]=1),"",IF(N(Tasks[[#This Row],[Duration]])&lt;=0,Tasks[[#This Row],[_LeafLateFinish]],WORKDAY.INTL(Tasks[[#This Row],[_LeafLateFinish]],-(Tasks[[#This Row],[Duration]]-1),WorkWeek,Holidays)))</f>
        <v/>
      </c>
      <c r="EL16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61" s="73" t="b">
        <f aca="false">AND(Tasks[[#This Row],[_IsLeaf]]=1,Tasks[[#This Row],[_LeafProgress]]&lt;1,N(Tasks[[#This Row],[_LeafTotalSlack]])&lt;=CriticalSlackDays)</f>
        <v>0</v>
      </c>
      <c r="EN161" s="45" t="n">
        <f aca="false">IF(AND(Tasks[[#This Row],[_IsLeaf]]=1,Tasks[[#This Row],[_ConstraintCode]]=1,Tasks[[#This Row],[Mode]]&lt;&gt;"Manual",N(Tasks[[#This Row],[Actual Start]])=0),MAX(0,N(Tasks[[#This Row],[Free Slack]])),0)</f>
        <v>0</v>
      </c>
      <c r="EO161" s="74" t="str">
        <f aca="false">IF(NOT(Tasks[[#This Row],[_IsLeaf]]=1),"",IF(Tasks[[#This Row],[_AlapShift]]=0,Tasks[[#This Row],[_LeafCalcStart]],WORKDAY.INTL(Tasks[[#This Row],[_LeafCalcStart]],Tasks[[#This Row],[_AlapShift]],WorkWeek,Holidays)))</f>
        <v/>
      </c>
      <c r="EP161" s="74" t="str">
        <f aca="false">IF(NOT(Tasks[[#This Row],[_IsLeaf]]=1),"",IF(Tasks[[#This Row],[_AlapShift]]=0,Tasks[[#This Row],[_LeafCalcFinish]],WORKDAY.INTL(Tasks[[#This Row],[_LeafCalcFinish]],Tasks[[#This Row],[_AlapShift]],WorkWeek,Holidays)))</f>
        <v/>
      </c>
      <c r="EQ161" s="74" t="str">
        <f aca="false">IF(NOT(Tasks[[#This Row],[_IsLeaf]]=1),"",IF(Tasks[[#This Row],[_AlapShift]]=0,Tasks[[#This Row],[_LeafFcstStart]],WORKDAY.INTL(Tasks[[#This Row],[_LeafFcstStart]],Tasks[[#This Row],[_AlapShift]],WorkWeek,Holidays)))</f>
        <v/>
      </c>
      <c r="ER161" s="74" t="str">
        <f aca="false">IF(NOT(Tasks[[#This Row],[_IsLeaf]]=1),"",IF(Tasks[[#This Row],[_AlapShift]]=0,Tasks[[#This Row],[_LeafFcstFinish]],WORKDAY.INTL(Tasks[[#This Row],[_LeafFcstFinish]],Tasks[[#This Row],[_AlapShift]],WorkWeek,Holidays)))</f>
        <v/>
      </c>
      <c r="ES161" s="74" t="str">
        <f aca="false">IF(Tasks[[#This Row],[Task Name]]="","",IF(Tasks[[#This Row],[_IsSummary]],MIN(INDEX(Tasks[_ShownCalcStart],Tasks[[#This Row],[_Row]]+1):INDEX(Tasks[_ShownCalcStart],Tasks[[#This Row],[_Row]]+Tasks[[#This Row],[_Descendants]])),Tasks[[#This Row],[_ShownCalcStart]]))</f>
        <v/>
      </c>
      <c r="ET161" s="74" t="str">
        <f aca="false">IF(Tasks[[#This Row],[Task Name]]="","",IF(Tasks[[#This Row],[_IsSummary]],MAX(INDEX(Tasks[_ShownCalcFinish],Tasks[[#This Row],[_Row]]+1):INDEX(Tasks[_ShownCalcFinish],Tasks[[#This Row],[_Row]]+Tasks[[#This Row],[_Descendants]])),Tasks[[#This Row],[_ShownCalcFinish]]))</f>
        <v/>
      </c>
      <c r="EU16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6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6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6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6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6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6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6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6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6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6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6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61" s="45" t="n">
        <f aca="false">IF(AND(Tasks[[#This Row],[_IsLeaf]]=1,Tasks[[#This Row],[_LeafTotalWork]]&gt;0),NETWORKDAYS.INTL(ProjectStart,Tasks[[#This Row],[_ShownFcstStart]],WorkWeek,Holidays),0)</f>
        <v>0</v>
      </c>
      <c r="FH161" s="45" t="n">
        <f aca="false">IF(AND(Tasks[[#This Row],[_IsLeaf]]=1,Tasks[[#This Row],[_LeafTotalWork]]&gt;0),MAX(Tasks[[#This Row],[_StartWorkday]],NETWORKDAYS.INTL(ProjectStart,Tasks[[#This Row],[_ShownFcstFinish]],WorkWeek,Holidays)),0)</f>
        <v>0</v>
      </c>
      <c r="FI161" s="45" t="n">
        <f aca="false">IF(AND(Tasks[[#This Row],[_IsLeaf]]=1,Tasks[[#This Row],[_LeafTotalWork]]&gt;0),Tasks[[#This Row],[_LeafWork]]/(Tasks[[#This Row],[_FinishWorkday]]-Tasks[[#This Row],[_StartWorkday]]+1),0)</f>
        <v>0</v>
      </c>
      <c r="FJ161" s="45" t="n">
        <f aca="false">Tasks[[#This Row],[_WorkPerWorkday]]*(Tasks[[#This Row],[_StartWorkday]]-1)</f>
        <v>-0</v>
      </c>
      <c r="FK161" s="45" t="n">
        <f aca="false">IF(Tasks[[#This Row],[_IsLeaf]]=1,MAX(N(Tasks[[#This Row],[Duration]]),0.1),0)</f>
        <v>0</v>
      </c>
      <c r="FL161" s="45" t="n">
        <f aca="false">Tasks[[#This Row],[_WeightDur]]*Tasks[[#This Row],[_LeafProgress]]</f>
        <v>0</v>
      </c>
      <c r="FM16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61" s="45" t="str">
        <f aca="false">IF(AND(Tasks[[#This Row],[_IsLeaf]]=1,N(Tasks[[#This Row],[Duration]])=0,Tasks[[#This Row],[_LeafProgress]]&lt;1),Tasks[[#This Row],[_ShownFcstFinish]]+Tasks[[#This Row],[_Row]]/100000,"")</f>
        <v/>
      </c>
      <c r="FO16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61" s="45" t="n">
        <f aca="false">IF(NOT(Tasks[[#This Row],[_IsLeaf]]=1),0,IF(Tasks[[#This Row],[Baseline Cost]]="",Tasks[[#This Row],[_LeafTotalCost]],N(Tasks[[#This Row],[Baseline Cost]])))</f>
        <v>0</v>
      </c>
      <c r="FQ161" s="45" t="n">
        <f aca="false">Tasks[[#This Row],[_LeafBudget]]*Tasks[[#This Row],[_PlannedPct]]</f>
        <v>0</v>
      </c>
      <c r="FR161" s="45" t="n">
        <f aca="false">Tasks[[#This Row],[_LeafBudget]]*Tasks[[#This Row],[_LeafProgress]]</f>
        <v>0</v>
      </c>
      <c r="FS161" s="45" t="n">
        <f aca="false">IF(NOT(Tasks[[#This Row],[_IsLeaf]]=1),0,IF(Tasks[[#This Row],[Actual Cost]]="",Tasks[[#This Row],[_LeafTotalCost]]*Tasks[[#This Row],[_LeafProgress]],N(Tasks[[#This Row],[Actual Cost]])))</f>
        <v>0</v>
      </c>
      <c r="FT161" s="45" t="str">
        <f aca="false">IF(Tasks[[#This Row],[Task Name]]="","",LEFT(Tasks[[#This Row],[WBS]],FIND(".",Tasks[[#This Row],[WBS]]&amp;".")-1))</f>
        <v/>
      </c>
      <c r="FU161" s="45" t="str">
        <f aca="false">IF(AND(Tasks[[#This Row],[Task Name]]&lt;&gt;"",Tasks[[#This Row],[_Level]]=1),Tasks[[#This Row],[_Row]],"")</f>
        <v/>
      </c>
      <c r="FV161" s="45" t="str">
        <f aca="false">IF(AND(Tasks[[#This Row],[_IsLeaf]]=1,N(Tasks[[#This Row],[Duration]])=0),Tasks[[#This Row],[Planned Finish]]+Tasks[[#This Row],[_Row]]/100000,"")</f>
        <v/>
      </c>
      <c r="FW161" s="45" t="str">
        <f aca="false">IF(AND(Tasks[[#This Row],[_IsLeaf]]=1,Tasks[[#This Row],[_LeafProgress]]&lt;1,OR(N(Tasks[[#This Row],[Finish Var]])&gt;0,Tasks[[#This Row],[Status]]="Late Start")),MAX(0,Tasks[[#This Row],[Finish Var]])+1-Tasks[[#This Row],[_Row]]/1000000,"")</f>
        <v/>
      </c>
      <c r="FX161" s="45" t="str">
        <f aca="false">IF(AND(Tasks[[#This Row],[_IsLeaf]]=1,N(Tasks[[#This Row],[Actual Start]])=0,Tasks[[#This Row],[_ShownFcstStart]]&gt;=StatusDate,Tasks[[#This Row],[_ShownFcstStart]]&lt;=LookaheadEnd),Tasks[[#This Row],[_ShownFcstStart]]+Tasks[[#This Row],[_Row]]/100000,"")</f>
        <v/>
      </c>
      <c r="FY161" s="45" t="str">
        <f aca="false">IF(AND(Tasks[[#This Row],[_IsLeaf]]=1,Tasks[[#This Row],[_LeafProgress]]&lt;1,Tasks[[#This Row],[_ShownFcstFinish]]&gt;=StatusDate,Tasks[[#This Row],[_ShownFcstFinish]]&lt;=LookaheadEnd),Tasks[[#This Row],[_ShownFcstFinish]]+Tasks[[#This Row],[_Row]]/100000,"")</f>
        <v/>
      </c>
      <c r="FZ161" s="45" t="str">
        <f aca="false">IF(Tasks[[#This Row],[_LeafCritical]],Tasks[[#This Row],[_ShownFcstStart]]+Tasks[[#This Row],[_Row]]/100000,"")</f>
        <v/>
      </c>
      <c r="GA161" s="45" t="n">
        <f aca="false">Tasks[[#This Row],[_LeafWork]]*Tasks[[#This Row],[_LeafProgress]]</f>
        <v>0</v>
      </c>
      <c r="GB161" s="74" t="str">
        <f aca="false">IF(AND(Tasks[[#This Row],[_IsLeaf]]=1,Tasks[[#This Row],[_LeafProgress]]&gt;=1),IF(N(Tasks[[#This Row],[Actual Finish]])&gt;0,Tasks[[#This Row],[Actual Finish]],Tasks[[#This Row],[_ShownFcstFinish]]),"")</f>
        <v/>
      </c>
    </row>
    <row r="162" customFormat="false" ht="15" hidden="false" customHeight="false" outlineLevel="0" collapsed="false">
      <c r="A162" s="67" t="str">
        <f aca="false">IF(Tasks[[#This Row],[Task Name]]="","",COUNTA(Tasks[[#Headers],[Task Name]]:Tasks[[#This Row],[Task Name]])-1)</f>
        <v/>
      </c>
      <c r="B162" s="21" t="n">
        <v>157</v>
      </c>
      <c r="C16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21"/>
      <c r="E162" s="22"/>
      <c r="F162" s="21"/>
      <c r="G162" s="22"/>
      <c r="H162" s="22"/>
      <c r="I162" s="22"/>
      <c r="J162" s="7"/>
      <c r="K162" s="7"/>
      <c r="L162" s="22"/>
      <c r="M162" s="58" t="str">
        <f aca="false">IF(Tasks[[#This Row],[Task Name]]="","",IF(Tasks[[#This Row],[_IsSummary]],MIN(INDEX(Tasks[_ShownFcstStart],Tasks[[#This Row],[_Row]]+1):INDEX(Tasks[_ShownFcstStart],Tasks[[#This Row],[_Row]]+Tasks[[#This Row],[_Descendants]])),Tasks[[#This Row],[_ShownFcstStart]]))</f>
        <v/>
      </c>
      <c r="N162" s="58" t="str">
        <f aca="false">IF(Tasks[[#This Row],[Task Name]]="","",IF(Tasks[[#This Row],[_IsSummary]],MAX(INDEX(Tasks[_ShownFcstFinish],Tasks[[#This Row],[_Row]]+1):INDEX(Tasks[_ShownFcstFinish],Tasks[[#This Row],[_Row]]+Tasks[[#This Row],[_Descendants]])),Tasks[[#This Row],[_ShownFcstFinish]]))</f>
        <v/>
      </c>
      <c r="O162" s="20" t="str">
        <f aca="false">IF(Tasks[[#This Row],[Task Name]]="","",IF(Tasks[[#This Row],[Progress]]&gt;=1,"Complete",IF(OR(N(Tasks[[#This Row],[Actual Start]])&gt;0,Tasks[[#This Row],[Progress]]&gt;0),IF(Tasks[[#This Row],[Finish Var]]&gt;0,"Behind","In Progress"),IF(Tasks[[#This Row],[Planned Start]]&lt;StatusDate,"Late Start","Not Started"))))</f>
        <v/>
      </c>
      <c r="P162" s="20" t="str">
        <f aca="false">IF(Tasks[[#This Row],[Task Name]]="","",IF(IF(Tasks[[#This Row],[_IsSummary]],COUNTIF(INDEX(Tasks[_LeafCritical],Tasks[[#This Row],[_Row]]+1):INDEX(Tasks[_LeafCritical],Tasks[[#This Row],[_Row]]+Tasks[[#This Row],[_Descendants]]),TRUE())&gt;0,Tasks[[#This Row],[_LeafCritical]]),"Yes",""))</f>
        <v/>
      </c>
      <c r="Q16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62" s="67" t="str">
        <f aca="false">IF(Tasks[[#This Row],[Task Name]]="","",IF(Tasks[[#This Row],[_Level]]&lt;=OutlineShowLevel,"Yes","No"))</f>
        <v/>
      </c>
      <c r="S162" s="7"/>
      <c r="T162" s="21"/>
      <c r="U162" s="22"/>
      <c r="V162" s="7"/>
      <c r="W162" s="67" t="str">
        <f aca="false">IF(Tasks[[#This Row],[Task Name]]="","",IF(Tasks[[#This Row],[Finish]]&gt;=Tasks[[#This Row],[Planned Finish]],NETWORKDAYS.INTL(Tasks[[#This Row],[Planned Finish]],Tasks[[#This Row],[Finish]],WorkWeek,Holidays)-1,1-NETWORKDAYS.INTL(Tasks[[#This Row],[Finish]],Tasks[[#This Row],[Planned Finish]],WorkWeek,Holidays)))</f>
        <v/>
      </c>
      <c r="X162" s="58" t="str">
        <f aca="false">IF(Tasks[[#This Row],[Task Name]]="","",IF(N(Tasks[[#This Row],[Baseline Start]])&gt;0,Tasks[[#This Row],[Baseline Start]],Tasks[[#This Row],[_CalcStart]]))</f>
        <v/>
      </c>
      <c r="Y162" s="58" t="str">
        <f aca="false">IF(Tasks[[#This Row],[Task Name]]="","",IF(N(Tasks[[#This Row],[Baseline Finish]])&gt;0,Tasks[[#This Row],[Baseline Finish]],Tasks[[#This Row],[_CalcFinish]]))</f>
        <v/>
      </c>
      <c r="Z162" s="67" t="str">
        <f aca="false">IF(Tasks[[#This Row],[Task Name]]="","",IF(Tasks[[#This Row],[Start]]&gt;=Tasks[[#This Row],[Planned Start]],NETWORKDAYS.INTL(Tasks[[#This Row],[Planned Start]],Tasks[[#This Row],[Start]],WorkWeek,Holidays)-1,1-NETWORKDAYS.INTL(Tasks[[#This Row],[Start]],Tasks[[#This Row],[Planned Start]],WorkWeek,Holidays)))</f>
        <v/>
      </c>
      <c r="AA162" s="58" t="str">
        <f aca="false">IF(Tasks[[#This Row],[Task Name]]="","",IF(Tasks[[#This Row],[_IsSummary]],MIN(INDEX(Tasks[_LeafLateStart],Tasks[[#This Row],[_Row]]+1):INDEX(Tasks[_LeafLateStart],Tasks[[#This Row],[_Row]]+Tasks[[#This Row],[_Descendants]])),Tasks[[#This Row],[_LeafLateStart]]))</f>
        <v/>
      </c>
      <c r="AB162" s="58" t="str">
        <f aca="false">IF(Tasks[[#This Row],[Task Name]]="","",IF(Tasks[[#This Row],[_IsSummary]],MAX(INDEX(Tasks[_LeafLateFinish],Tasks[[#This Row],[_Row]]+1):INDEX(Tasks[_LeafLateFinish],Tasks[[#This Row],[_Row]]+Tasks[[#This Row],[_Descendants]])),Tasks[[#This Row],[_LeafLateFinish]]))</f>
        <v/>
      </c>
      <c r="AC162" s="67" t="str">
        <f aca="false">IF(Tasks[[#This Row],[Task Name]]="","",IF(Tasks[[#This Row],[_IsSummary]],MIN(INDEX(Tasks[_LeafTotalSlack],Tasks[[#This Row],[_Row]]+1):INDEX(Tasks[_LeafTotalSlack],Tasks[[#This Row],[_Row]]+Tasks[[#This Row],[_Descendants]])),Tasks[[#This Row],[_LeafTotalSlack]]))</f>
        <v/>
      </c>
      <c r="AD16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6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6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62" s="60"/>
      <c r="AH16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6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62" s="69" t="str">
        <f aca="false">IF(Tasks[[#This Row],[Task Name]]="","",IF(Tasks[[#This Row],[_IsSummary]],SUM(INDEX(Tasks[_LeafTotalWork],Tasks[[#This Row],[_Row]]+1):INDEX(Tasks[_LeafTotalWork],Tasks[[#This Row],[_Row]]+Tasks[[#This Row],[_Descendants]])),Tasks[[#This Row],[_LeafTotalWork]]))</f>
        <v/>
      </c>
      <c r="AK16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62" s="70" t="str">
        <f aca="false">IF(Tasks[[#This Row],[Task Name]]="","",IF(Tasks[[#This Row],[_IsSummary]],SUM(INDEX(Tasks[_LeafTotalCost],Tasks[[#This Row],[_Row]]+1):INDEX(Tasks[_LeafTotalCost],Tasks[[#This Row],[_Row]]+Tasks[[#This Row],[_Descendants]])),Tasks[[#This Row],[_LeafTotalCost]]))</f>
        <v/>
      </c>
      <c r="AM162" s="71"/>
      <c r="AN162" s="20" t="str">
        <f aca="false">IF(OR(Tasks[[#This Row],[Task Name]]="",Tasks[[#This Row],[Baseline Duration]]=""),"",Tasks[[#This Row],[BL Source Duration]]-N(Tasks[[#This Row],[Baseline Duration]]))</f>
        <v/>
      </c>
      <c r="AO162" s="69" t="str">
        <f aca="false">IF(OR(Tasks[[#This Row],[Task Name]]="",Tasks[[#This Row],[Baseline Work]]=""),"",Tasks[[#This Row],[Work]]-N(Tasks[[#This Row],[Baseline Work]]))</f>
        <v/>
      </c>
      <c r="AP162" s="70" t="str">
        <f aca="false">IF(OR(Tasks[[#This Row],[Task Name]]="",Tasks[[#This Row],[Baseline Cost]]=""),"",Tasks[[#This Row],[Cost]]-N(Tasks[[#This Row],[Baseline Cost]]))</f>
        <v/>
      </c>
      <c r="AQ162" s="58" t="str">
        <f aca="false">IF(Tasks[[#This Row],[Task Name]]="","",Tasks[[#This Row],[Start]])</f>
        <v/>
      </c>
      <c r="AR162" s="58" t="str">
        <f aca="false">IF(Tasks[[#This Row],[Task Name]]="","",Tasks[[#This Row],[Finish]])</f>
        <v/>
      </c>
      <c r="AS162" s="67" t="str">
        <f aca="false">IF(Tasks[[#This Row],[Task Name]]="","",IF(Tasks[[#This Row],[_IsSummary]],NETWORKDAYS.INTL(Tasks[[#This Row],[Start]],Tasks[[#This Row],[Finish]],WorkWeek,Holidays),N(Tasks[[#This Row],[Duration]])))</f>
        <v/>
      </c>
      <c r="AT162" s="69" t="str">
        <f aca="false">IF(Tasks[[#This Row],[Task Name]]="","",Tasks[[#This Row],[Work]])</f>
        <v/>
      </c>
      <c r="AU162" s="70" t="str">
        <f aca="false">IF(Tasks[[#This Row],[Task Name]]="","",Tasks[[#This Row],[Cost]])</f>
        <v/>
      </c>
      <c r="AV162" s="7"/>
      <c r="AW162" s="7"/>
      <c r="AX162" s="21"/>
      <c r="AY162" s="72"/>
      <c r="AZ162" s="71"/>
      <c r="BA162" s="70" t="str">
        <f aca="false">IF(Tasks[[#This Row],[Task Name]]="","",IF(Tasks[[#This Row],[_IsSummary]],SUM(INDEX(Tasks[_LeafEV],Tasks[[#This Row],[_Row]]+1):INDEX(Tasks[_LeafEV],Tasks[[#This Row],[_Row]]+Tasks[[#This Row],[_Descendants]])),Tasks[[#This Row],[_LeafEV]]))</f>
        <v/>
      </c>
      <c r="BB162" s="70" t="str">
        <f aca="false">IF(Tasks[[#This Row],[Task Name]]="","",IF(Tasks[[#This Row],[_IsSummary]],SUM(INDEX(Tasks[_LeafBudget],Tasks[[#This Row],[_Row]]+1):INDEX(Tasks[_LeafBudget],Tasks[[#This Row],[_Row]]+Tasks[[#This Row],[_Descendants]])),Tasks[[#This Row],[_LeafBudget]]))</f>
        <v/>
      </c>
      <c r="BC162" s="70" t="str">
        <f aca="false">IF(Tasks[[#This Row],[Task Name]]="","",IF(Tasks[[#This Row],[_IsSummary]],SUM(INDEX(Tasks[_LeafPV],Tasks[[#This Row],[_Row]]+1):INDEX(Tasks[_LeafPV],Tasks[[#This Row],[_Row]]+Tasks[[#This Row],[_Descendants]])),Tasks[[#This Row],[_LeafPV]]))</f>
        <v/>
      </c>
      <c r="BD162" s="70" t="str">
        <f aca="false">IF(Tasks[[#This Row],[Task Name]]="","",IF(Tasks[[#This Row],[_IsSummary]],SUM(INDEX(Tasks[_LeafAC],Tasks[[#This Row],[_Row]]+1):INDEX(Tasks[_LeafAC],Tasks[[#This Row],[_Row]]+Tasks[[#This Row],[_Descendants]])),Tasks[[#This Row],[_LeafAC]]))</f>
        <v/>
      </c>
      <c r="BE162" s="45" t="str">
        <f aca="false">IF(Tasks[[#This Row],[Task Name]]="","",MAX(1,N(Tasks[[#This Row],[Level]])))</f>
        <v/>
      </c>
      <c r="BF162" s="45" t="n">
        <f aca="false">ROW()-ROW(Tasks[[#Headers],[ID]])</f>
        <v>157</v>
      </c>
      <c r="BG162" s="45" t="n">
        <f aca="false">IF(OR(Tasks[[#This Row],[Task Name]]="",Tasks[[#This Row],[_Level]]&lt;=1),0,IFERROR(LOOKUP(2,1/(Tasks[[#Headers],[_Level]]:Tasks[[#This Row],[_Level]]=Tasks[[#This Row],[_Level]]-1),ROW(Tasks[[#Headers],[_Level]]:Tasks[[#This Row],[_Level]])),0))</f>
        <v>0</v>
      </c>
      <c r="BH162" s="45" t="n">
        <f aca="false">IFERROR(N(INDEX(Tasks[_Level],Tasks[[#This Row],[_Row]]+1)),0)</f>
        <v>0</v>
      </c>
      <c r="BI162" s="73" t="b">
        <f aca="false">AND(Tasks[[#This Row],[Task Name]]&lt;&gt;"",Tasks[[#This Row],[_NextLevel]]&gt;Tasks[[#This Row],[_Level]])</f>
        <v>0</v>
      </c>
      <c r="BJ162" s="45" t="n">
        <f aca="false">IF(Tasks[[#This Row],[_IsSummary]],COUNTIF(Tasks[WBS],Tasks[[#This Row],[WBS]]&amp;".*"),0)</f>
        <v>0</v>
      </c>
      <c r="BK162" s="45" t="n">
        <f aca="false">IF(AND(Tasks[[#This Row],[Task Name]]&lt;&gt;"",NOT(Tasks[[#This Row],[_IsSummary]])),1,0)</f>
        <v>0</v>
      </c>
      <c r="BL162" s="45" t="n">
        <f aca="false">IF(N(Tasks[[#This Row],[_Pred1UID]])=0,0,IFERROR(MATCH(Tasks[[#This Row],[_Pred1UID]],Tasks[UID],0),-1))</f>
        <v>0</v>
      </c>
      <c r="BM162" s="45" t="n">
        <f aca="false">IF(N(Tasks[[#This Row],[_Pred2UID]])=0,0,IFERROR(MATCH(Tasks[[#This Row],[_Pred2UID]],Tasks[UID],0),-1))</f>
        <v>0</v>
      </c>
      <c r="BN162" s="45" t="n">
        <f aca="false">IF(N(Tasks[[#This Row],[_Pred3UID]])=0,0,IFERROR(MATCH(Tasks[[#This Row],[_Pred3UID]],Tasks[UID],0),-1))</f>
        <v>0</v>
      </c>
      <c r="BO162" s="45" t="n">
        <f aca="false">IF(N(Tasks[[#This Row],[_Pred4UID]])=0,0,IFERROR(MATCH(Tasks[[#This Row],[_Pred4UID]],Tasks[UID],0),-1))</f>
        <v>0</v>
      </c>
      <c r="BP16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6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62" s="74" t="n">
        <f aca="false">IF(OR(Tasks[[#This Row],[_ConstraintCode]]=2,Tasks[[#This Row],[_ConstraintCode]]=3,Tasks[[#This Row],[_ConstraintCode]]=4,Tasks[[#This Row],[_ConstraintCode]]=6),Tasks[[#This Row],[_ConstraintStart]],0)</f>
        <v>0</v>
      </c>
      <c r="BS162" s="74" t="n">
        <f aca="false">IF(OR(Tasks[[#This Row],[_ConstraintCode]]=2,Tasks[[#This Row],[_ConstraintCode]]=3,Tasks[[#This Row],[_ConstraintCode]]=5,Tasks[[#This Row],[_ConstraintCode]]=7),Tasks[[#This Row],[_ConstraintStart]],2958465)</f>
        <v>2958465</v>
      </c>
      <c r="BT16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62" s="74" t="str">
        <f aca="false">IF(NOT(Tasks[[#This Row],[_IsLeaf]]=1),"",IF(N(Tasks[[#This Row],[Duration]])&lt;=0,Tasks[[#This Row],[_LeafCalcStart]],WORKDAY.INTL(Tasks[[#This Row],[_LeafCalcStart]],Tasks[[#This Row],[Duration]]-1,WorkWeek,Holidays)))</f>
        <v/>
      </c>
      <c r="BV16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6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62" s="45" t="str">
        <f aca="false">IF(Tasks[[#This Row],[Predecessors]]="","",TRIM(MID(SUBSTITUTE(SUBSTITUTE(SUBSTITUTE(UPPER(Tasks[[#This Row],[Predecessors]]),";",",")," ",""),",",REPT(" ",99)),1,99)))</f>
        <v/>
      </c>
      <c r="BY162" s="45" t="str">
        <f aca="false">IF(Tasks[[#This Row],[_Pred1Text]]="","",IFERROR(VALUE(LEFT(Tasks[[#This Row],[_Pred1Text]],MIN(FIND("F",Tasks[[#This Row],[_Pred1Text]]&amp;"F"),FIND("S",Tasks[[#This Row],[_Pred1Text]]&amp;"S"),FIND("+",Tasks[[#This Row],[_Pred1Text]]&amp;"+"),FIND("-",Tasks[[#This Row],[_Pred1Text]]&amp;"-"))-1)),""))</f>
        <v/>
      </c>
      <c r="BZ16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6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62" s="45" t="str">
        <f aca="false">IF(Tasks[[#This Row],[_Pred1Text]]="","",TRIM(MID(SUBSTITUTE(SUBSTITUTE(SUBSTITUTE(UPPER(Tasks[[#This Row],[Predecessors]]),";",",")," ",""),",",REPT(" ",99)),100,99)))</f>
        <v/>
      </c>
      <c r="CC162" s="45" t="str">
        <f aca="false">IF(Tasks[[#This Row],[_Pred2Text]]="","",IFERROR(VALUE(LEFT(Tasks[[#This Row],[_Pred2Text]],MIN(FIND("F",Tasks[[#This Row],[_Pred2Text]]&amp;"F"),FIND("S",Tasks[[#This Row],[_Pred2Text]]&amp;"S"),FIND("+",Tasks[[#This Row],[_Pred2Text]]&amp;"+"),FIND("-",Tasks[[#This Row],[_Pred2Text]]&amp;"-"))-1)),""))</f>
        <v/>
      </c>
      <c r="CD16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6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62" s="45" t="str">
        <f aca="false">IF(Tasks[[#This Row],[_Pred2Text]]="","",TRIM(MID(SUBSTITUTE(SUBSTITUTE(SUBSTITUTE(UPPER(Tasks[[#This Row],[Predecessors]]),";",",")," ",""),",",REPT(" ",99)),199,99)))</f>
        <v/>
      </c>
      <c r="CG162" s="45" t="str">
        <f aca="false">IF(Tasks[[#This Row],[_Pred3Text]]="","",IFERROR(VALUE(LEFT(Tasks[[#This Row],[_Pred3Text]],MIN(FIND("F",Tasks[[#This Row],[_Pred3Text]]&amp;"F"),FIND("S",Tasks[[#This Row],[_Pred3Text]]&amp;"S"),FIND("+",Tasks[[#This Row],[_Pred3Text]]&amp;"+"),FIND("-",Tasks[[#This Row],[_Pred3Text]]&amp;"-"))-1)),""))</f>
        <v/>
      </c>
      <c r="CH16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6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62" s="45" t="str">
        <f aca="false">IF(Tasks[[#This Row],[_Pred3Text]]="","",TRIM(MID(SUBSTITUTE(SUBSTITUTE(SUBSTITUTE(UPPER(Tasks[[#This Row],[Predecessors]]),";",",")," ",""),",",REPT(" ",99)),298,99)))</f>
        <v/>
      </c>
      <c r="CK162" s="45" t="str">
        <f aca="false">IF(Tasks[[#This Row],[_Pred4Text]]="","",IFERROR(VALUE(LEFT(Tasks[[#This Row],[_Pred4Text]],MIN(FIND("F",Tasks[[#This Row],[_Pred4Text]]&amp;"F"),FIND("S",Tasks[[#This Row],[_Pred4Text]]&amp;"S"),FIND("+",Tasks[[#This Row],[_Pred4Text]]&amp;"+"),FIND("-",Tasks[[#This Row],[_Pred4Text]]&amp;"-"))-1)),""))</f>
        <v/>
      </c>
      <c r="CL16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6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62" s="45" t="str">
        <f aca="false">IF(OR(Tasks[[#This Row],[Task Name]]="",Tasks[[#This Row],[Resources]]=""),"",TRIM(MID(SUBSTITUTE(Tasks[[#This Row],[Resources]],",",REPT(" ",99)),1,99)))</f>
        <v/>
      </c>
      <c r="CO162" s="45" t="str">
        <f aca="false">IF(Tasks[[#This Row],[_Res1Text]]="","",TRIM(MID(SUBSTITUTE(Tasks[[#This Row],[Resources]],",",REPT(" ",99)),100,99)))</f>
        <v/>
      </c>
      <c r="CP162" s="45" t="str">
        <f aca="false">IF(Tasks[[#This Row],[_Res2Text]]="","",TRIM(MID(SUBSTITUTE(Tasks[[#This Row],[Resources]],",",REPT(" ",99)),199,99)))</f>
        <v/>
      </c>
      <c r="CQ162" s="45" t="str">
        <f aca="false">IF(Tasks[[#This Row],[_Res3Text]]="","",TRIM(MID(SUBSTITUTE(Tasks[[#This Row],[Resources]],",",REPT(" ",99)),298,99)))</f>
        <v/>
      </c>
      <c r="CR16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6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2" s="45" t="n">
        <f aca="false">IF(NOT(Tasks[[#This Row],[_IsLeaf]]=1),0,(Tasks[[#This Row],[_Resource1]]&lt;&gt;"")+(Tasks[[#This Row],[_Res2]]&lt;&gt;"")+(Tasks[[#This Row],[_Res3]]&lt;&gt;"")+(Tasks[[#This Row],[_Res4]]&lt;&gt;""))</f>
        <v>0</v>
      </c>
      <c r="CU16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6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2" s="45" t="n">
        <f aca="false">IF(OR(NOT(Tasks[[#This Row],[_IsLeaf]]=1),Tasks[[#This Row],[_Res2]]=""),0,IF(ISNA(MATCH(Tasks[[#This Row],[_Res2]],res_Name,0)),0,N(Tasks[[#This Row],[Duration]])*HoursPerDay*IF(Tasks[[#This Row],[_Res2Units]]="",DefaultUnits,Tasks[[#This Row],[_Res2Units]])))</f>
        <v>0</v>
      </c>
      <c r="CX162" s="45" t="n">
        <f aca="false">IF(Tasks[[#This Row],[_Res2Work]]=0,0,Tasks[[#This Row],[_Res2Work]]*IFERROR(INDEX(res_Rate,MATCH(Tasks[[#This Row],[_Res2]],res_Name,0)),0))</f>
        <v>0</v>
      </c>
      <c r="CY162" s="45" t="n">
        <f aca="false">IF(AND(AND(Tasks[[#This Row],[_IsLeaf]]=1,Tasks[[#This Row],[_LeafTotalWork]]&gt;0),Tasks[[#This Row],[_Res2Work]]&gt;0),Tasks[[#This Row],[_Res2Work]]/(Tasks[[#This Row],[_FinishWorkday]]-Tasks[[#This Row],[_StartWorkday]]+1),0)</f>
        <v>0</v>
      </c>
      <c r="CZ162" s="45" t="n">
        <f aca="false">Tasks[[#This Row],[_Res2WorkPerWD]]*MAX(0,Tasks[[#This Row],[_StartWorkday]]-1)</f>
        <v>0</v>
      </c>
      <c r="DA162" s="45" t="n">
        <f aca="false">Tasks[[#This Row],[_Res2Work]]*Tasks[[#This Row],[_LeafProgress]]</f>
        <v>0</v>
      </c>
      <c r="DB162" s="45" t="n">
        <f aca="false">IF(Tasks[[#This Row],[_LeafTotalCost]]=0,0,Tasks[[#This Row],[_LeafAC]]*Tasks[[#This Row],[_Res2Cost]]/Tasks[[#This Row],[_LeafTotalCost]])</f>
        <v>0</v>
      </c>
      <c r="DC16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6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62" s="45" t="n">
        <f aca="false">IF(OR(NOT(Tasks[[#This Row],[_IsLeaf]]=1),Tasks[[#This Row],[_Res3]]=""),0,IF(ISNA(MATCH(Tasks[[#This Row],[_Res3]],res_Name,0)),0,N(Tasks[[#This Row],[Duration]])*HoursPerDay*IF(Tasks[[#This Row],[_Res3Units]]="",DefaultUnits,Tasks[[#This Row],[_Res3Units]])))</f>
        <v>0</v>
      </c>
      <c r="DF162" s="45" t="n">
        <f aca="false">IF(Tasks[[#This Row],[_Res3Work]]=0,0,Tasks[[#This Row],[_Res3Work]]*IFERROR(INDEX(res_Rate,MATCH(Tasks[[#This Row],[_Res3]],res_Name,0)),0))</f>
        <v>0</v>
      </c>
      <c r="DG162" s="45" t="n">
        <f aca="false">IF(AND(AND(Tasks[[#This Row],[_IsLeaf]]=1,Tasks[[#This Row],[_LeafTotalWork]]&gt;0),Tasks[[#This Row],[_Res3Work]]&gt;0),Tasks[[#This Row],[_Res3Work]]/(Tasks[[#This Row],[_FinishWorkday]]-Tasks[[#This Row],[_StartWorkday]]+1),0)</f>
        <v>0</v>
      </c>
      <c r="DH162" s="45" t="n">
        <f aca="false">Tasks[[#This Row],[_Res3WorkPerWD]]*MAX(0,Tasks[[#This Row],[_StartWorkday]]-1)</f>
        <v>0</v>
      </c>
      <c r="DI162" s="45" t="n">
        <f aca="false">Tasks[[#This Row],[_Res3Work]]*Tasks[[#This Row],[_LeafProgress]]</f>
        <v>0</v>
      </c>
      <c r="DJ162" s="45" t="n">
        <f aca="false">IF(Tasks[[#This Row],[_LeafTotalCost]]=0,0,Tasks[[#This Row],[_LeafAC]]*Tasks[[#This Row],[_Res3Cost]]/Tasks[[#This Row],[_LeafTotalCost]])</f>
        <v>0</v>
      </c>
      <c r="DK16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6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62" s="45" t="n">
        <f aca="false">IF(OR(NOT(Tasks[[#This Row],[_IsLeaf]]=1),Tasks[[#This Row],[_Res4]]=""),0,IF(ISNA(MATCH(Tasks[[#This Row],[_Res4]],res_Name,0)),0,N(Tasks[[#This Row],[Duration]])*HoursPerDay*IF(Tasks[[#This Row],[_Res4Units]]="",DefaultUnits,Tasks[[#This Row],[_Res4Units]])))</f>
        <v>0</v>
      </c>
      <c r="DN162" s="45" t="n">
        <f aca="false">IF(Tasks[[#This Row],[_Res4Work]]=0,0,Tasks[[#This Row],[_Res4Work]]*IFERROR(INDEX(res_Rate,MATCH(Tasks[[#This Row],[_Res4]],res_Name,0)),0))</f>
        <v>0</v>
      </c>
      <c r="DO162" s="45" t="n">
        <f aca="false">IF(AND(AND(Tasks[[#This Row],[_IsLeaf]]=1,Tasks[[#This Row],[_LeafTotalWork]]&gt;0),Tasks[[#This Row],[_Res4Work]]&gt;0),Tasks[[#This Row],[_Res4Work]]/(Tasks[[#This Row],[_FinishWorkday]]-Tasks[[#This Row],[_StartWorkday]]+1),0)</f>
        <v>0</v>
      </c>
      <c r="DP162" s="45" t="n">
        <f aca="false">Tasks[[#This Row],[_Res4WorkPerWD]]*MAX(0,Tasks[[#This Row],[_StartWorkday]]-1)</f>
        <v>0</v>
      </c>
      <c r="DQ162" s="45" t="n">
        <f aca="false">Tasks[[#This Row],[_Res4Work]]*Tasks[[#This Row],[_LeafProgress]]</f>
        <v>0</v>
      </c>
      <c r="DR162" s="45" t="n">
        <f aca="false">IF(Tasks[[#This Row],[_LeafTotalCost]]=0,0,Tasks[[#This Row],[_LeafAC]]*Tasks[[#This Row],[_Res4Cost]]/Tasks[[#This Row],[_LeafTotalCost]])</f>
        <v>0</v>
      </c>
      <c r="DS162" s="45" t="n">
        <f aca="false">IF(ISNUMBER(Tasks[[#This Row],[% Complete]]),Tasks[[#This Row],[% Complete]],IF(Tasks[[#This Row],[Stage]]="",0,IFERROR(INDEX(stg_Pct,MATCH(Tasks[[#This Row],[Stage]],stg_Name,0)),0)))</f>
        <v>0</v>
      </c>
      <c r="DT162" s="45" t="n">
        <f aca="false">IF(NOT(Tasks[[#This Row],[_IsLeaf]]=1),0,IF(N(Tasks[[#This Row],[Actual Finish]])&gt;0,1,MIN(1,Tasks[[#This Row],[_Pct]])))</f>
        <v>0</v>
      </c>
      <c r="DU162" s="45" t="n">
        <f aca="false">IF(OR(NOT(Tasks[[#This Row],[_IsLeaf]]=1),Tasks[[#This Row],[_Resource1]]=""),0,IF(ISNA(MATCH(Tasks[[#This Row],[_Resource1]],res_Name,0)),0,N(Tasks[[#This Row],[Duration]])*HoursPerDay*IF(Tasks[[#This Row],[_Units1]]="",DefaultUnits,Tasks[[#This Row],[_Units1]])))</f>
        <v>0</v>
      </c>
      <c r="DV162" s="45" t="n">
        <f aca="false">IF(Tasks[[#This Row],[_LeafWork]]=0,0,Tasks[[#This Row],[_LeafWork]]*IFERROR(INDEX(res_Rate,MATCH(Tasks[[#This Row],[_Resource1]],res_Name,0)),0))</f>
        <v>0</v>
      </c>
      <c r="DW162" s="45" t="n">
        <f aca="false">Tasks[[#This Row],[_LeafWork]]+Tasks[[#This Row],[_Res2Work]]+Tasks[[#This Row],[_Res3Work]]+Tasks[[#This Row],[_Res4Work]]</f>
        <v>0</v>
      </c>
      <c r="DX162" s="45" t="n">
        <f aca="false">Tasks[[#This Row],[_LeafCost]]+Tasks[[#This Row],[_Res2Cost]]+Tasks[[#This Row],[_Res3Cost]]+Tasks[[#This Row],[_Res4Cost]]</f>
        <v>0</v>
      </c>
      <c r="DY162" s="45" t="n">
        <f aca="false">IF(Tasks[[#This Row],[_LeafTotalCost]]=0,Tasks[[#This Row],[_LeafAC]],Tasks[[#This Row],[_LeafAC]]*Tasks[[#This Row],[_LeafCost]]/Tasks[[#This Row],[_LeafTotalCost]])</f>
        <v>0</v>
      </c>
      <c r="DZ16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6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6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6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6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6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6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6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62" s="45" t="n">
        <f aca="false">IF(NOT(Tasks[[#This Row],[_IsLeaf]]=1),0,MAX(_xlfn.MAXIFS(Tasks[_Row],Tasks[_Pred1UID],Tasks[[#This Row],[UID]]),_xlfn.MAXIFS(Tasks[_Row],Tasks[_Pred2UID],Tasks[[#This Row],[UID]]),_xlfn.MAXIFS(Tasks[_Row],Tasks[_Pred3UID],Tasks[[#This Row],[UID]]),_xlfn.MAXIFS(Tasks[_Row],Tasks[_Pred4UID],Tasks[[#This Row],[UID]])))</f>
        <v>0</v>
      </c>
      <c r="EI16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6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62" s="74" t="str">
        <f aca="false">IF(NOT(Tasks[[#This Row],[_IsLeaf]]=1),"",IF(N(Tasks[[#This Row],[Duration]])&lt;=0,Tasks[[#This Row],[_LeafLateFinish]],WORKDAY.INTL(Tasks[[#This Row],[_LeafLateFinish]],-(Tasks[[#This Row],[Duration]]-1),WorkWeek,Holidays)))</f>
        <v/>
      </c>
      <c r="EL16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62" s="73" t="b">
        <f aca="false">AND(Tasks[[#This Row],[_IsLeaf]]=1,Tasks[[#This Row],[_LeafProgress]]&lt;1,N(Tasks[[#This Row],[_LeafTotalSlack]])&lt;=CriticalSlackDays)</f>
        <v>0</v>
      </c>
      <c r="EN162" s="45" t="n">
        <f aca="false">IF(AND(Tasks[[#This Row],[_IsLeaf]]=1,Tasks[[#This Row],[_ConstraintCode]]=1,Tasks[[#This Row],[Mode]]&lt;&gt;"Manual",N(Tasks[[#This Row],[Actual Start]])=0),MAX(0,N(Tasks[[#This Row],[Free Slack]])),0)</f>
        <v>0</v>
      </c>
      <c r="EO162" s="74" t="str">
        <f aca="false">IF(NOT(Tasks[[#This Row],[_IsLeaf]]=1),"",IF(Tasks[[#This Row],[_AlapShift]]=0,Tasks[[#This Row],[_LeafCalcStart]],WORKDAY.INTL(Tasks[[#This Row],[_LeafCalcStart]],Tasks[[#This Row],[_AlapShift]],WorkWeek,Holidays)))</f>
        <v/>
      </c>
      <c r="EP162" s="74" t="str">
        <f aca="false">IF(NOT(Tasks[[#This Row],[_IsLeaf]]=1),"",IF(Tasks[[#This Row],[_AlapShift]]=0,Tasks[[#This Row],[_LeafCalcFinish]],WORKDAY.INTL(Tasks[[#This Row],[_LeafCalcFinish]],Tasks[[#This Row],[_AlapShift]],WorkWeek,Holidays)))</f>
        <v/>
      </c>
      <c r="EQ162" s="74" t="str">
        <f aca="false">IF(NOT(Tasks[[#This Row],[_IsLeaf]]=1),"",IF(Tasks[[#This Row],[_AlapShift]]=0,Tasks[[#This Row],[_LeafFcstStart]],WORKDAY.INTL(Tasks[[#This Row],[_LeafFcstStart]],Tasks[[#This Row],[_AlapShift]],WorkWeek,Holidays)))</f>
        <v/>
      </c>
      <c r="ER162" s="74" t="str">
        <f aca="false">IF(NOT(Tasks[[#This Row],[_IsLeaf]]=1),"",IF(Tasks[[#This Row],[_AlapShift]]=0,Tasks[[#This Row],[_LeafFcstFinish]],WORKDAY.INTL(Tasks[[#This Row],[_LeafFcstFinish]],Tasks[[#This Row],[_AlapShift]],WorkWeek,Holidays)))</f>
        <v/>
      </c>
      <c r="ES162" s="74" t="str">
        <f aca="false">IF(Tasks[[#This Row],[Task Name]]="","",IF(Tasks[[#This Row],[_IsSummary]],MIN(INDEX(Tasks[_ShownCalcStart],Tasks[[#This Row],[_Row]]+1):INDEX(Tasks[_ShownCalcStart],Tasks[[#This Row],[_Row]]+Tasks[[#This Row],[_Descendants]])),Tasks[[#This Row],[_ShownCalcStart]]))</f>
        <v/>
      </c>
      <c r="ET162" s="74" t="str">
        <f aca="false">IF(Tasks[[#This Row],[Task Name]]="","",IF(Tasks[[#This Row],[_IsSummary]],MAX(INDEX(Tasks[_ShownCalcFinish],Tasks[[#This Row],[_Row]]+1):INDEX(Tasks[_ShownCalcFinish],Tasks[[#This Row],[_Row]]+Tasks[[#This Row],[_Descendants]])),Tasks[[#This Row],[_ShownCalcFinish]]))</f>
        <v/>
      </c>
      <c r="EU16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6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6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6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6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6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6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6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6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6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6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6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62" s="45" t="n">
        <f aca="false">IF(AND(Tasks[[#This Row],[_IsLeaf]]=1,Tasks[[#This Row],[_LeafTotalWork]]&gt;0),NETWORKDAYS.INTL(ProjectStart,Tasks[[#This Row],[_ShownFcstStart]],WorkWeek,Holidays),0)</f>
        <v>0</v>
      </c>
      <c r="FH162" s="45" t="n">
        <f aca="false">IF(AND(Tasks[[#This Row],[_IsLeaf]]=1,Tasks[[#This Row],[_LeafTotalWork]]&gt;0),MAX(Tasks[[#This Row],[_StartWorkday]],NETWORKDAYS.INTL(ProjectStart,Tasks[[#This Row],[_ShownFcstFinish]],WorkWeek,Holidays)),0)</f>
        <v>0</v>
      </c>
      <c r="FI162" s="45" t="n">
        <f aca="false">IF(AND(Tasks[[#This Row],[_IsLeaf]]=1,Tasks[[#This Row],[_LeafTotalWork]]&gt;0),Tasks[[#This Row],[_LeafWork]]/(Tasks[[#This Row],[_FinishWorkday]]-Tasks[[#This Row],[_StartWorkday]]+1),0)</f>
        <v>0</v>
      </c>
      <c r="FJ162" s="45" t="n">
        <f aca="false">Tasks[[#This Row],[_WorkPerWorkday]]*(Tasks[[#This Row],[_StartWorkday]]-1)</f>
        <v>-0</v>
      </c>
      <c r="FK162" s="45" t="n">
        <f aca="false">IF(Tasks[[#This Row],[_IsLeaf]]=1,MAX(N(Tasks[[#This Row],[Duration]]),0.1),0)</f>
        <v>0</v>
      </c>
      <c r="FL162" s="45" t="n">
        <f aca="false">Tasks[[#This Row],[_WeightDur]]*Tasks[[#This Row],[_LeafProgress]]</f>
        <v>0</v>
      </c>
      <c r="FM16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62" s="45" t="str">
        <f aca="false">IF(AND(Tasks[[#This Row],[_IsLeaf]]=1,N(Tasks[[#This Row],[Duration]])=0,Tasks[[#This Row],[_LeafProgress]]&lt;1),Tasks[[#This Row],[_ShownFcstFinish]]+Tasks[[#This Row],[_Row]]/100000,"")</f>
        <v/>
      </c>
      <c r="FO16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62" s="45" t="n">
        <f aca="false">IF(NOT(Tasks[[#This Row],[_IsLeaf]]=1),0,IF(Tasks[[#This Row],[Baseline Cost]]="",Tasks[[#This Row],[_LeafTotalCost]],N(Tasks[[#This Row],[Baseline Cost]])))</f>
        <v>0</v>
      </c>
      <c r="FQ162" s="45" t="n">
        <f aca="false">Tasks[[#This Row],[_LeafBudget]]*Tasks[[#This Row],[_PlannedPct]]</f>
        <v>0</v>
      </c>
      <c r="FR162" s="45" t="n">
        <f aca="false">Tasks[[#This Row],[_LeafBudget]]*Tasks[[#This Row],[_LeafProgress]]</f>
        <v>0</v>
      </c>
      <c r="FS162" s="45" t="n">
        <f aca="false">IF(NOT(Tasks[[#This Row],[_IsLeaf]]=1),0,IF(Tasks[[#This Row],[Actual Cost]]="",Tasks[[#This Row],[_LeafTotalCost]]*Tasks[[#This Row],[_LeafProgress]],N(Tasks[[#This Row],[Actual Cost]])))</f>
        <v>0</v>
      </c>
      <c r="FT162" s="45" t="str">
        <f aca="false">IF(Tasks[[#This Row],[Task Name]]="","",LEFT(Tasks[[#This Row],[WBS]],FIND(".",Tasks[[#This Row],[WBS]]&amp;".")-1))</f>
        <v/>
      </c>
      <c r="FU162" s="45" t="str">
        <f aca="false">IF(AND(Tasks[[#This Row],[Task Name]]&lt;&gt;"",Tasks[[#This Row],[_Level]]=1),Tasks[[#This Row],[_Row]],"")</f>
        <v/>
      </c>
      <c r="FV162" s="45" t="str">
        <f aca="false">IF(AND(Tasks[[#This Row],[_IsLeaf]]=1,N(Tasks[[#This Row],[Duration]])=0),Tasks[[#This Row],[Planned Finish]]+Tasks[[#This Row],[_Row]]/100000,"")</f>
        <v/>
      </c>
      <c r="FW162" s="45" t="str">
        <f aca="false">IF(AND(Tasks[[#This Row],[_IsLeaf]]=1,Tasks[[#This Row],[_LeafProgress]]&lt;1,OR(N(Tasks[[#This Row],[Finish Var]])&gt;0,Tasks[[#This Row],[Status]]="Late Start")),MAX(0,Tasks[[#This Row],[Finish Var]])+1-Tasks[[#This Row],[_Row]]/1000000,"")</f>
        <v/>
      </c>
      <c r="FX162" s="45" t="str">
        <f aca="false">IF(AND(Tasks[[#This Row],[_IsLeaf]]=1,N(Tasks[[#This Row],[Actual Start]])=0,Tasks[[#This Row],[_ShownFcstStart]]&gt;=StatusDate,Tasks[[#This Row],[_ShownFcstStart]]&lt;=LookaheadEnd),Tasks[[#This Row],[_ShownFcstStart]]+Tasks[[#This Row],[_Row]]/100000,"")</f>
        <v/>
      </c>
      <c r="FY162" s="45" t="str">
        <f aca="false">IF(AND(Tasks[[#This Row],[_IsLeaf]]=1,Tasks[[#This Row],[_LeafProgress]]&lt;1,Tasks[[#This Row],[_ShownFcstFinish]]&gt;=StatusDate,Tasks[[#This Row],[_ShownFcstFinish]]&lt;=LookaheadEnd),Tasks[[#This Row],[_ShownFcstFinish]]+Tasks[[#This Row],[_Row]]/100000,"")</f>
        <v/>
      </c>
      <c r="FZ162" s="45" t="str">
        <f aca="false">IF(Tasks[[#This Row],[_LeafCritical]],Tasks[[#This Row],[_ShownFcstStart]]+Tasks[[#This Row],[_Row]]/100000,"")</f>
        <v/>
      </c>
      <c r="GA162" s="45" t="n">
        <f aca="false">Tasks[[#This Row],[_LeafWork]]*Tasks[[#This Row],[_LeafProgress]]</f>
        <v>0</v>
      </c>
      <c r="GB162" s="74" t="str">
        <f aca="false">IF(AND(Tasks[[#This Row],[_IsLeaf]]=1,Tasks[[#This Row],[_LeafProgress]]&gt;=1),IF(N(Tasks[[#This Row],[Actual Finish]])&gt;0,Tasks[[#This Row],[Actual Finish]],Tasks[[#This Row],[_ShownFcstFinish]]),"")</f>
        <v/>
      </c>
    </row>
    <row r="163" customFormat="false" ht="15" hidden="false" customHeight="false" outlineLevel="0" collapsed="false">
      <c r="A163" s="67" t="str">
        <f aca="false">IF(Tasks[[#This Row],[Task Name]]="","",COUNTA(Tasks[[#Headers],[Task Name]]:Tasks[[#This Row],[Task Name]])-1)</f>
        <v/>
      </c>
      <c r="B163" s="21" t="n">
        <v>158</v>
      </c>
      <c r="C16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21"/>
      <c r="E163" s="22"/>
      <c r="F163" s="21"/>
      <c r="G163" s="22"/>
      <c r="H163" s="22"/>
      <c r="I163" s="22"/>
      <c r="J163" s="7"/>
      <c r="K163" s="7"/>
      <c r="L163" s="22"/>
      <c r="M163" s="58" t="str">
        <f aca="false">IF(Tasks[[#This Row],[Task Name]]="","",IF(Tasks[[#This Row],[_IsSummary]],MIN(INDEX(Tasks[_ShownFcstStart],Tasks[[#This Row],[_Row]]+1):INDEX(Tasks[_ShownFcstStart],Tasks[[#This Row],[_Row]]+Tasks[[#This Row],[_Descendants]])),Tasks[[#This Row],[_ShownFcstStart]]))</f>
        <v/>
      </c>
      <c r="N163" s="58" t="str">
        <f aca="false">IF(Tasks[[#This Row],[Task Name]]="","",IF(Tasks[[#This Row],[_IsSummary]],MAX(INDEX(Tasks[_ShownFcstFinish],Tasks[[#This Row],[_Row]]+1):INDEX(Tasks[_ShownFcstFinish],Tasks[[#This Row],[_Row]]+Tasks[[#This Row],[_Descendants]])),Tasks[[#This Row],[_ShownFcstFinish]]))</f>
        <v/>
      </c>
      <c r="O163" s="20" t="str">
        <f aca="false">IF(Tasks[[#This Row],[Task Name]]="","",IF(Tasks[[#This Row],[Progress]]&gt;=1,"Complete",IF(OR(N(Tasks[[#This Row],[Actual Start]])&gt;0,Tasks[[#This Row],[Progress]]&gt;0),IF(Tasks[[#This Row],[Finish Var]]&gt;0,"Behind","In Progress"),IF(Tasks[[#This Row],[Planned Start]]&lt;StatusDate,"Late Start","Not Started"))))</f>
        <v/>
      </c>
      <c r="P163" s="20" t="str">
        <f aca="false">IF(Tasks[[#This Row],[Task Name]]="","",IF(IF(Tasks[[#This Row],[_IsSummary]],COUNTIF(INDEX(Tasks[_LeafCritical],Tasks[[#This Row],[_Row]]+1):INDEX(Tasks[_LeafCritical],Tasks[[#This Row],[_Row]]+Tasks[[#This Row],[_Descendants]]),TRUE())&gt;0,Tasks[[#This Row],[_LeafCritical]]),"Yes",""))</f>
        <v/>
      </c>
      <c r="Q16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63" s="67" t="str">
        <f aca="false">IF(Tasks[[#This Row],[Task Name]]="","",IF(Tasks[[#This Row],[_Level]]&lt;=OutlineShowLevel,"Yes","No"))</f>
        <v/>
      </c>
      <c r="S163" s="7"/>
      <c r="T163" s="21"/>
      <c r="U163" s="22"/>
      <c r="V163" s="7"/>
      <c r="W163" s="67" t="str">
        <f aca="false">IF(Tasks[[#This Row],[Task Name]]="","",IF(Tasks[[#This Row],[Finish]]&gt;=Tasks[[#This Row],[Planned Finish]],NETWORKDAYS.INTL(Tasks[[#This Row],[Planned Finish]],Tasks[[#This Row],[Finish]],WorkWeek,Holidays)-1,1-NETWORKDAYS.INTL(Tasks[[#This Row],[Finish]],Tasks[[#This Row],[Planned Finish]],WorkWeek,Holidays)))</f>
        <v/>
      </c>
      <c r="X163" s="58" t="str">
        <f aca="false">IF(Tasks[[#This Row],[Task Name]]="","",IF(N(Tasks[[#This Row],[Baseline Start]])&gt;0,Tasks[[#This Row],[Baseline Start]],Tasks[[#This Row],[_CalcStart]]))</f>
        <v/>
      </c>
      <c r="Y163" s="58" t="str">
        <f aca="false">IF(Tasks[[#This Row],[Task Name]]="","",IF(N(Tasks[[#This Row],[Baseline Finish]])&gt;0,Tasks[[#This Row],[Baseline Finish]],Tasks[[#This Row],[_CalcFinish]]))</f>
        <v/>
      </c>
      <c r="Z163" s="67" t="str">
        <f aca="false">IF(Tasks[[#This Row],[Task Name]]="","",IF(Tasks[[#This Row],[Start]]&gt;=Tasks[[#This Row],[Planned Start]],NETWORKDAYS.INTL(Tasks[[#This Row],[Planned Start]],Tasks[[#This Row],[Start]],WorkWeek,Holidays)-1,1-NETWORKDAYS.INTL(Tasks[[#This Row],[Start]],Tasks[[#This Row],[Planned Start]],WorkWeek,Holidays)))</f>
        <v/>
      </c>
      <c r="AA163" s="58" t="str">
        <f aca="false">IF(Tasks[[#This Row],[Task Name]]="","",IF(Tasks[[#This Row],[_IsSummary]],MIN(INDEX(Tasks[_LeafLateStart],Tasks[[#This Row],[_Row]]+1):INDEX(Tasks[_LeafLateStart],Tasks[[#This Row],[_Row]]+Tasks[[#This Row],[_Descendants]])),Tasks[[#This Row],[_LeafLateStart]]))</f>
        <v/>
      </c>
      <c r="AB163" s="58" t="str">
        <f aca="false">IF(Tasks[[#This Row],[Task Name]]="","",IF(Tasks[[#This Row],[_IsSummary]],MAX(INDEX(Tasks[_LeafLateFinish],Tasks[[#This Row],[_Row]]+1):INDEX(Tasks[_LeafLateFinish],Tasks[[#This Row],[_Row]]+Tasks[[#This Row],[_Descendants]])),Tasks[[#This Row],[_LeafLateFinish]]))</f>
        <v/>
      </c>
      <c r="AC163" s="67" t="str">
        <f aca="false">IF(Tasks[[#This Row],[Task Name]]="","",IF(Tasks[[#This Row],[_IsSummary]],MIN(INDEX(Tasks[_LeafTotalSlack],Tasks[[#This Row],[_Row]]+1):INDEX(Tasks[_LeafTotalSlack],Tasks[[#This Row],[_Row]]+Tasks[[#This Row],[_Descendants]])),Tasks[[#This Row],[_LeafTotalSlack]]))</f>
        <v/>
      </c>
      <c r="AD16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6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6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63" s="60"/>
      <c r="AH16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6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63" s="69" t="str">
        <f aca="false">IF(Tasks[[#This Row],[Task Name]]="","",IF(Tasks[[#This Row],[_IsSummary]],SUM(INDEX(Tasks[_LeafTotalWork],Tasks[[#This Row],[_Row]]+1):INDEX(Tasks[_LeafTotalWork],Tasks[[#This Row],[_Row]]+Tasks[[#This Row],[_Descendants]])),Tasks[[#This Row],[_LeafTotalWork]]))</f>
        <v/>
      </c>
      <c r="AK16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63" s="70" t="str">
        <f aca="false">IF(Tasks[[#This Row],[Task Name]]="","",IF(Tasks[[#This Row],[_IsSummary]],SUM(INDEX(Tasks[_LeafTotalCost],Tasks[[#This Row],[_Row]]+1):INDEX(Tasks[_LeafTotalCost],Tasks[[#This Row],[_Row]]+Tasks[[#This Row],[_Descendants]])),Tasks[[#This Row],[_LeafTotalCost]]))</f>
        <v/>
      </c>
      <c r="AM163" s="71"/>
      <c r="AN163" s="20" t="str">
        <f aca="false">IF(OR(Tasks[[#This Row],[Task Name]]="",Tasks[[#This Row],[Baseline Duration]]=""),"",Tasks[[#This Row],[BL Source Duration]]-N(Tasks[[#This Row],[Baseline Duration]]))</f>
        <v/>
      </c>
      <c r="AO163" s="69" t="str">
        <f aca="false">IF(OR(Tasks[[#This Row],[Task Name]]="",Tasks[[#This Row],[Baseline Work]]=""),"",Tasks[[#This Row],[Work]]-N(Tasks[[#This Row],[Baseline Work]]))</f>
        <v/>
      </c>
      <c r="AP163" s="70" t="str">
        <f aca="false">IF(OR(Tasks[[#This Row],[Task Name]]="",Tasks[[#This Row],[Baseline Cost]]=""),"",Tasks[[#This Row],[Cost]]-N(Tasks[[#This Row],[Baseline Cost]]))</f>
        <v/>
      </c>
      <c r="AQ163" s="58" t="str">
        <f aca="false">IF(Tasks[[#This Row],[Task Name]]="","",Tasks[[#This Row],[Start]])</f>
        <v/>
      </c>
      <c r="AR163" s="58" t="str">
        <f aca="false">IF(Tasks[[#This Row],[Task Name]]="","",Tasks[[#This Row],[Finish]])</f>
        <v/>
      </c>
      <c r="AS163" s="67" t="str">
        <f aca="false">IF(Tasks[[#This Row],[Task Name]]="","",IF(Tasks[[#This Row],[_IsSummary]],NETWORKDAYS.INTL(Tasks[[#This Row],[Start]],Tasks[[#This Row],[Finish]],WorkWeek,Holidays),N(Tasks[[#This Row],[Duration]])))</f>
        <v/>
      </c>
      <c r="AT163" s="69" t="str">
        <f aca="false">IF(Tasks[[#This Row],[Task Name]]="","",Tasks[[#This Row],[Work]])</f>
        <v/>
      </c>
      <c r="AU163" s="70" t="str">
        <f aca="false">IF(Tasks[[#This Row],[Task Name]]="","",Tasks[[#This Row],[Cost]])</f>
        <v/>
      </c>
      <c r="AV163" s="7"/>
      <c r="AW163" s="7"/>
      <c r="AX163" s="21"/>
      <c r="AY163" s="72"/>
      <c r="AZ163" s="71"/>
      <c r="BA163" s="70" t="str">
        <f aca="false">IF(Tasks[[#This Row],[Task Name]]="","",IF(Tasks[[#This Row],[_IsSummary]],SUM(INDEX(Tasks[_LeafEV],Tasks[[#This Row],[_Row]]+1):INDEX(Tasks[_LeafEV],Tasks[[#This Row],[_Row]]+Tasks[[#This Row],[_Descendants]])),Tasks[[#This Row],[_LeafEV]]))</f>
        <v/>
      </c>
      <c r="BB163" s="70" t="str">
        <f aca="false">IF(Tasks[[#This Row],[Task Name]]="","",IF(Tasks[[#This Row],[_IsSummary]],SUM(INDEX(Tasks[_LeafBudget],Tasks[[#This Row],[_Row]]+1):INDEX(Tasks[_LeafBudget],Tasks[[#This Row],[_Row]]+Tasks[[#This Row],[_Descendants]])),Tasks[[#This Row],[_LeafBudget]]))</f>
        <v/>
      </c>
      <c r="BC163" s="70" t="str">
        <f aca="false">IF(Tasks[[#This Row],[Task Name]]="","",IF(Tasks[[#This Row],[_IsSummary]],SUM(INDEX(Tasks[_LeafPV],Tasks[[#This Row],[_Row]]+1):INDEX(Tasks[_LeafPV],Tasks[[#This Row],[_Row]]+Tasks[[#This Row],[_Descendants]])),Tasks[[#This Row],[_LeafPV]]))</f>
        <v/>
      </c>
      <c r="BD163" s="70" t="str">
        <f aca="false">IF(Tasks[[#This Row],[Task Name]]="","",IF(Tasks[[#This Row],[_IsSummary]],SUM(INDEX(Tasks[_LeafAC],Tasks[[#This Row],[_Row]]+1):INDEX(Tasks[_LeafAC],Tasks[[#This Row],[_Row]]+Tasks[[#This Row],[_Descendants]])),Tasks[[#This Row],[_LeafAC]]))</f>
        <v/>
      </c>
      <c r="BE163" s="45" t="str">
        <f aca="false">IF(Tasks[[#This Row],[Task Name]]="","",MAX(1,N(Tasks[[#This Row],[Level]])))</f>
        <v/>
      </c>
      <c r="BF163" s="45" t="n">
        <f aca="false">ROW()-ROW(Tasks[[#Headers],[ID]])</f>
        <v>158</v>
      </c>
      <c r="BG163" s="45" t="n">
        <f aca="false">IF(OR(Tasks[[#This Row],[Task Name]]="",Tasks[[#This Row],[_Level]]&lt;=1),0,IFERROR(LOOKUP(2,1/(Tasks[[#Headers],[_Level]]:Tasks[[#This Row],[_Level]]=Tasks[[#This Row],[_Level]]-1),ROW(Tasks[[#Headers],[_Level]]:Tasks[[#This Row],[_Level]])),0))</f>
        <v>0</v>
      </c>
      <c r="BH163" s="45" t="n">
        <f aca="false">IFERROR(N(INDEX(Tasks[_Level],Tasks[[#This Row],[_Row]]+1)),0)</f>
        <v>0</v>
      </c>
      <c r="BI163" s="73" t="b">
        <f aca="false">AND(Tasks[[#This Row],[Task Name]]&lt;&gt;"",Tasks[[#This Row],[_NextLevel]]&gt;Tasks[[#This Row],[_Level]])</f>
        <v>0</v>
      </c>
      <c r="BJ163" s="45" t="n">
        <f aca="false">IF(Tasks[[#This Row],[_IsSummary]],COUNTIF(Tasks[WBS],Tasks[[#This Row],[WBS]]&amp;".*"),0)</f>
        <v>0</v>
      </c>
      <c r="BK163" s="45" t="n">
        <f aca="false">IF(AND(Tasks[[#This Row],[Task Name]]&lt;&gt;"",NOT(Tasks[[#This Row],[_IsSummary]])),1,0)</f>
        <v>0</v>
      </c>
      <c r="BL163" s="45" t="n">
        <f aca="false">IF(N(Tasks[[#This Row],[_Pred1UID]])=0,0,IFERROR(MATCH(Tasks[[#This Row],[_Pred1UID]],Tasks[UID],0),-1))</f>
        <v>0</v>
      </c>
      <c r="BM163" s="45" t="n">
        <f aca="false">IF(N(Tasks[[#This Row],[_Pred2UID]])=0,0,IFERROR(MATCH(Tasks[[#This Row],[_Pred2UID]],Tasks[UID],0),-1))</f>
        <v>0</v>
      </c>
      <c r="BN163" s="45" t="n">
        <f aca="false">IF(N(Tasks[[#This Row],[_Pred3UID]])=0,0,IFERROR(MATCH(Tasks[[#This Row],[_Pred3UID]],Tasks[UID],0),-1))</f>
        <v>0</v>
      </c>
      <c r="BO163" s="45" t="n">
        <f aca="false">IF(N(Tasks[[#This Row],[_Pred4UID]])=0,0,IFERROR(MATCH(Tasks[[#This Row],[_Pred4UID]],Tasks[UID],0),-1))</f>
        <v>0</v>
      </c>
      <c r="BP16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6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63" s="74" t="n">
        <f aca="false">IF(OR(Tasks[[#This Row],[_ConstraintCode]]=2,Tasks[[#This Row],[_ConstraintCode]]=3,Tasks[[#This Row],[_ConstraintCode]]=4,Tasks[[#This Row],[_ConstraintCode]]=6),Tasks[[#This Row],[_ConstraintStart]],0)</f>
        <v>0</v>
      </c>
      <c r="BS163" s="74" t="n">
        <f aca="false">IF(OR(Tasks[[#This Row],[_ConstraintCode]]=2,Tasks[[#This Row],[_ConstraintCode]]=3,Tasks[[#This Row],[_ConstraintCode]]=5,Tasks[[#This Row],[_ConstraintCode]]=7),Tasks[[#This Row],[_ConstraintStart]],2958465)</f>
        <v>2958465</v>
      </c>
      <c r="BT16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63" s="74" t="str">
        <f aca="false">IF(NOT(Tasks[[#This Row],[_IsLeaf]]=1),"",IF(N(Tasks[[#This Row],[Duration]])&lt;=0,Tasks[[#This Row],[_LeafCalcStart]],WORKDAY.INTL(Tasks[[#This Row],[_LeafCalcStart]],Tasks[[#This Row],[Duration]]-1,WorkWeek,Holidays)))</f>
        <v/>
      </c>
      <c r="BV16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6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63" s="45" t="str">
        <f aca="false">IF(Tasks[[#This Row],[Predecessors]]="","",TRIM(MID(SUBSTITUTE(SUBSTITUTE(SUBSTITUTE(UPPER(Tasks[[#This Row],[Predecessors]]),";",",")," ",""),",",REPT(" ",99)),1,99)))</f>
        <v/>
      </c>
      <c r="BY163" s="45" t="str">
        <f aca="false">IF(Tasks[[#This Row],[_Pred1Text]]="","",IFERROR(VALUE(LEFT(Tasks[[#This Row],[_Pred1Text]],MIN(FIND("F",Tasks[[#This Row],[_Pred1Text]]&amp;"F"),FIND("S",Tasks[[#This Row],[_Pred1Text]]&amp;"S"),FIND("+",Tasks[[#This Row],[_Pred1Text]]&amp;"+"),FIND("-",Tasks[[#This Row],[_Pred1Text]]&amp;"-"))-1)),""))</f>
        <v/>
      </c>
      <c r="BZ16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6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63" s="45" t="str">
        <f aca="false">IF(Tasks[[#This Row],[_Pred1Text]]="","",TRIM(MID(SUBSTITUTE(SUBSTITUTE(SUBSTITUTE(UPPER(Tasks[[#This Row],[Predecessors]]),";",",")," ",""),",",REPT(" ",99)),100,99)))</f>
        <v/>
      </c>
      <c r="CC163" s="45" t="str">
        <f aca="false">IF(Tasks[[#This Row],[_Pred2Text]]="","",IFERROR(VALUE(LEFT(Tasks[[#This Row],[_Pred2Text]],MIN(FIND("F",Tasks[[#This Row],[_Pred2Text]]&amp;"F"),FIND("S",Tasks[[#This Row],[_Pred2Text]]&amp;"S"),FIND("+",Tasks[[#This Row],[_Pred2Text]]&amp;"+"),FIND("-",Tasks[[#This Row],[_Pred2Text]]&amp;"-"))-1)),""))</f>
        <v/>
      </c>
      <c r="CD16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6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63" s="45" t="str">
        <f aca="false">IF(Tasks[[#This Row],[_Pred2Text]]="","",TRIM(MID(SUBSTITUTE(SUBSTITUTE(SUBSTITUTE(UPPER(Tasks[[#This Row],[Predecessors]]),";",",")," ",""),",",REPT(" ",99)),199,99)))</f>
        <v/>
      </c>
      <c r="CG163" s="45" t="str">
        <f aca="false">IF(Tasks[[#This Row],[_Pred3Text]]="","",IFERROR(VALUE(LEFT(Tasks[[#This Row],[_Pred3Text]],MIN(FIND("F",Tasks[[#This Row],[_Pred3Text]]&amp;"F"),FIND("S",Tasks[[#This Row],[_Pred3Text]]&amp;"S"),FIND("+",Tasks[[#This Row],[_Pred3Text]]&amp;"+"),FIND("-",Tasks[[#This Row],[_Pred3Text]]&amp;"-"))-1)),""))</f>
        <v/>
      </c>
      <c r="CH16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6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63" s="45" t="str">
        <f aca="false">IF(Tasks[[#This Row],[_Pred3Text]]="","",TRIM(MID(SUBSTITUTE(SUBSTITUTE(SUBSTITUTE(UPPER(Tasks[[#This Row],[Predecessors]]),";",",")," ",""),",",REPT(" ",99)),298,99)))</f>
        <v/>
      </c>
      <c r="CK163" s="45" t="str">
        <f aca="false">IF(Tasks[[#This Row],[_Pred4Text]]="","",IFERROR(VALUE(LEFT(Tasks[[#This Row],[_Pred4Text]],MIN(FIND("F",Tasks[[#This Row],[_Pred4Text]]&amp;"F"),FIND("S",Tasks[[#This Row],[_Pred4Text]]&amp;"S"),FIND("+",Tasks[[#This Row],[_Pred4Text]]&amp;"+"),FIND("-",Tasks[[#This Row],[_Pred4Text]]&amp;"-"))-1)),""))</f>
        <v/>
      </c>
      <c r="CL16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6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63" s="45" t="str">
        <f aca="false">IF(OR(Tasks[[#This Row],[Task Name]]="",Tasks[[#This Row],[Resources]]=""),"",TRIM(MID(SUBSTITUTE(Tasks[[#This Row],[Resources]],",",REPT(" ",99)),1,99)))</f>
        <v/>
      </c>
      <c r="CO163" s="45" t="str">
        <f aca="false">IF(Tasks[[#This Row],[_Res1Text]]="","",TRIM(MID(SUBSTITUTE(Tasks[[#This Row],[Resources]],",",REPT(" ",99)),100,99)))</f>
        <v/>
      </c>
      <c r="CP163" s="45" t="str">
        <f aca="false">IF(Tasks[[#This Row],[_Res2Text]]="","",TRIM(MID(SUBSTITUTE(Tasks[[#This Row],[Resources]],",",REPT(" ",99)),199,99)))</f>
        <v/>
      </c>
      <c r="CQ163" s="45" t="str">
        <f aca="false">IF(Tasks[[#This Row],[_Res3Text]]="","",TRIM(MID(SUBSTITUTE(Tasks[[#This Row],[Resources]],",",REPT(" ",99)),298,99)))</f>
        <v/>
      </c>
      <c r="CR16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6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3" s="45" t="n">
        <f aca="false">IF(NOT(Tasks[[#This Row],[_IsLeaf]]=1),0,(Tasks[[#This Row],[_Resource1]]&lt;&gt;"")+(Tasks[[#This Row],[_Res2]]&lt;&gt;"")+(Tasks[[#This Row],[_Res3]]&lt;&gt;"")+(Tasks[[#This Row],[_Res4]]&lt;&gt;""))</f>
        <v>0</v>
      </c>
      <c r="CU16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6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3" s="45" t="n">
        <f aca="false">IF(OR(NOT(Tasks[[#This Row],[_IsLeaf]]=1),Tasks[[#This Row],[_Res2]]=""),0,IF(ISNA(MATCH(Tasks[[#This Row],[_Res2]],res_Name,0)),0,N(Tasks[[#This Row],[Duration]])*HoursPerDay*IF(Tasks[[#This Row],[_Res2Units]]="",DefaultUnits,Tasks[[#This Row],[_Res2Units]])))</f>
        <v>0</v>
      </c>
      <c r="CX163" s="45" t="n">
        <f aca="false">IF(Tasks[[#This Row],[_Res2Work]]=0,0,Tasks[[#This Row],[_Res2Work]]*IFERROR(INDEX(res_Rate,MATCH(Tasks[[#This Row],[_Res2]],res_Name,0)),0))</f>
        <v>0</v>
      </c>
      <c r="CY163" s="45" t="n">
        <f aca="false">IF(AND(AND(Tasks[[#This Row],[_IsLeaf]]=1,Tasks[[#This Row],[_LeafTotalWork]]&gt;0),Tasks[[#This Row],[_Res2Work]]&gt;0),Tasks[[#This Row],[_Res2Work]]/(Tasks[[#This Row],[_FinishWorkday]]-Tasks[[#This Row],[_StartWorkday]]+1),0)</f>
        <v>0</v>
      </c>
      <c r="CZ163" s="45" t="n">
        <f aca="false">Tasks[[#This Row],[_Res2WorkPerWD]]*MAX(0,Tasks[[#This Row],[_StartWorkday]]-1)</f>
        <v>0</v>
      </c>
      <c r="DA163" s="45" t="n">
        <f aca="false">Tasks[[#This Row],[_Res2Work]]*Tasks[[#This Row],[_LeafProgress]]</f>
        <v>0</v>
      </c>
      <c r="DB163" s="45" t="n">
        <f aca="false">IF(Tasks[[#This Row],[_LeafTotalCost]]=0,0,Tasks[[#This Row],[_LeafAC]]*Tasks[[#This Row],[_Res2Cost]]/Tasks[[#This Row],[_LeafTotalCost]])</f>
        <v>0</v>
      </c>
      <c r="DC16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6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63" s="45" t="n">
        <f aca="false">IF(OR(NOT(Tasks[[#This Row],[_IsLeaf]]=1),Tasks[[#This Row],[_Res3]]=""),0,IF(ISNA(MATCH(Tasks[[#This Row],[_Res3]],res_Name,0)),0,N(Tasks[[#This Row],[Duration]])*HoursPerDay*IF(Tasks[[#This Row],[_Res3Units]]="",DefaultUnits,Tasks[[#This Row],[_Res3Units]])))</f>
        <v>0</v>
      </c>
      <c r="DF163" s="45" t="n">
        <f aca="false">IF(Tasks[[#This Row],[_Res3Work]]=0,0,Tasks[[#This Row],[_Res3Work]]*IFERROR(INDEX(res_Rate,MATCH(Tasks[[#This Row],[_Res3]],res_Name,0)),0))</f>
        <v>0</v>
      </c>
      <c r="DG163" s="45" t="n">
        <f aca="false">IF(AND(AND(Tasks[[#This Row],[_IsLeaf]]=1,Tasks[[#This Row],[_LeafTotalWork]]&gt;0),Tasks[[#This Row],[_Res3Work]]&gt;0),Tasks[[#This Row],[_Res3Work]]/(Tasks[[#This Row],[_FinishWorkday]]-Tasks[[#This Row],[_StartWorkday]]+1),0)</f>
        <v>0</v>
      </c>
      <c r="DH163" s="45" t="n">
        <f aca="false">Tasks[[#This Row],[_Res3WorkPerWD]]*MAX(0,Tasks[[#This Row],[_StartWorkday]]-1)</f>
        <v>0</v>
      </c>
      <c r="DI163" s="45" t="n">
        <f aca="false">Tasks[[#This Row],[_Res3Work]]*Tasks[[#This Row],[_LeafProgress]]</f>
        <v>0</v>
      </c>
      <c r="DJ163" s="45" t="n">
        <f aca="false">IF(Tasks[[#This Row],[_LeafTotalCost]]=0,0,Tasks[[#This Row],[_LeafAC]]*Tasks[[#This Row],[_Res3Cost]]/Tasks[[#This Row],[_LeafTotalCost]])</f>
        <v>0</v>
      </c>
      <c r="DK16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6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63" s="45" t="n">
        <f aca="false">IF(OR(NOT(Tasks[[#This Row],[_IsLeaf]]=1),Tasks[[#This Row],[_Res4]]=""),0,IF(ISNA(MATCH(Tasks[[#This Row],[_Res4]],res_Name,0)),0,N(Tasks[[#This Row],[Duration]])*HoursPerDay*IF(Tasks[[#This Row],[_Res4Units]]="",DefaultUnits,Tasks[[#This Row],[_Res4Units]])))</f>
        <v>0</v>
      </c>
      <c r="DN163" s="45" t="n">
        <f aca="false">IF(Tasks[[#This Row],[_Res4Work]]=0,0,Tasks[[#This Row],[_Res4Work]]*IFERROR(INDEX(res_Rate,MATCH(Tasks[[#This Row],[_Res4]],res_Name,0)),0))</f>
        <v>0</v>
      </c>
      <c r="DO163" s="45" t="n">
        <f aca="false">IF(AND(AND(Tasks[[#This Row],[_IsLeaf]]=1,Tasks[[#This Row],[_LeafTotalWork]]&gt;0),Tasks[[#This Row],[_Res4Work]]&gt;0),Tasks[[#This Row],[_Res4Work]]/(Tasks[[#This Row],[_FinishWorkday]]-Tasks[[#This Row],[_StartWorkday]]+1),0)</f>
        <v>0</v>
      </c>
      <c r="DP163" s="45" t="n">
        <f aca="false">Tasks[[#This Row],[_Res4WorkPerWD]]*MAX(0,Tasks[[#This Row],[_StartWorkday]]-1)</f>
        <v>0</v>
      </c>
      <c r="DQ163" s="45" t="n">
        <f aca="false">Tasks[[#This Row],[_Res4Work]]*Tasks[[#This Row],[_LeafProgress]]</f>
        <v>0</v>
      </c>
      <c r="DR163" s="45" t="n">
        <f aca="false">IF(Tasks[[#This Row],[_LeafTotalCost]]=0,0,Tasks[[#This Row],[_LeafAC]]*Tasks[[#This Row],[_Res4Cost]]/Tasks[[#This Row],[_LeafTotalCost]])</f>
        <v>0</v>
      </c>
      <c r="DS163" s="45" t="n">
        <f aca="false">IF(ISNUMBER(Tasks[[#This Row],[% Complete]]),Tasks[[#This Row],[% Complete]],IF(Tasks[[#This Row],[Stage]]="",0,IFERROR(INDEX(stg_Pct,MATCH(Tasks[[#This Row],[Stage]],stg_Name,0)),0)))</f>
        <v>0</v>
      </c>
      <c r="DT163" s="45" t="n">
        <f aca="false">IF(NOT(Tasks[[#This Row],[_IsLeaf]]=1),0,IF(N(Tasks[[#This Row],[Actual Finish]])&gt;0,1,MIN(1,Tasks[[#This Row],[_Pct]])))</f>
        <v>0</v>
      </c>
      <c r="DU163" s="45" t="n">
        <f aca="false">IF(OR(NOT(Tasks[[#This Row],[_IsLeaf]]=1),Tasks[[#This Row],[_Resource1]]=""),0,IF(ISNA(MATCH(Tasks[[#This Row],[_Resource1]],res_Name,0)),0,N(Tasks[[#This Row],[Duration]])*HoursPerDay*IF(Tasks[[#This Row],[_Units1]]="",DefaultUnits,Tasks[[#This Row],[_Units1]])))</f>
        <v>0</v>
      </c>
      <c r="DV163" s="45" t="n">
        <f aca="false">IF(Tasks[[#This Row],[_LeafWork]]=0,0,Tasks[[#This Row],[_LeafWork]]*IFERROR(INDEX(res_Rate,MATCH(Tasks[[#This Row],[_Resource1]],res_Name,0)),0))</f>
        <v>0</v>
      </c>
      <c r="DW163" s="45" t="n">
        <f aca="false">Tasks[[#This Row],[_LeafWork]]+Tasks[[#This Row],[_Res2Work]]+Tasks[[#This Row],[_Res3Work]]+Tasks[[#This Row],[_Res4Work]]</f>
        <v>0</v>
      </c>
      <c r="DX163" s="45" t="n">
        <f aca="false">Tasks[[#This Row],[_LeafCost]]+Tasks[[#This Row],[_Res2Cost]]+Tasks[[#This Row],[_Res3Cost]]+Tasks[[#This Row],[_Res4Cost]]</f>
        <v>0</v>
      </c>
      <c r="DY163" s="45" t="n">
        <f aca="false">IF(Tasks[[#This Row],[_LeafTotalCost]]=0,Tasks[[#This Row],[_LeafAC]],Tasks[[#This Row],[_LeafAC]]*Tasks[[#This Row],[_LeafCost]]/Tasks[[#This Row],[_LeafTotalCost]])</f>
        <v>0</v>
      </c>
      <c r="DZ16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6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6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6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6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6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6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6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63" s="45" t="n">
        <f aca="false">IF(NOT(Tasks[[#This Row],[_IsLeaf]]=1),0,MAX(_xlfn.MAXIFS(Tasks[_Row],Tasks[_Pred1UID],Tasks[[#This Row],[UID]]),_xlfn.MAXIFS(Tasks[_Row],Tasks[_Pred2UID],Tasks[[#This Row],[UID]]),_xlfn.MAXIFS(Tasks[_Row],Tasks[_Pred3UID],Tasks[[#This Row],[UID]]),_xlfn.MAXIFS(Tasks[_Row],Tasks[_Pred4UID],Tasks[[#This Row],[UID]])))</f>
        <v>0</v>
      </c>
      <c r="EI16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6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63" s="74" t="str">
        <f aca="false">IF(NOT(Tasks[[#This Row],[_IsLeaf]]=1),"",IF(N(Tasks[[#This Row],[Duration]])&lt;=0,Tasks[[#This Row],[_LeafLateFinish]],WORKDAY.INTL(Tasks[[#This Row],[_LeafLateFinish]],-(Tasks[[#This Row],[Duration]]-1),WorkWeek,Holidays)))</f>
        <v/>
      </c>
      <c r="EL16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63" s="73" t="b">
        <f aca="false">AND(Tasks[[#This Row],[_IsLeaf]]=1,Tasks[[#This Row],[_LeafProgress]]&lt;1,N(Tasks[[#This Row],[_LeafTotalSlack]])&lt;=CriticalSlackDays)</f>
        <v>0</v>
      </c>
      <c r="EN163" s="45" t="n">
        <f aca="false">IF(AND(Tasks[[#This Row],[_IsLeaf]]=1,Tasks[[#This Row],[_ConstraintCode]]=1,Tasks[[#This Row],[Mode]]&lt;&gt;"Manual",N(Tasks[[#This Row],[Actual Start]])=0),MAX(0,N(Tasks[[#This Row],[Free Slack]])),0)</f>
        <v>0</v>
      </c>
      <c r="EO163" s="74" t="str">
        <f aca="false">IF(NOT(Tasks[[#This Row],[_IsLeaf]]=1),"",IF(Tasks[[#This Row],[_AlapShift]]=0,Tasks[[#This Row],[_LeafCalcStart]],WORKDAY.INTL(Tasks[[#This Row],[_LeafCalcStart]],Tasks[[#This Row],[_AlapShift]],WorkWeek,Holidays)))</f>
        <v/>
      </c>
      <c r="EP163" s="74" t="str">
        <f aca="false">IF(NOT(Tasks[[#This Row],[_IsLeaf]]=1),"",IF(Tasks[[#This Row],[_AlapShift]]=0,Tasks[[#This Row],[_LeafCalcFinish]],WORKDAY.INTL(Tasks[[#This Row],[_LeafCalcFinish]],Tasks[[#This Row],[_AlapShift]],WorkWeek,Holidays)))</f>
        <v/>
      </c>
      <c r="EQ163" s="74" t="str">
        <f aca="false">IF(NOT(Tasks[[#This Row],[_IsLeaf]]=1),"",IF(Tasks[[#This Row],[_AlapShift]]=0,Tasks[[#This Row],[_LeafFcstStart]],WORKDAY.INTL(Tasks[[#This Row],[_LeafFcstStart]],Tasks[[#This Row],[_AlapShift]],WorkWeek,Holidays)))</f>
        <v/>
      </c>
      <c r="ER163" s="74" t="str">
        <f aca="false">IF(NOT(Tasks[[#This Row],[_IsLeaf]]=1),"",IF(Tasks[[#This Row],[_AlapShift]]=0,Tasks[[#This Row],[_LeafFcstFinish]],WORKDAY.INTL(Tasks[[#This Row],[_LeafFcstFinish]],Tasks[[#This Row],[_AlapShift]],WorkWeek,Holidays)))</f>
        <v/>
      </c>
      <c r="ES163" s="74" t="str">
        <f aca="false">IF(Tasks[[#This Row],[Task Name]]="","",IF(Tasks[[#This Row],[_IsSummary]],MIN(INDEX(Tasks[_ShownCalcStart],Tasks[[#This Row],[_Row]]+1):INDEX(Tasks[_ShownCalcStart],Tasks[[#This Row],[_Row]]+Tasks[[#This Row],[_Descendants]])),Tasks[[#This Row],[_ShownCalcStart]]))</f>
        <v/>
      </c>
      <c r="ET163" s="74" t="str">
        <f aca="false">IF(Tasks[[#This Row],[Task Name]]="","",IF(Tasks[[#This Row],[_IsSummary]],MAX(INDEX(Tasks[_ShownCalcFinish],Tasks[[#This Row],[_Row]]+1):INDEX(Tasks[_ShownCalcFinish],Tasks[[#This Row],[_Row]]+Tasks[[#This Row],[_Descendants]])),Tasks[[#This Row],[_ShownCalcFinish]]))</f>
        <v/>
      </c>
      <c r="EU16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6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6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6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6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6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6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6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6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6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6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6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63" s="45" t="n">
        <f aca="false">IF(AND(Tasks[[#This Row],[_IsLeaf]]=1,Tasks[[#This Row],[_LeafTotalWork]]&gt;0),NETWORKDAYS.INTL(ProjectStart,Tasks[[#This Row],[_ShownFcstStart]],WorkWeek,Holidays),0)</f>
        <v>0</v>
      </c>
      <c r="FH163" s="45" t="n">
        <f aca="false">IF(AND(Tasks[[#This Row],[_IsLeaf]]=1,Tasks[[#This Row],[_LeafTotalWork]]&gt;0),MAX(Tasks[[#This Row],[_StartWorkday]],NETWORKDAYS.INTL(ProjectStart,Tasks[[#This Row],[_ShownFcstFinish]],WorkWeek,Holidays)),0)</f>
        <v>0</v>
      </c>
      <c r="FI163" s="45" t="n">
        <f aca="false">IF(AND(Tasks[[#This Row],[_IsLeaf]]=1,Tasks[[#This Row],[_LeafTotalWork]]&gt;0),Tasks[[#This Row],[_LeafWork]]/(Tasks[[#This Row],[_FinishWorkday]]-Tasks[[#This Row],[_StartWorkday]]+1),0)</f>
        <v>0</v>
      </c>
      <c r="FJ163" s="45" t="n">
        <f aca="false">Tasks[[#This Row],[_WorkPerWorkday]]*(Tasks[[#This Row],[_StartWorkday]]-1)</f>
        <v>-0</v>
      </c>
      <c r="FK163" s="45" t="n">
        <f aca="false">IF(Tasks[[#This Row],[_IsLeaf]]=1,MAX(N(Tasks[[#This Row],[Duration]]),0.1),0)</f>
        <v>0</v>
      </c>
      <c r="FL163" s="45" t="n">
        <f aca="false">Tasks[[#This Row],[_WeightDur]]*Tasks[[#This Row],[_LeafProgress]]</f>
        <v>0</v>
      </c>
      <c r="FM16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63" s="45" t="str">
        <f aca="false">IF(AND(Tasks[[#This Row],[_IsLeaf]]=1,N(Tasks[[#This Row],[Duration]])=0,Tasks[[#This Row],[_LeafProgress]]&lt;1),Tasks[[#This Row],[_ShownFcstFinish]]+Tasks[[#This Row],[_Row]]/100000,"")</f>
        <v/>
      </c>
      <c r="FO16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63" s="45" t="n">
        <f aca="false">IF(NOT(Tasks[[#This Row],[_IsLeaf]]=1),0,IF(Tasks[[#This Row],[Baseline Cost]]="",Tasks[[#This Row],[_LeafTotalCost]],N(Tasks[[#This Row],[Baseline Cost]])))</f>
        <v>0</v>
      </c>
      <c r="FQ163" s="45" t="n">
        <f aca="false">Tasks[[#This Row],[_LeafBudget]]*Tasks[[#This Row],[_PlannedPct]]</f>
        <v>0</v>
      </c>
      <c r="FR163" s="45" t="n">
        <f aca="false">Tasks[[#This Row],[_LeafBudget]]*Tasks[[#This Row],[_LeafProgress]]</f>
        <v>0</v>
      </c>
      <c r="FS163" s="45" t="n">
        <f aca="false">IF(NOT(Tasks[[#This Row],[_IsLeaf]]=1),0,IF(Tasks[[#This Row],[Actual Cost]]="",Tasks[[#This Row],[_LeafTotalCost]]*Tasks[[#This Row],[_LeafProgress]],N(Tasks[[#This Row],[Actual Cost]])))</f>
        <v>0</v>
      </c>
      <c r="FT163" s="45" t="str">
        <f aca="false">IF(Tasks[[#This Row],[Task Name]]="","",LEFT(Tasks[[#This Row],[WBS]],FIND(".",Tasks[[#This Row],[WBS]]&amp;".")-1))</f>
        <v/>
      </c>
      <c r="FU163" s="45" t="str">
        <f aca="false">IF(AND(Tasks[[#This Row],[Task Name]]&lt;&gt;"",Tasks[[#This Row],[_Level]]=1),Tasks[[#This Row],[_Row]],"")</f>
        <v/>
      </c>
      <c r="FV163" s="45" t="str">
        <f aca="false">IF(AND(Tasks[[#This Row],[_IsLeaf]]=1,N(Tasks[[#This Row],[Duration]])=0),Tasks[[#This Row],[Planned Finish]]+Tasks[[#This Row],[_Row]]/100000,"")</f>
        <v/>
      </c>
      <c r="FW163" s="45" t="str">
        <f aca="false">IF(AND(Tasks[[#This Row],[_IsLeaf]]=1,Tasks[[#This Row],[_LeafProgress]]&lt;1,OR(N(Tasks[[#This Row],[Finish Var]])&gt;0,Tasks[[#This Row],[Status]]="Late Start")),MAX(0,Tasks[[#This Row],[Finish Var]])+1-Tasks[[#This Row],[_Row]]/1000000,"")</f>
        <v/>
      </c>
      <c r="FX163" s="45" t="str">
        <f aca="false">IF(AND(Tasks[[#This Row],[_IsLeaf]]=1,N(Tasks[[#This Row],[Actual Start]])=0,Tasks[[#This Row],[_ShownFcstStart]]&gt;=StatusDate,Tasks[[#This Row],[_ShownFcstStart]]&lt;=LookaheadEnd),Tasks[[#This Row],[_ShownFcstStart]]+Tasks[[#This Row],[_Row]]/100000,"")</f>
        <v/>
      </c>
      <c r="FY163" s="45" t="str">
        <f aca="false">IF(AND(Tasks[[#This Row],[_IsLeaf]]=1,Tasks[[#This Row],[_LeafProgress]]&lt;1,Tasks[[#This Row],[_ShownFcstFinish]]&gt;=StatusDate,Tasks[[#This Row],[_ShownFcstFinish]]&lt;=LookaheadEnd),Tasks[[#This Row],[_ShownFcstFinish]]+Tasks[[#This Row],[_Row]]/100000,"")</f>
        <v/>
      </c>
      <c r="FZ163" s="45" t="str">
        <f aca="false">IF(Tasks[[#This Row],[_LeafCritical]],Tasks[[#This Row],[_ShownFcstStart]]+Tasks[[#This Row],[_Row]]/100000,"")</f>
        <v/>
      </c>
      <c r="GA163" s="45" t="n">
        <f aca="false">Tasks[[#This Row],[_LeafWork]]*Tasks[[#This Row],[_LeafProgress]]</f>
        <v>0</v>
      </c>
      <c r="GB163" s="74" t="str">
        <f aca="false">IF(AND(Tasks[[#This Row],[_IsLeaf]]=1,Tasks[[#This Row],[_LeafProgress]]&gt;=1),IF(N(Tasks[[#This Row],[Actual Finish]])&gt;0,Tasks[[#This Row],[Actual Finish]],Tasks[[#This Row],[_ShownFcstFinish]]),"")</f>
        <v/>
      </c>
    </row>
    <row r="164" customFormat="false" ht="15" hidden="false" customHeight="false" outlineLevel="0" collapsed="false">
      <c r="A164" s="67" t="str">
        <f aca="false">IF(Tasks[[#This Row],[Task Name]]="","",COUNTA(Tasks[[#Headers],[Task Name]]:Tasks[[#This Row],[Task Name]])-1)</f>
        <v/>
      </c>
      <c r="B164" s="21" t="n">
        <v>159</v>
      </c>
      <c r="C16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21"/>
      <c r="E164" s="22"/>
      <c r="F164" s="21"/>
      <c r="G164" s="22"/>
      <c r="H164" s="22"/>
      <c r="I164" s="22"/>
      <c r="J164" s="7"/>
      <c r="K164" s="7"/>
      <c r="L164" s="22"/>
      <c r="M164" s="58" t="str">
        <f aca="false">IF(Tasks[[#This Row],[Task Name]]="","",IF(Tasks[[#This Row],[_IsSummary]],MIN(INDEX(Tasks[_ShownFcstStart],Tasks[[#This Row],[_Row]]+1):INDEX(Tasks[_ShownFcstStart],Tasks[[#This Row],[_Row]]+Tasks[[#This Row],[_Descendants]])),Tasks[[#This Row],[_ShownFcstStart]]))</f>
        <v/>
      </c>
      <c r="N164" s="58" t="str">
        <f aca="false">IF(Tasks[[#This Row],[Task Name]]="","",IF(Tasks[[#This Row],[_IsSummary]],MAX(INDEX(Tasks[_ShownFcstFinish],Tasks[[#This Row],[_Row]]+1):INDEX(Tasks[_ShownFcstFinish],Tasks[[#This Row],[_Row]]+Tasks[[#This Row],[_Descendants]])),Tasks[[#This Row],[_ShownFcstFinish]]))</f>
        <v/>
      </c>
      <c r="O164" s="20" t="str">
        <f aca="false">IF(Tasks[[#This Row],[Task Name]]="","",IF(Tasks[[#This Row],[Progress]]&gt;=1,"Complete",IF(OR(N(Tasks[[#This Row],[Actual Start]])&gt;0,Tasks[[#This Row],[Progress]]&gt;0),IF(Tasks[[#This Row],[Finish Var]]&gt;0,"Behind","In Progress"),IF(Tasks[[#This Row],[Planned Start]]&lt;StatusDate,"Late Start","Not Started"))))</f>
        <v/>
      </c>
      <c r="P164" s="20" t="str">
        <f aca="false">IF(Tasks[[#This Row],[Task Name]]="","",IF(IF(Tasks[[#This Row],[_IsSummary]],COUNTIF(INDEX(Tasks[_LeafCritical],Tasks[[#This Row],[_Row]]+1):INDEX(Tasks[_LeafCritical],Tasks[[#This Row],[_Row]]+Tasks[[#This Row],[_Descendants]]),TRUE())&gt;0,Tasks[[#This Row],[_LeafCritical]]),"Yes",""))</f>
        <v/>
      </c>
      <c r="Q16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64" s="67" t="str">
        <f aca="false">IF(Tasks[[#This Row],[Task Name]]="","",IF(Tasks[[#This Row],[_Level]]&lt;=OutlineShowLevel,"Yes","No"))</f>
        <v/>
      </c>
      <c r="S164" s="7"/>
      <c r="T164" s="21"/>
      <c r="U164" s="22"/>
      <c r="V164" s="7"/>
      <c r="W164" s="67" t="str">
        <f aca="false">IF(Tasks[[#This Row],[Task Name]]="","",IF(Tasks[[#This Row],[Finish]]&gt;=Tasks[[#This Row],[Planned Finish]],NETWORKDAYS.INTL(Tasks[[#This Row],[Planned Finish]],Tasks[[#This Row],[Finish]],WorkWeek,Holidays)-1,1-NETWORKDAYS.INTL(Tasks[[#This Row],[Finish]],Tasks[[#This Row],[Planned Finish]],WorkWeek,Holidays)))</f>
        <v/>
      </c>
      <c r="X164" s="58" t="str">
        <f aca="false">IF(Tasks[[#This Row],[Task Name]]="","",IF(N(Tasks[[#This Row],[Baseline Start]])&gt;0,Tasks[[#This Row],[Baseline Start]],Tasks[[#This Row],[_CalcStart]]))</f>
        <v/>
      </c>
      <c r="Y164" s="58" t="str">
        <f aca="false">IF(Tasks[[#This Row],[Task Name]]="","",IF(N(Tasks[[#This Row],[Baseline Finish]])&gt;0,Tasks[[#This Row],[Baseline Finish]],Tasks[[#This Row],[_CalcFinish]]))</f>
        <v/>
      </c>
      <c r="Z164" s="67" t="str">
        <f aca="false">IF(Tasks[[#This Row],[Task Name]]="","",IF(Tasks[[#This Row],[Start]]&gt;=Tasks[[#This Row],[Planned Start]],NETWORKDAYS.INTL(Tasks[[#This Row],[Planned Start]],Tasks[[#This Row],[Start]],WorkWeek,Holidays)-1,1-NETWORKDAYS.INTL(Tasks[[#This Row],[Start]],Tasks[[#This Row],[Planned Start]],WorkWeek,Holidays)))</f>
        <v/>
      </c>
      <c r="AA164" s="58" t="str">
        <f aca="false">IF(Tasks[[#This Row],[Task Name]]="","",IF(Tasks[[#This Row],[_IsSummary]],MIN(INDEX(Tasks[_LeafLateStart],Tasks[[#This Row],[_Row]]+1):INDEX(Tasks[_LeafLateStart],Tasks[[#This Row],[_Row]]+Tasks[[#This Row],[_Descendants]])),Tasks[[#This Row],[_LeafLateStart]]))</f>
        <v/>
      </c>
      <c r="AB164" s="58" t="str">
        <f aca="false">IF(Tasks[[#This Row],[Task Name]]="","",IF(Tasks[[#This Row],[_IsSummary]],MAX(INDEX(Tasks[_LeafLateFinish],Tasks[[#This Row],[_Row]]+1):INDEX(Tasks[_LeafLateFinish],Tasks[[#This Row],[_Row]]+Tasks[[#This Row],[_Descendants]])),Tasks[[#This Row],[_LeafLateFinish]]))</f>
        <v/>
      </c>
      <c r="AC164" s="67" t="str">
        <f aca="false">IF(Tasks[[#This Row],[Task Name]]="","",IF(Tasks[[#This Row],[_IsSummary]],MIN(INDEX(Tasks[_LeafTotalSlack],Tasks[[#This Row],[_Row]]+1):INDEX(Tasks[_LeafTotalSlack],Tasks[[#This Row],[_Row]]+Tasks[[#This Row],[_Descendants]])),Tasks[[#This Row],[_LeafTotalSlack]]))</f>
        <v/>
      </c>
      <c r="AD16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6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6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64" s="60"/>
      <c r="AH16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6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64" s="69" t="str">
        <f aca="false">IF(Tasks[[#This Row],[Task Name]]="","",IF(Tasks[[#This Row],[_IsSummary]],SUM(INDEX(Tasks[_LeafTotalWork],Tasks[[#This Row],[_Row]]+1):INDEX(Tasks[_LeafTotalWork],Tasks[[#This Row],[_Row]]+Tasks[[#This Row],[_Descendants]])),Tasks[[#This Row],[_LeafTotalWork]]))</f>
        <v/>
      </c>
      <c r="AK16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64" s="70" t="str">
        <f aca="false">IF(Tasks[[#This Row],[Task Name]]="","",IF(Tasks[[#This Row],[_IsSummary]],SUM(INDEX(Tasks[_LeafTotalCost],Tasks[[#This Row],[_Row]]+1):INDEX(Tasks[_LeafTotalCost],Tasks[[#This Row],[_Row]]+Tasks[[#This Row],[_Descendants]])),Tasks[[#This Row],[_LeafTotalCost]]))</f>
        <v/>
      </c>
      <c r="AM164" s="71"/>
      <c r="AN164" s="20" t="str">
        <f aca="false">IF(OR(Tasks[[#This Row],[Task Name]]="",Tasks[[#This Row],[Baseline Duration]]=""),"",Tasks[[#This Row],[BL Source Duration]]-N(Tasks[[#This Row],[Baseline Duration]]))</f>
        <v/>
      </c>
      <c r="AO164" s="69" t="str">
        <f aca="false">IF(OR(Tasks[[#This Row],[Task Name]]="",Tasks[[#This Row],[Baseline Work]]=""),"",Tasks[[#This Row],[Work]]-N(Tasks[[#This Row],[Baseline Work]]))</f>
        <v/>
      </c>
      <c r="AP164" s="70" t="str">
        <f aca="false">IF(OR(Tasks[[#This Row],[Task Name]]="",Tasks[[#This Row],[Baseline Cost]]=""),"",Tasks[[#This Row],[Cost]]-N(Tasks[[#This Row],[Baseline Cost]]))</f>
        <v/>
      </c>
      <c r="AQ164" s="58" t="str">
        <f aca="false">IF(Tasks[[#This Row],[Task Name]]="","",Tasks[[#This Row],[Start]])</f>
        <v/>
      </c>
      <c r="AR164" s="58" t="str">
        <f aca="false">IF(Tasks[[#This Row],[Task Name]]="","",Tasks[[#This Row],[Finish]])</f>
        <v/>
      </c>
      <c r="AS164" s="67" t="str">
        <f aca="false">IF(Tasks[[#This Row],[Task Name]]="","",IF(Tasks[[#This Row],[_IsSummary]],NETWORKDAYS.INTL(Tasks[[#This Row],[Start]],Tasks[[#This Row],[Finish]],WorkWeek,Holidays),N(Tasks[[#This Row],[Duration]])))</f>
        <v/>
      </c>
      <c r="AT164" s="69" t="str">
        <f aca="false">IF(Tasks[[#This Row],[Task Name]]="","",Tasks[[#This Row],[Work]])</f>
        <v/>
      </c>
      <c r="AU164" s="70" t="str">
        <f aca="false">IF(Tasks[[#This Row],[Task Name]]="","",Tasks[[#This Row],[Cost]])</f>
        <v/>
      </c>
      <c r="AV164" s="7"/>
      <c r="AW164" s="7"/>
      <c r="AX164" s="21"/>
      <c r="AY164" s="72"/>
      <c r="AZ164" s="71"/>
      <c r="BA164" s="70" t="str">
        <f aca="false">IF(Tasks[[#This Row],[Task Name]]="","",IF(Tasks[[#This Row],[_IsSummary]],SUM(INDEX(Tasks[_LeafEV],Tasks[[#This Row],[_Row]]+1):INDEX(Tasks[_LeafEV],Tasks[[#This Row],[_Row]]+Tasks[[#This Row],[_Descendants]])),Tasks[[#This Row],[_LeafEV]]))</f>
        <v/>
      </c>
      <c r="BB164" s="70" t="str">
        <f aca="false">IF(Tasks[[#This Row],[Task Name]]="","",IF(Tasks[[#This Row],[_IsSummary]],SUM(INDEX(Tasks[_LeafBudget],Tasks[[#This Row],[_Row]]+1):INDEX(Tasks[_LeafBudget],Tasks[[#This Row],[_Row]]+Tasks[[#This Row],[_Descendants]])),Tasks[[#This Row],[_LeafBudget]]))</f>
        <v/>
      </c>
      <c r="BC164" s="70" t="str">
        <f aca="false">IF(Tasks[[#This Row],[Task Name]]="","",IF(Tasks[[#This Row],[_IsSummary]],SUM(INDEX(Tasks[_LeafPV],Tasks[[#This Row],[_Row]]+1):INDEX(Tasks[_LeafPV],Tasks[[#This Row],[_Row]]+Tasks[[#This Row],[_Descendants]])),Tasks[[#This Row],[_LeafPV]]))</f>
        <v/>
      </c>
      <c r="BD164" s="70" t="str">
        <f aca="false">IF(Tasks[[#This Row],[Task Name]]="","",IF(Tasks[[#This Row],[_IsSummary]],SUM(INDEX(Tasks[_LeafAC],Tasks[[#This Row],[_Row]]+1):INDEX(Tasks[_LeafAC],Tasks[[#This Row],[_Row]]+Tasks[[#This Row],[_Descendants]])),Tasks[[#This Row],[_LeafAC]]))</f>
        <v/>
      </c>
      <c r="BE164" s="45" t="str">
        <f aca="false">IF(Tasks[[#This Row],[Task Name]]="","",MAX(1,N(Tasks[[#This Row],[Level]])))</f>
        <v/>
      </c>
      <c r="BF164" s="45" t="n">
        <f aca="false">ROW()-ROW(Tasks[[#Headers],[ID]])</f>
        <v>159</v>
      </c>
      <c r="BG164" s="45" t="n">
        <f aca="false">IF(OR(Tasks[[#This Row],[Task Name]]="",Tasks[[#This Row],[_Level]]&lt;=1),0,IFERROR(LOOKUP(2,1/(Tasks[[#Headers],[_Level]]:Tasks[[#This Row],[_Level]]=Tasks[[#This Row],[_Level]]-1),ROW(Tasks[[#Headers],[_Level]]:Tasks[[#This Row],[_Level]])),0))</f>
        <v>0</v>
      </c>
      <c r="BH164" s="45" t="n">
        <f aca="false">IFERROR(N(INDEX(Tasks[_Level],Tasks[[#This Row],[_Row]]+1)),0)</f>
        <v>0</v>
      </c>
      <c r="BI164" s="73" t="b">
        <f aca="false">AND(Tasks[[#This Row],[Task Name]]&lt;&gt;"",Tasks[[#This Row],[_NextLevel]]&gt;Tasks[[#This Row],[_Level]])</f>
        <v>0</v>
      </c>
      <c r="BJ164" s="45" t="n">
        <f aca="false">IF(Tasks[[#This Row],[_IsSummary]],COUNTIF(Tasks[WBS],Tasks[[#This Row],[WBS]]&amp;".*"),0)</f>
        <v>0</v>
      </c>
      <c r="BK164" s="45" t="n">
        <f aca="false">IF(AND(Tasks[[#This Row],[Task Name]]&lt;&gt;"",NOT(Tasks[[#This Row],[_IsSummary]])),1,0)</f>
        <v>0</v>
      </c>
      <c r="BL164" s="45" t="n">
        <f aca="false">IF(N(Tasks[[#This Row],[_Pred1UID]])=0,0,IFERROR(MATCH(Tasks[[#This Row],[_Pred1UID]],Tasks[UID],0),-1))</f>
        <v>0</v>
      </c>
      <c r="BM164" s="45" t="n">
        <f aca="false">IF(N(Tasks[[#This Row],[_Pred2UID]])=0,0,IFERROR(MATCH(Tasks[[#This Row],[_Pred2UID]],Tasks[UID],0),-1))</f>
        <v>0</v>
      </c>
      <c r="BN164" s="45" t="n">
        <f aca="false">IF(N(Tasks[[#This Row],[_Pred3UID]])=0,0,IFERROR(MATCH(Tasks[[#This Row],[_Pred3UID]],Tasks[UID],0),-1))</f>
        <v>0</v>
      </c>
      <c r="BO164" s="45" t="n">
        <f aca="false">IF(N(Tasks[[#This Row],[_Pred4UID]])=0,0,IFERROR(MATCH(Tasks[[#This Row],[_Pred4UID]],Tasks[UID],0),-1))</f>
        <v>0</v>
      </c>
      <c r="BP16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6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64" s="74" t="n">
        <f aca="false">IF(OR(Tasks[[#This Row],[_ConstraintCode]]=2,Tasks[[#This Row],[_ConstraintCode]]=3,Tasks[[#This Row],[_ConstraintCode]]=4,Tasks[[#This Row],[_ConstraintCode]]=6),Tasks[[#This Row],[_ConstraintStart]],0)</f>
        <v>0</v>
      </c>
      <c r="BS164" s="74" t="n">
        <f aca="false">IF(OR(Tasks[[#This Row],[_ConstraintCode]]=2,Tasks[[#This Row],[_ConstraintCode]]=3,Tasks[[#This Row],[_ConstraintCode]]=5,Tasks[[#This Row],[_ConstraintCode]]=7),Tasks[[#This Row],[_ConstraintStart]],2958465)</f>
        <v>2958465</v>
      </c>
      <c r="BT16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64" s="74" t="str">
        <f aca="false">IF(NOT(Tasks[[#This Row],[_IsLeaf]]=1),"",IF(N(Tasks[[#This Row],[Duration]])&lt;=0,Tasks[[#This Row],[_LeafCalcStart]],WORKDAY.INTL(Tasks[[#This Row],[_LeafCalcStart]],Tasks[[#This Row],[Duration]]-1,WorkWeek,Holidays)))</f>
        <v/>
      </c>
      <c r="BV16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6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64" s="45" t="str">
        <f aca="false">IF(Tasks[[#This Row],[Predecessors]]="","",TRIM(MID(SUBSTITUTE(SUBSTITUTE(SUBSTITUTE(UPPER(Tasks[[#This Row],[Predecessors]]),";",",")," ",""),",",REPT(" ",99)),1,99)))</f>
        <v/>
      </c>
      <c r="BY164" s="45" t="str">
        <f aca="false">IF(Tasks[[#This Row],[_Pred1Text]]="","",IFERROR(VALUE(LEFT(Tasks[[#This Row],[_Pred1Text]],MIN(FIND("F",Tasks[[#This Row],[_Pred1Text]]&amp;"F"),FIND("S",Tasks[[#This Row],[_Pred1Text]]&amp;"S"),FIND("+",Tasks[[#This Row],[_Pred1Text]]&amp;"+"),FIND("-",Tasks[[#This Row],[_Pred1Text]]&amp;"-"))-1)),""))</f>
        <v/>
      </c>
      <c r="BZ16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6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64" s="45" t="str">
        <f aca="false">IF(Tasks[[#This Row],[_Pred1Text]]="","",TRIM(MID(SUBSTITUTE(SUBSTITUTE(SUBSTITUTE(UPPER(Tasks[[#This Row],[Predecessors]]),";",",")," ",""),",",REPT(" ",99)),100,99)))</f>
        <v/>
      </c>
      <c r="CC164" s="45" t="str">
        <f aca="false">IF(Tasks[[#This Row],[_Pred2Text]]="","",IFERROR(VALUE(LEFT(Tasks[[#This Row],[_Pred2Text]],MIN(FIND("F",Tasks[[#This Row],[_Pred2Text]]&amp;"F"),FIND("S",Tasks[[#This Row],[_Pred2Text]]&amp;"S"),FIND("+",Tasks[[#This Row],[_Pred2Text]]&amp;"+"),FIND("-",Tasks[[#This Row],[_Pred2Text]]&amp;"-"))-1)),""))</f>
        <v/>
      </c>
      <c r="CD16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6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64" s="45" t="str">
        <f aca="false">IF(Tasks[[#This Row],[_Pred2Text]]="","",TRIM(MID(SUBSTITUTE(SUBSTITUTE(SUBSTITUTE(UPPER(Tasks[[#This Row],[Predecessors]]),";",",")," ",""),",",REPT(" ",99)),199,99)))</f>
        <v/>
      </c>
      <c r="CG164" s="45" t="str">
        <f aca="false">IF(Tasks[[#This Row],[_Pred3Text]]="","",IFERROR(VALUE(LEFT(Tasks[[#This Row],[_Pred3Text]],MIN(FIND("F",Tasks[[#This Row],[_Pred3Text]]&amp;"F"),FIND("S",Tasks[[#This Row],[_Pred3Text]]&amp;"S"),FIND("+",Tasks[[#This Row],[_Pred3Text]]&amp;"+"),FIND("-",Tasks[[#This Row],[_Pred3Text]]&amp;"-"))-1)),""))</f>
        <v/>
      </c>
      <c r="CH16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6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64" s="45" t="str">
        <f aca="false">IF(Tasks[[#This Row],[_Pred3Text]]="","",TRIM(MID(SUBSTITUTE(SUBSTITUTE(SUBSTITUTE(UPPER(Tasks[[#This Row],[Predecessors]]),";",",")," ",""),",",REPT(" ",99)),298,99)))</f>
        <v/>
      </c>
      <c r="CK164" s="45" t="str">
        <f aca="false">IF(Tasks[[#This Row],[_Pred4Text]]="","",IFERROR(VALUE(LEFT(Tasks[[#This Row],[_Pred4Text]],MIN(FIND("F",Tasks[[#This Row],[_Pred4Text]]&amp;"F"),FIND("S",Tasks[[#This Row],[_Pred4Text]]&amp;"S"),FIND("+",Tasks[[#This Row],[_Pred4Text]]&amp;"+"),FIND("-",Tasks[[#This Row],[_Pred4Text]]&amp;"-"))-1)),""))</f>
        <v/>
      </c>
      <c r="CL16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6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64" s="45" t="str">
        <f aca="false">IF(OR(Tasks[[#This Row],[Task Name]]="",Tasks[[#This Row],[Resources]]=""),"",TRIM(MID(SUBSTITUTE(Tasks[[#This Row],[Resources]],",",REPT(" ",99)),1,99)))</f>
        <v/>
      </c>
      <c r="CO164" s="45" t="str">
        <f aca="false">IF(Tasks[[#This Row],[_Res1Text]]="","",TRIM(MID(SUBSTITUTE(Tasks[[#This Row],[Resources]],",",REPT(" ",99)),100,99)))</f>
        <v/>
      </c>
      <c r="CP164" s="45" t="str">
        <f aca="false">IF(Tasks[[#This Row],[_Res2Text]]="","",TRIM(MID(SUBSTITUTE(Tasks[[#This Row],[Resources]],",",REPT(" ",99)),199,99)))</f>
        <v/>
      </c>
      <c r="CQ164" s="45" t="str">
        <f aca="false">IF(Tasks[[#This Row],[_Res3Text]]="","",TRIM(MID(SUBSTITUTE(Tasks[[#This Row],[Resources]],",",REPT(" ",99)),298,99)))</f>
        <v/>
      </c>
      <c r="CR16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6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4" s="45" t="n">
        <f aca="false">IF(NOT(Tasks[[#This Row],[_IsLeaf]]=1),0,(Tasks[[#This Row],[_Resource1]]&lt;&gt;"")+(Tasks[[#This Row],[_Res2]]&lt;&gt;"")+(Tasks[[#This Row],[_Res3]]&lt;&gt;"")+(Tasks[[#This Row],[_Res4]]&lt;&gt;""))</f>
        <v>0</v>
      </c>
      <c r="CU16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6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4" s="45" t="n">
        <f aca="false">IF(OR(NOT(Tasks[[#This Row],[_IsLeaf]]=1),Tasks[[#This Row],[_Res2]]=""),0,IF(ISNA(MATCH(Tasks[[#This Row],[_Res2]],res_Name,0)),0,N(Tasks[[#This Row],[Duration]])*HoursPerDay*IF(Tasks[[#This Row],[_Res2Units]]="",DefaultUnits,Tasks[[#This Row],[_Res2Units]])))</f>
        <v>0</v>
      </c>
      <c r="CX164" s="45" t="n">
        <f aca="false">IF(Tasks[[#This Row],[_Res2Work]]=0,0,Tasks[[#This Row],[_Res2Work]]*IFERROR(INDEX(res_Rate,MATCH(Tasks[[#This Row],[_Res2]],res_Name,0)),0))</f>
        <v>0</v>
      </c>
      <c r="CY164" s="45" t="n">
        <f aca="false">IF(AND(AND(Tasks[[#This Row],[_IsLeaf]]=1,Tasks[[#This Row],[_LeafTotalWork]]&gt;0),Tasks[[#This Row],[_Res2Work]]&gt;0),Tasks[[#This Row],[_Res2Work]]/(Tasks[[#This Row],[_FinishWorkday]]-Tasks[[#This Row],[_StartWorkday]]+1),0)</f>
        <v>0</v>
      </c>
      <c r="CZ164" s="45" t="n">
        <f aca="false">Tasks[[#This Row],[_Res2WorkPerWD]]*MAX(0,Tasks[[#This Row],[_StartWorkday]]-1)</f>
        <v>0</v>
      </c>
      <c r="DA164" s="45" t="n">
        <f aca="false">Tasks[[#This Row],[_Res2Work]]*Tasks[[#This Row],[_LeafProgress]]</f>
        <v>0</v>
      </c>
      <c r="DB164" s="45" t="n">
        <f aca="false">IF(Tasks[[#This Row],[_LeafTotalCost]]=0,0,Tasks[[#This Row],[_LeafAC]]*Tasks[[#This Row],[_Res2Cost]]/Tasks[[#This Row],[_LeafTotalCost]])</f>
        <v>0</v>
      </c>
      <c r="DC16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6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64" s="45" t="n">
        <f aca="false">IF(OR(NOT(Tasks[[#This Row],[_IsLeaf]]=1),Tasks[[#This Row],[_Res3]]=""),0,IF(ISNA(MATCH(Tasks[[#This Row],[_Res3]],res_Name,0)),0,N(Tasks[[#This Row],[Duration]])*HoursPerDay*IF(Tasks[[#This Row],[_Res3Units]]="",DefaultUnits,Tasks[[#This Row],[_Res3Units]])))</f>
        <v>0</v>
      </c>
      <c r="DF164" s="45" t="n">
        <f aca="false">IF(Tasks[[#This Row],[_Res3Work]]=0,0,Tasks[[#This Row],[_Res3Work]]*IFERROR(INDEX(res_Rate,MATCH(Tasks[[#This Row],[_Res3]],res_Name,0)),0))</f>
        <v>0</v>
      </c>
      <c r="DG164" s="45" t="n">
        <f aca="false">IF(AND(AND(Tasks[[#This Row],[_IsLeaf]]=1,Tasks[[#This Row],[_LeafTotalWork]]&gt;0),Tasks[[#This Row],[_Res3Work]]&gt;0),Tasks[[#This Row],[_Res3Work]]/(Tasks[[#This Row],[_FinishWorkday]]-Tasks[[#This Row],[_StartWorkday]]+1),0)</f>
        <v>0</v>
      </c>
      <c r="DH164" s="45" t="n">
        <f aca="false">Tasks[[#This Row],[_Res3WorkPerWD]]*MAX(0,Tasks[[#This Row],[_StartWorkday]]-1)</f>
        <v>0</v>
      </c>
      <c r="DI164" s="45" t="n">
        <f aca="false">Tasks[[#This Row],[_Res3Work]]*Tasks[[#This Row],[_LeafProgress]]</f>
        <v>0</v>
      </c>
      <c r="DJ164" s="45" t="n">
        <f aca="false">IF(Tasks[[#This Row],[_LeafTotalCost]]=0,0,Tasks[[#This Row],[_LeafAC]]*Tasks[[#This Row],[_Res3Cost]]/Tasks[[#This Row],[_LeafTotalCost]])</f>
        <v>0</v>
      </c>
      <c r="DK16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6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64" s="45" t="n">
        <f aca="false">IF(OR(NOT(Tasks[[#This Row],[_IsLeaf]]=1),Tasks[[#This Row],[_Res4]]=""),0,IF(ISNA(MATCH(Tasks[[#This Row],[_Res4]],res_Name,0)),0,N(Tasks[[#This Row],[Duration]])*HoursPerDay*IF(Tasks[[#This Row],[_Res4Units]]="",DefaultUnits,Tasks[[#This Row],[_Res4Units]])))</f>
        <v>0</v>
      </c>
      <c r="DN164" s="45" t="n">
        <f aca="false">IF(Tasks[[#This Row],[_Res4Work]]=0,0,Tasks[[#This Row],[_Res4Work]]*IFERROR(INDEX(res_Rate,MATCH(Tasks[[#This Row],[_Res4]],res_Name,0)),0))</f>
        <v>0</v>
      </c>
      <c r="DO164" s="45" t="n">
        <f aca="false">IF(AND(AND(Tasks[[#This Row],[_IsLeaf]]=1,Tasks[[#This Row],[_LeafTotalWork]]&gt;0),Tasks[[#This Row],[_Res4Work]]&gt;0),Tasks[[#This Row],[_Res4Work]]/(Tasks[[#This Row],[_FinishWorkday]]-Tasks[[#This Row],[_StartWorkday]]+1),0)</f>
        <v>0</v>
      </c>
      <c r="DP164" s="45" t="n">
        <f aca="false">Tasks[[#This Row],[_Res4WorkPerWD]]*MAX(0,Tasks[[#This Row],[_StartWorkday]]-1)</f>
        <v>0</v>
      </c>
      <c r="DQ164" s="45" t="n">
        <f aca="false">Tasks[[#This Row],[_Res4Work]]*Tasks[[#This Row],[_LeafProgress]]</f>
        <v>0</v>
      </c>
      <c r="DR164" s="45" t="n">
        <f aca="false">IF(Tasks[[#This Row],[_LeafTotalCost]]=0,0,Tasks[[#This Row],[_LeafAC]]*Tasks[[#This Row],[_Res4Cost]]/Tasks[[#This Row],[_LeafTotalCost]])</f>
        <v>0</v>
      </c>
      <c r="DS164" s="45" t="n">
        <f aca="false">IF(ISNUMBER(Tasks[[#This Row],[% Complete]]),Tasks[[#This Row],[% Complete]],IF(Tasks[[#This Row],[Stage]]="",0,IFERROR(INDEX(stg_Pct,MATCH(Tasks[[#This Row],[Stage]],stg_Name,0)),0)))</f>
        <v>0</v>
      </c>
      <c r="DT164" s="45" t="n">
        <f aca="false">IF(NOT(Tasks[[#This Row],[_IsLeaf]]=1),0,IF(N(Tasks[[#This Row],[Actual Finish]])&gt;0,1,MIN(1,Tasks[[#This Row],[_Pct]])))</f>
        <v>0</v>
      </c>
      <c r="DU164" s="45" t="n">
        <f aca="false">IF(OR(NOT(Tasks[[#This Row],[_IsLeaf]]=1),Tasks[[#This Row],[_Resource1]]=""),0,IF(ISNA(MATCH(Tasks[[#This Row],[_Resource1]],res_Name,0)),0,N(Tasks[[#This Row],[Duration]])*HoursPerDay*IF(Tasks[[#This Row],[_Units1]]="",DefaultUnits,Tasks[[#This Row],[_Units1]])))</f>
        <v>0</v>
      </c>
      <c r="DV164" s="45" t="n">
        <f aca="false">IF(Tasks[[#This Row],[_LeafWork]]=0,0,Tasks[[#This Row],[_LeafWork]]*IFERROR(INDEX(res_Rate,MATCH(Tasks[[#This Row],[_Resource1]],res_Name,0)),0))</f>
        <v>0</v>
      </c>
      <c r="DW164" s="45" t="n">
        <f aca="false">Tasks[[#This Row],[_LeafWork]]+Tasks[[#This Row],[_Res2Work]]+Tasks[[#This Row],[_Res3Work]]+Tasks[[#This Row],[_Res4Work]]</f>
        <v>0</v>
      </c>
      <c r="DX164" s="45" t="n">
        <f aca="false">Tasks[[#This Row],[_LeafCost]]+Tasks[[#This Row],[_Res2Cost]]+Tasks[[#This Row],[_Res3Cost]]+Tasks[[#This Row],[_Res4Cost]]</f>
        <v>0</v>
      </c>
      <c r="DY164" s="45" t="n">
        <f aca="false">IF(Tasks[[#This Row],[_LeafTotalCost]]=0,Tasks[[#This Row],[_LeafAC]],Tasks[[#This Row],[_LeafAC]]*Tasks[[#This Row],[_LeafCost]]/Tasks[[#This Row],[_LeafTotalCost]])</f>
        <v>0</v>
      </c>
      <c r="DZ16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6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6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6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6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6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6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6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64" s="45" t="n">
        <f aca="false">IF(NOT(Tasks[[#This Row],[_IsLeaf]]=1),0,MAX(_xlfn.MAXIFS(Tasks[_Row],Tasks[_Pred1UID],Tasks[[#This Row],[UID]]),_xlfn.MAXIFS(Tasks[_Row],Tasks[_Pred2UID],Tasks[[#This Row],[UID]]),_xlfn.MAXIFS(Tasks[_Row],Tasks[_Pred3UID],Tasks[[#This Row],[UID]]),_xlfn.MAXIFS(Tasks[_Row],Tasks[_Pred4UID],Tasks[[#This Row],[UID]])))</f>
        <v>0</v>
      </c>
      <c r="EI16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6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64" s="74" t="str">
        <f aca="false">IF(NOT(Tasks[[#This Row],[_IsLeaf]]=1),"",IF(N(Tasks[[#This Row],[Duration]])&lt;=0,Tasks[[#This Row],[_LeafLateFinish]],WORKDAY.INTL(Tasks[[#This Row],[_LeafLateFinish]],-(Tasks[[#This Row],[Duration]]-1),WorkWeek,Holidays)))</f>
        <v/>
      </c>
      <c r="EL16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64" s="73" t="b">
        <f aca="false">AND(Tasks[[#This Row],[_IsLeaf]]=1,Tasks[[#This Row],[_LeafProgress]]&lt;1,N(Tasks[[#This Row],[_LeafTotalSlack]])&lt;=CriticalSlackDays)</f>
        <v>0</v>
      </c>
      <c r="EN164" s="45" t="n">
        <f aca="false">IF(AND(Tasks[[#This Row],[_IsLeaf]]=1,Tasks[[#This Row],[_ConstraintCode]]=1,Tasks[[#This Row],[Mode]]&lt;&gt;"Manual",N(Tasks[[#This Row],[Actual Start]])=0),MAX(0,N(Tasks[[#This Row],[Free Slack]])),0)</f>
        <v>0</v>
      </c>
      <c r="EO164" s="74" t="str">
        <f aca="false">IF(NOT(Tasks[[#This Row],[_IsLeaf]]=1),"",IF(Tasks[[#This Row],[_AlapShift]]=0,Tasks[[#This Row],[_LeafCalcStart]],WORKDAY.INTL(Tasks[[#This Row],[_LeafCalcStart]],Tasks[[#This Row],[_AlapShift]],WorkWeek,Holidays)))</f>
        <v/>
      </c>
      <c r="EP164" s="74" t="str">
        <f aca="false">IF(NOT(Tasks[[#This Row],[_IsLeaf]]=1),"",IF(Tasks[[#This Row],[_AlapShift]]=0,Tasks[[#This Row],[_LeafCalcFinish]],WORKDAY.INTL(Tasks[[#This Row],[_LeafCalcFinish]],Tasks[[#This Row],[_AlapShift]],WorkWeek,Holidays)))</f>
        <v/>
      </c>
      <c r="EQ164" s="74" t="str">
        <f aca="false">IF(NOT(Tasks[[#This Row],[_IsLeaf]]=1),"",IF(Tasks[[#This Row],[_AlapShift]]=0,Tasks[[#This Row],[_LeafFcstStart]],WORKDAY.INTL(Tasks[[#This Row],[_LeafFcstStart]],Tasks[[#This Row],[_AlapShift]],WorkWeek,Holidays)))</f>
        <v/>
      </c>
      <c r="ER164" s="74" t="str">
        <f aca="false">IF(NOT(Tasks[[#This Row],[_IsLeaf]]=1),"",IF(Tasks[[#This Row],[_AlapShift]]=0,Tasks[[#This Row],[_LeafFcstFinish]],WORKDAY.INTL(Tasks[[#This Row],[_LeafFcstFinish]],Tasks[[#This Row],[_AlapShift]],WorkWeek,Holidays)))</f>
        <v/>
      </c>
      <c r="ES164" s="74" t="str">
        <f aca="false">IF(Tasks[[#This Row],[Task Name]]="","",IF(Tasks[[#This Row],[_IsSummary]],MIN(INDEX(Tasks[_ShownCalcStart],Tasks[[#This Row],[_Row]]+1):INDEX(Tasks[_ShownCalcStart],Tasks[[#This Row],[_Row]]+Tasks[[#This Row],[_Descendants]])),Tasks[[#This Row],[_ShownCalcStart]]))</f>
        <v/>
      </c>
      <c r="ET164" s="74" t="str">
        <f aca="false">IF(Tasks[[#This Row],[Task Name]]="","",IF(Tasks[[#This Row],[_IsSummary]],MAX(INDEX(Tasks[_ShownCalcFinish],Tasks[[#This Row],[_Row]]+1):INDEX(Tasks[_ShownCalcFinish],Tasks[[#This Row],[_Row]]+Tasks[[#This Row],[_Descendants]])),Tasks[[#This Row],[_ShownCalcFinish]]))</f>
        <v/>
      </c>
      <c r="EU16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6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6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6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6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6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6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6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6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6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6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6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64" s="45" t="n">
        <f aca="false">IF(AND(Tasks[[#This Row],[_IsLeaf]]=1,Tasks[[#This Row],[_LeafTotalWork]]&gt;0),NETWORKDAYS.INTL(ProjectStart,Tasks[[#This Row],[_ShownFcstStart]],WorkWeek,Holidays),0)</f>
        <v>0</v>
      </c>
      <c r="FH164" s="45" t="n">
        <f aca="false">IF(AND(Tasks[[#This Row],[_IsLeaf]]=1,Tasks[[#This Row],[_LeafTotalWork]]&gt;0),MAX(Tasks[[#This Row],[_StartWorkday]],NETWORKDAYS.INTL(ProjectStart,Tasks[[#This Row],[_ShownFcstFinish]],WorkWeek,Holidays)),0)</f>
        <v>0</v>
      </c>
      <c r="FI164" s="45" t="n">
        <f aca="false">IF(AND(Tasks[[#This Row],[_IsLeaf]]=1,Tasks[[#This Row],[_LeafTotalWork]]&gt;0),Tasks[[#This Row],[_LeafWork]]/(Tasks[[#This Row],[_FinishWorkday]]-Tasks[[#This Row],[_StartWorkday]]+1),0)</f>
        <v>0</v>
      </c>
      <c r="FJ164" s="45" t="n">
        <f aca="false">Tasks[[#This Row],[_WorkPerWorkday]]*(Tasks[[#This Row],[_StartWorkday]]-1)</f>
        <v>-0</v>
      </c>
      <c r="FK164" s="45" t="n">
        <f aca="false">IF(Tasks[[#This Row],[_IsLeaf]]=1,MAX(N(Tasks[[#This Row],[Duration]]),0.1),0)</f>
        <v>0</v>
      </c>
      <c r="FL164" s="45" t="n">
        <f aca="false">Tasks[[#This Row],[_WeightDur]]*Tasks[[#This Row],[_LeafProgress]]</f>
        <v>0</v>
      </c>
      <c r="FM16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64" s="45" t="str">
        <f aca="false">IF(AND(Tasks[[#This Row],[_IsLeaf]]=1,N(Tasks[[#This Row],[Duration]])=0,Tasks[[#This Row],[_LeafProgress]]&lt;1),Tasks[[#This Row],[_ShownFcstFinish]]+Tasks[[#This Row],[_Row]]/100000,"")</f>
        <v/>
      </c>
      <c r="FO16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64" s="45" t="n">
        <f aca="false">IF(NOT(Tasks[[#This Row],[_IsLeaf]]=1),0,IF(Tasks[[#This Row],[Baseline Cost]]="",Tasks[[#This Row],[_LeafTotalCost]],N(Tasks[[#This Row],[Baseline Cost]])))</f>
        <v>0</v>
      </c>
      <c r="FQ164" s="45" t="n">
        <f aca="false">Tasks[[#This Row],[_LeafBudget]]*Tasks[[#This Row],[_PlannedPct]]</f>
        <v>0</v>
      </c>
      <c r="FR164" s="45" t="n">
        <f aca="false">Tasks[[#This Row],[_LeafBudget]]*Tasks[[#This Row],[_LeafProgress]]</f>
        <v>0</v>
      </c>
      <c r="FS164" s="45" t="n">
        <f aca="false">IF(NOT(Tasks[[#This Row],[_IsLeaf]]=1),0,IF(Tasks[[#This Row],[Actual Cost]]="",Tasks[[#This Row],[_LeafTotalCost]]*Tasks[[#This Row],[_LeafProgress]],N(Tasks[[#This Row],[Actual Cost]])))</f>
        <v>0</v>
      </c>
      <c r="FT164" s="45" t="str">
        <f aca="false">IF(Tasks[[#This Row],[Task Name]]="","",LEFT(Tasks[[#This Row],[WBS]],FIND(".",Tasks[[#This Row],[WBS]]&amp;".")-1))</f>
        <v/>
      </c>
      <c r="FU164" s="45" t="str">
        <f aca="false">IF(AND(Tasks[[#This Row],[Task Name]]&lt;&gt;"",Tasks[[#This Row],[_Level]]=1),Tasks[[#This Row],[_Row]],"")</f>
        <v/>
      </c>
      <c r="FV164" s="45" t="str">
        <f aca="false">IF(AND(Tasks[[#This Row],[_IsLeaf]]=1,N(Tasks[[#This Row],[Duration]])=0),Tasks[[#This Row],[Planned Finish]]+Tasks[[#This Row],[_Row]]/100000,"")</f>
        <v/>
      </c>
      <c r="FW164" s="45" t="str">
        <f aca="false">IF(AND(Tasks[[#This Row],[_IsLeaf]]=1,Tasks[[#This Row],[_LeafProgress]]&lt;1,OR(N(Tasks[[#This Row],[Finish Var]])&gt;0,Tasks[[#This Row],[Status]]="Late Start")),MAX(0,Tasks[[#This Row],[Finish Var]])+1-Tasks[[#This Row],[_Row]]/1000000,"")</f>
        <v/>
      </c>
      <c r="FX164" s="45" t="str">
        <f aca="false">IF(AND(Tasks[[#This Row],[_IsLeaf]]=1,N(Tasks[[#This Row],[Actual Start]])=0,Tasks[[#This Row],[_ShownFcstStart]]&gt;=StatusDate,Tasks[[#This Row],[_ShownFcstStart]]&lt;=LookaheadEnd),Tasks[[#This Row],[_ShownFcstStart]]+Tasks[[#This Row],[_Row]]/100000,"")</f>
        <v/>
      </c>
      <c r="FY164" s="45" t="str">
        <f aca="false">IF(AND(Tasks[[#This Row],[_IsLeaf]]=1,Tasks[[#This Row],[_LeafProgress]]&lt;1,Tasks[[#This Row],[_ShownFcstFinish]]&gt;=StatusDate,Tasks[[#This Row],[_ShownFcstFinish]]&lt;=LookaheadEnd),Tasks[[#This Row],[_ShownFcstFinish]]+Tasks[[#This Row],[_Row]]/100000,"")</f>
        <v/>
      </c>
      <c r="FZ164" s="45" t="str">
        <f aca="false">IF(Tasks[[#This Row],[_LeafCritical]],Tasks[[#This Row],[_ShownFcstStart]]+Tasks[[#This Row],[_Row]]/100000,"")</f>
        <v/>
      </c>
      <c r="GA164" s="45" t="n">
        <f aca="false">Tasks[[#This Row],[_LeafWork]]*Tasks[[#This Row],[_LeafProgress]]</f>
        <v>0</v>
      </c>
      <c r="GB164" s="74" t="str">
        <f aca="false">IF(AND(Tasks[[#This Row],[_IsLeaf]]=1,Tasks[[#This Row],[_LeafProgress]]&gt;=1),IF(N(Tasks[[#This Row],[Actual Finish]])&gt;0,Tasks[[#This Row],[Actual Finish]],Tasks[[#This Row],[_ShownFcstFinish]]),"")</f>
        <v/>
      </c>
    </row>
    <row r="165" customFormat="false" ht="15" hidden="false" customHeight="false" outlineLevel="0" collapsed="false">
      <c r="A165" s="67" t="str">
        <f aca="false">IF(Tasks[[#This Row],[Task Name]]="","",COUNTA(Tasks[[#Headers],[Task Name]]:Tasks[[#This Row],[Task Name]])-1)</f>
        <v/>
      </c>
      <c r="B165" s="21" t="n">
        <v>160</v>
      </c>
      <c r="C16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21"/>
      <c r="E165" s="22"/>
      <c r="F165" s="21"/>
      <c r="G165" s="22"/>
      <c r="H165" s="22"/>
      <c r="I165" s="22"/>
      <c r="J165" s="7"/>
      <c r="K165" s="7"/>
      <c r="L165" s="22"/>
      <c r="M165" s="58" t="str">
        <f aca="false">IF(Tasks[[#This Row],[Task Name]]="","",IF(Tasks[[#This Row],[_IsSummary]],MIN(INDEX(Tasks[_ShownFcstStart],Tasks[[#This Row],[_Row]]+1):INDEX(Tasks[_ShownFcstStart],Tasks[[#This Row],[_Row]]+Tasks[[#This Row],[_Descendants]])),Tasks[[#This Row],[_ShownFcstStart]]))</f>
        <v/>
      </c>
      <c r="N165" s="58" t="str">
        <f aca="false">IF(Tasks[[#This Row],[Task Name]]="","",IF(Tasks[[#This Row],[_IsSummary]],MAX(INDEX(Tasks[_ShownFcstFinish],Tasks[[#This Row],[_Row]]+1):INDEX(Tasks[_ShownFcstFinish],Tasks[[#This Row],[_Row]]+Tasks[[#This Row],[_Descendants]])),Tasks[[#This Row],[_ShownFcstFinish]]))</f>
        <v/>
      </c>
      <c r="O165" s="20" t="str">
        <f aca="false">IF(Tasks[[#This Row],[Task Name]]="","",IF(Tasks[[#This Row],[Progress]]&gt;=1,"Complete",IF(OR(N(Tasks[[#This Row],[Actual Start]])&gt;0,Tasks[[#This Row],[Progress]]&gt;0),IF(Tasks[[#This Row],[Finish Var]]&gt;0,"Behind","In Progress"),IF(Tasks[[#This Row],[Planned Start]]&lt;StatusDate,"Late Start","Not Started"))))</f>
        <v/>
      </c>
      <c r="P165" s="20" t="str">
        <f aca="false">IF(Tasks[[#This Row],[Task Name]]="","",IF(IF(Tasks[[#This Row],[_IsSummary]],COUNTIF(INDEX(Tasks[_LeafCritical],Tasks[[#This Row],[_Row]]+1):INDEX(Tasks[_LeafCritical],Tasks[[#This Row],[_Row]]+Tasks[[#This Row],[_Descendants]]),TRUE())&gt;0,Tasks[[#This Row],[_LeafCritical]]),"Yes",""))</f>
        <v/>
      </c>
      <c r="Q16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65" s="67" t="str">
        <f aca="false">IF(Tasks[[#This Row],[Task Name]]="","",IF(Tasks[[#This Row],[_Level]]&lt;=OutlineShowLevel,"Yes","No"))</f>
        <v/>
      </c>
      <c r="S165" s="7"/>
      <c r="T165" s="21"/>
      <c r="U165" s="22"/>
      <c r="V165" s="7"/>
      <c r="W165" s="67" t="str">
        <f aca="false">IF(Tasks[[#This Row],[Task Name]]="","",IF(Tasks[[#This Row],[Finish]]&gt;=Tasks[[#This Row],[Planned Finish]],NETWORKDAYS.INTL(Tasks[[#This Row],[Planned Finish]],Tasks[[#This Row],[Finish]],WorkWeek,Holidays)-1,1-NETWORKDAYS.INTL(Tasks[[#This Row],[Finish]],Tasks[[#This Row],[Planned Finish]],WorkWeek,Holidays)))</f>
        <v/>
      </c>
      <c r="X165" s="58" t="str">
        <f aca="false">IF(Tasks[[#This Row],[Task Name]]="","",IF(N(Tasks[[#This Row],[Baseline Start]])&gt;0,Tasks[[#This Row],[Baseline Start]],Tasks[[#This Row],[_CalcStart]]))</f>
        <v/>
      </c>
      <c r="Y165" s="58" t="str">
        <f aca="false">IF(Tasks[[#This Row],[Task Name]]="","",IF(N(Tasks[[#This Row],[Baseline Finish]])&gt;0,Tasks[[#This Row],[Baseline Finish]],Tasks[[#This Row],[_CalcFinish]]))</f>
        <v/>
      </c>
      <c r="Z165" s="67" t="str">
        <f aca="false">IF(Tasks[[#This Row],[Task Name]]="","",IF(Tasks[[#This Row],[Start]]&gt;=Tasks[[#This Row],[Planned Start]],NETWORKDAYS.INTL(Tasks[[#This Row],[Planned Start]],Tasks[[#This Row],[Start]],WorkWeek,Holidays)-1,1-NETWORKDAYS.INTL(Tasks[[#This Row],[Start]],Tasks[[#This Row],[Planned Start]],WorkWeek,Holidays)))</f>
        <v/>
      </c>
      <c r="AA165" s="58" t="str">
        <f aca="false">IF(Tasks[[#This Row],[Task Name]]="","",IF(Tasks[[#This Row],[_IsSummary]],MIN(INDEX(Tasks[_LeafLateStart],Tasks[[#This Row],[_Row]]+1):INDEX(Tasks[_LeafLateStart],Tasks[[#This Row],[_Row]]+Tasks[[#This Row],[_Descendants]])),Tasks[[#This Row],[_LeafLateStart]]))</f>
        <v/>
      </c>
      <c r="AB165" s="58" t="str">
        <f aca="false">IF(Tasks[[#This Row],[Task Name]]="","",IF(Tasks[[#This Row],[_IsSummary]],MAX(INDEX(Tasks[_LeafLateFinish],Tasks[[#This Row],[_Row]]+1):INDEX(Tasks[_LeafLateFinish],Tasks[[#This Row],[_Row]]+Tasks[[#This Row],[_Descendants]])),Tasks[[#This Row],[_LeafLateFinish]]))</f>
        <v/>
      </c>
      <c r="AC165" s="67" t="str">
        <f aca="false">IF(Tasks[[#This Row],[Task Name]]="","",IF(Tasks[[#This Row],[_IsSummary]],MIN(INDEX(Tasks[_LeafTotalSlack],Tasks[[#This Row],[_Row]]+1):INDEX(Tasks[_LeafTotalSlack],Tasks[[#This Row],[_Row]]+Tasks[[#This Row],[_Descendants]])),Tasks[[#This Row],[_LeafTotalSlack]]))</f>
        <v/>
      </c>
      <c r="AD16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6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6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65" s="60"/>
      <c r="AH16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6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65" s="69" t="str">
        <f aca="false">IF(Tasks[[#This Row],[Task Name]]="","",IF(Tasks[[#This Row],[_IsSummary]],SUM(INDEX(Tasks[_LeafTotalWork],Tasks[[#This Row],[_Row]]+1):INDEX(Tasks[_LeafTotalWork],Tasks[[#This Row],[_Row]]+Tasks[[#This Row],[_Descendants]])),Tasks[[#This Row],[_LeafTotalWork]]))</f>
        <v/>
      </c>
      <c r="AK16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65" s="70" t="str">
        <f aca="false">IF(Tasks[[#This Row],[Task Name]]="","",IF(Tasks[[#This Row],[_IsSummary]],SUM(INDEX(Tasks[_LeafTotalCost],Tasks[[#This Row],[_Row]]+1):INDEX(Tasks[_LeafTotalCost],Tasks[[#This Row],[_Row]]+Tasks[[#This Row],[_Descendants]])),Tasks[[#This Row],[_LeafTotalCost]]))</f>
        <v/>
      </c>
      <c r="AM165" s="71"/>
      <c r="AN165" s="20" t="str">
        <f aca="false">IF(OR(Tasks[[#This Row],[Task Name]]="",Tasks[[#This Row],[Baseline Duration]]=""),"",Tasks[[#This Row],[BL Source Duration]]-N(Tasks[[#This Row],[Baseline Duration]]))</f>
        <v/>
      </c>
      <c r="AO165" s="69" t="str">
        <f aca="false">IF(OR(Tasks[[#This Row],[Task Name]]="",Tasks[[#This Row],[Baseline Work]]=""),"",Tasks[[#This Row],[Work]]-N(Tasks[[#This Row],[Baseline Work]]))</f>
        <v/>
      </c>
      <c r="AP165" s="70" t="str">
        <f aca="false">IF(OR(Tasks[[#This Row],[Task Name]]="",Tasks[[#This Row],[Baseline Cost]]=""),"",Tasks[[#This Row],[Cost]]-N(Tasks[[#This Row],[Baseline Cost]]))</f>
        <v/>
      </c>
      <c r="AQ165" s="58" t="str">
        <f aca="false">IF(Tasks[[#This Row],[Task Name]]="","",Tasks[[#This Row],[Start]])</f>
        <v/>
      </c>
      <c r="AR165" s="58" t="str">
        <f aca="false">IF(Tasks[[#This Row],[Task Name]]="","",Tasks[[#This Row],[Finish]])</f>
        <v/>
      </c>
      <c r="AS165" s="67" t="str">
        <f aca="false">IF(Tasks[[#This Row],[Task Name]]="","",IF(Tasks[[#This Row],[_IsSummary]],NETWORKDAYS.INTL(Tasks[[#This Row],[Start]],Tasks[[#This Row],[Finish]],WorkWeek,Holidays),N(Tasks[[#This Row],[Duration]])))</f>
        <v/>
      </c>
      <c r="AT165" s="69" t="str">
        <f aca="false">IF(Tasks[[#This Row],[Task Name]]="","",Tasks[[#This Row],[Work]])</f>
        <v/>
      </c>
      <c r="AU165" s="70" t="str">
        <f aca="false">IF(Tasks[[#This Row],[Task Name]]="","",Tasks[[#This Row],[Cost]])</f>
        <v/>
      </c>
      <c r="AV165" s="7"/>
      <c r="AW165" s="7"/>
      <c r="AX165" s="21"/>
      <c r="AY165" s="72"/>
      <c r="AZ165" s="71"/>
      <c r="BA165" s="70" t="str">
        <f aca="false">IF(Tasks[[#This Row],[Task Name]]="","",IF(Tasks[[#This Row],[_IsSummary]],SUM(INDEX(Tasks[_LeafEV],Tasks[[#This Row],[_Row]]+1):INDEX(Tasks[_LeafEV],Tasks[[#This Row],[_Row]]+Tasks[[#This Row],[_Descendants]])),Tasks[[#This Row],[_LeafEV]]))</f>
        <v/>
      </c>
      <c r="BB165" s="70" t="str">
        <f aca="false">IF(Tasks[[#This Row],[Task Name]]="","",IF(Tasks[[#This Row],[_IsSummary]],SUM(INDEX(Tasks[_LeafBudget],Tasks[[#This Row],[_Row]]+1):INDEX(Tasks[_LeafBudget],Tasks[[#This Row],[_Row]]+Tasks[[#This Row],[_Descendants]])),Tasks[[#This Row],[_LeafBudget]]))</f>
        <v/>
      </c>
      <c r="BC165" s="70" t="str">
        <f aca="false">IF(Tasks[[#This Row],[Task Name]]="","",IF(Tasks[[#This Row],[_IsSummary]],SUM(INDEX(Tasks[_LeafPV],Tasks[[#This Row],[_Row]]+1):INDEX(Tasks[_LeafPV],Tasks[[#This Row],[_Row]]+Tasks[[#This Row],[_Descendants]])),Tasks[[#This Row],[_LeafPV]]))</f>
        <v/>
      </c>
      <c r="BD165" s="70" t="str">
        <f aca="false">IF(Tasks[[#This Row],[Task Name]]="","",IF(Tasks[[#This Row],[_IsSummary]],SUM(INDEX(Tasks[_LeafAC],Tasks[[#This Row],[_Row]]+1):INDEX(Tasks[_LeafAC],Tasks[[#This Row],[_Row]]+Tasks[[#This Row],[_Descendants]])),Tasks[[#This Row],[_LeafAC]]))</f>
        <v/>
      </c>
      <c r="BE165" s="45" t="str">
        <f aca="false">IF(Tasks[[#This Row],[Task Name]]="","",MAX(1,N(Tasks[[#This Row],[Level]])))</f>
        <v/>
      </c>
      <c r="BF165" s="45" t="n">
        <f aca="false">ROW()-ROW(Tasks[[#Headers],[ID]])</f>
        <v>160</v>
      </c>
      <c r="BG165" s="45" t="n">
        <f aca="false">IF(OR(Tasks[[#This Row],[Task Name]]="",Tasks[[#This Row],[_Level]]&lt;=1),0,IFERROR(LOOKUP(2,1/(Tasks[[#Headers],[_Level]]:Tasks[[#This Row],[_Level]]=Tasks[[#This Row],[_Level]]-1),ROW(Tasks[[#Headers],[_Level]]:Tasks[[#This Row],[_Level]])),0))</f>
        <v>0</v>
      </c>
      <c r="BH165" s="45" t="n">
        <f aca="false">IFERROR(N(INDEX(Tasks[_Level],Tasks[[#This Row],[_Row]]+1)),0)</f>
        <v>0</v>
      </c>
      <c r="BI165" s="73" t="b">
        <f aca="false">AND(Tasks[[#This Row],[Task Name]]&lt;&gt;"",Tasks[[#This Row],[_NextLevel]]&gt;Tasks[[#This Row],[_Level]])</f>
        <v>0</v>
      </c>
      <c r="BJ165" s="45" t="n">
        <f aca="false">IF(Tasks[[#This Row],[_IsSummary]],COUNTIF(Tasks[WBS],Tasks[[#This Row],[WBS]]&amp;".*"),0)</f>
        <v>0</v>
      </c>
      <c r="BK165" s="45" t="n">
        <f aca="false">IF(AND(Tasks[[#This Row],[Task Name]]&lt;&gt;"",NOT(Tasks[[#This Row],[_IsSummary]])),1,0)</f>
        <v>0</v>
      </c>
      <c r="BL165" s="45" t="n">
        <f aca="false">IF(N(Tasks[[#This Row],[_Pred1UID]])=0,0,IFERROR(MATCH(Tasks[[#This Row],[_Pred1UID]],Tasks[UID],0),-1))</f>
        <v>0</v>
      </c>
      <c r="BM165" s="45" t="n">
        <f aca="false">IF(N(Tasks[[#This Row],[_Pred2UID]])=0,0,IFERROR(MATCH(Tasks[[#This Row],[_Pred2UID]],Tasks[UID],0),-1))</f>
        <v>0</v>
      </c>
      <c r="BN165" s="45" t="n">
        <f aca="false">IF(N(Tasks[[#This Row],[_Pred3UID]])=0,0,IFERROR(MATCH(Tasks[[#This Row],[_Pred3UID]],Tasks[UID],0),-1))</f>
        <v>0</v>
      </c>
      <c r="BO165" s="45" t="n">
        <f aca="false">IF(N(Tasks[[#This Row],[_Pred4UID]])=0,0,IFERROR(MATCH(Tasks[[#This Row],[_Pred4UID]],Tasks[UID],0),-1))</f>
        <v>0</v>
      </c>
      <c r="BP16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6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65" s="74" t="n">
        <f aca="false">IF(OR(Tasks[[#This Row],[_ConstraintCode]]=2,Tasks[[#This Row],[_ConstraintCode]]=3,Tasks[[#This Row],[_ConstraintCode]]=4,Tasks[[#This Row],[_ConstraintCode]]=6),Tasks[[#This Row],[_ConstraintStart]],0)</f>
        <v>0</v>
      </c>
      <c r="BS165" s="74" t="n">
        <f aca="false">IF(OR(Tasks[[#This Row],[_ConstraintCode]]=2,Tasks[[#This Row],[_ConstraintCode]]=3,Tasks[[#This Row],[_ConstraintCode]]=5,Tasks[[#This Row],[_ConstraintCode]]=7),Tasks[[#This Row],[_ConstraintStart]],2958465)</f>
        <v>2958465</v>
      </c>
      <c r="BT16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65" s="74" t="str">
        <f aca="false">IF(NOT(Tasks[[#This Row],[_IsLeaf]]=1),"",IF(N(Tasks[[#This Row],[Duration]])&lt;=0,Tasks[[#This Row],[_LeafCalcStart]],WORKDAY.INTL(Tasks[[#This Row],[_LeafCalcStart]],Tasks[[#This Row],[Duration]]-1,WorkWeek,Holidays)))</f>
        <v/>
      </c>
      <c r="BV16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6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65" s="45" t="str">
        <f aca="false">IF(Tasks[[#This Row],[Predecessors]]="","",TRIM(MID(SUBSTITUTE(SUBSTITUTE(SUBSTITUTE(UPPER(Tasks[[#This Row],[Predecessors]]),";",",")," ",""),",",REPT(" ",99)),1,99)))</f>
        <v/>
      </c>
      <c r="BY165" s="45" t="str">
        <f aca="false">IF(Tasks[[#This Row],[_Pred1Text]]="","",IFERROR(VALUE(LEFT(Tasks[[#This Row],[_Pred1Text]],MIN(FIND("F",Tasks[[#This Row],[_Pred1Text]]&amp;"F"),FIND("S",Tasks[[#This Row],[_Pred1Text]]&amp;"S"),FIND("+",Tasks[[#This Row],[_Pred1Text]]&amp;"+"),FIND("-",Tasks[[#This Row],[_Pred1Text]]&amp;"-"))-1)),""))</f>
        <v/>
      </c>
      <c r="BZ16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6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65" s="45" t="str">
        <f aca="false">IF(Tasks[[#This Row],[_Pred1Text]]="","",TRIM(MID(SUBSTITUTE(SUBSTITUTE(SUBSTITUTE(UPPER(Tasks[[#This Row],[Predecessors]]),";",",")," ",""),",",REPT(" ",99)),100,99)))</f>
        <v/>
      </c>
      <c r="CC165" s="45" t="str">
        <f aca="false">IF(Tasks[[#This Row],[_Pred2Text]]="","",IFERROR(VALUE(LEFT(Tasks[[#This Row],[_Pred2Text]],MIN(FIND("F",Tasks[[#This Row],[_Pred2Text]]&amp;"F"),FIND("S",Tasks[[#This Row],[_Pred2Text]]&amp;"S"),FIND("+",Tasks[[#This Row],[_Pred2Text]]&amp;"+"),FIND("-",Tasks[[#This Row],[_Pred2Text]]&amp;"-"))-1)),""))</f>
        <v/>
      </c>
      <c r="CD16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6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65" s="45" t="str">
        <f aca="false">IF(Tasks[[#This Row],[_Pred2Text]]="","",TRIM(MID(SUBSTITUTE(SUBSTITUTE(SUBSTITUTE(UPPER(Tasks[[#This Row],[Predecessors]]),";",",")," ",""),",",REPT(" ",99)),199,99)))</f>
        <v/>
      </c>
      <c r="CG165" s="45" t="str">
        <f aca="false">IF(Tasks[[#This Row],[_Pred3Text]]="","",IFERROR(VALUE(LEFT(Tasks[[#This Row],[_Pred3Text]],MIN(FIND("F",Tasks[[#This Row],[_Pred3Text]]&amp;"F"),FIND("S",Tasks[[#This Row],[_Pred3Text]]&amp;"S"),FIND("+",Tasks[[#This Row],[_Pred3Text]]&amp;"+"),FIND("-",Tasks[[#This Row],[_Pred3Text]]&amp;"-"))-1)),""))</f>
        <v/>
      </c>
      <c r="CH16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6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65" s="45" t="str">
        <f aca="false">IF(Tasks[[#This Row],[_Pred3Text]]="","",TRIM(MID(SUBSTITUTE(SUBSTITUTE(SUBSTITUTE(UPPER(Tasks[[#This Row],[Predecessors]]),";",",")," ",""),",",REPT(" ",99)),298,99)))</f>
        <v/>
      </c>
      <c r="CK165" s="45" t="str">
        <f aca="false">IF(Tasks[[#This Row],[_Pred4Text]]="","",IFERROR(VALUE(LEFT(Tasks[[#This Row],[_Pred4Text]],MIN(FIND("F",Tasks[[#This Row],[_Pred4Text]]&amp;"F"),FIND("S",Tasks[[#This Row],[_Pred4Text]]&amp;"S"),FIND("+",Tasks[[#This Row],[_Pred4Text]]&amp;"+"),FIND("-",Tasks[[#This Row],[_Pred4Text]]&amp;"-"))-1)),""))</f>
        <v/>
      </c>
      <c r="CL16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6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65" s="45" t="str">
        <f aca="false">IF(OR(Tasks[[#This Row],[Task Name]]="",Tasks[[#This Row],[Resources]]=""),"",TRIM(MID(SUBSTITUTE(Tasks[[#This Row],[Resources]],",",REPT(" ",99)),1,99)))</f>
        <v/>
      </c>
      <c r="CO165" s="45" t="str">
        <f aca="false">IF(Tasks[[#This Row],[_Res1Text]]="","",TRIM(MID(SUBSTITUTE(Tasks[[#This Row],[Resources]],",",REPT(" ",99)),100,99)))</f>
        <v/>
      </c>
      <c r="CP165" s="45" t="str">
        <f aca="false">IF(Tasks[[#This Row],[_Res2Text]]="","",TRIM(MID(SUBSTITUTE(Tasks[[#This Row],[Resources]],",",REPT(" ",99)),199,99)))</f>
        <v/>
      </c>
      <c r="CQ165" s="45" t="str">
        <f aca="false">IF(Tasks[[#This Row],[_Res3Text]]="","",TRIM(MID(SUBSTITUTE(Tasks[[#This Row],[Resources]],",",REPT(" ",99)),298,99)))</f>
        <v/>
      </c>
      <c r="CR16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6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5" s="45" t="n">
        <f aca="false">IF(NOT(Tasks[[#This Row],[_IsLeaf]]=1),0,(Tasks[[#This Row],[_Resource1]]&lt;&gt;"")+(Tasks[[#This Row],[_Res2]]&lt;&gt;"")+(Tasks[[#This Row],[_Res3]]&lt;&gt;"")+(Tasks[[#This Row],[_Res4]]&lt;&gt;""))</f>
        <v>0</v>
      </c>
      <c r="CU16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6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5" s="45" t="n">
        <f aca="false">IF(OR(NOT(Tasks[[#This Row],[_IsLeaf]]=1),Tasks[[#This Row],[_Res2]]=""),0,IF(ISNA(MATCH(Tasks[[#This Row],[_Res2]],res_Name,0)),0,N(Tasks[[#This Row],[Duration]])*HoursPerDay*IF(Tasks[[#This Row],[_Res2Units]]="",DefaultUnits,Tasks[[#This Row],[_Res2Units]])))</f>
        <v>0</v>
      </c>
      <c r="CX165" s="45" t="n">
        <f aca="false">IF(Tasks[[#This Row],[_Res2Work]]=0,0,Tasks[[#This Row],[_Res2Work]]*IFERROR(INDEX(res_Rate,MATCH(Tasks[[#This Row],[_Res2]],res_Name,0)),0))</f>
        <v>0</v>
      </c>
      <c r="CY165" s="45" t="n">
        <f aca="false">IF(AND(AND(Tasks[[#This Row],[_IsLeaf]]=1,Tasks[[#This Row],[_LeafTotalWork]]&gt;0),Tasks[[#This Row],[_Res2Work]]&gt;0),Tasks[[#This Row],[_Res2Work]]/(Tasks[[#This Row],[_FinishWorkday]]-Tasks[[#This Row],[_StartWorkday]]+1),0)</f>
        <v>0</v>
      </c>
      <c r="CZ165" s="45" t="n">
        <f aca="false">Tasks[[#This Row],[_Res2WorkPerWD]]*MAX(0,Tasks[[#This Row],[_StartWorkday]]-1)</f>
        <v>0</v>
      </c>
      <c r="DA165" s="45" t="n">
        <f aca="false">Tasks[[#This Row],[_Res2Work]]*Tasks[[#This Row],[_LeafProgress]]</f>
        <v>0</v>
      </c>
      <c r="DB165" s="45" t="n">
        <f aca="false">IF(Tasks[[#This Row],[_LeafTotalCost]]=0,0,Tasks[[#This Row],[_LeafAC]]*Tasks[[#This Row],[_Res2Cost]]/Tasks[[#This Row],[_LeafTotalCost]])</f>
        <v>0</v>
      </c>
      <c r="DC16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6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65" s="45" t="n">
        <f aca="false">IF(OR(NOT(Tasks[[#This Row],[_IsLeaf]]=1),Tasks[[#This Row],[_Res3]]=""),0,IF(ISNA(MATCH(Tasks[[#This Row],[_Res3]],res_Name,0)),0,N(Tasks[[#This Row],[Duration]])*HoursPerDay*IF(Tasks[[#This Row],[_Res3Units]]="",DefaultUnits,Tasks[[#This Row],[_Res3Units]])))</f>
        <v>0</v>
      </c>
      <c r="DF165" s="45" t="n">
        <f aca="false">IF(Tasks[[#This Row],[_Res3Work]]=0,0,Tasks[[#This Row],[_Res3Work]]*IFERROR(INDEX(res_Rate,MATCH(Tasks[[#This Row],[_Res3]],res_Name,0)),0))</f>
        <v>0</v>
      </c>
      <c r="DG165" s="45" t="n">
        <f aca="false">IF(AND(AND(Tasks[[#This Row],[_IsLeaf]]=1,Tasks[[#This Row],[_LeafTotalWork]]&gt;0),Tasks[[#This Row],[_Res3Work]]&gt;0),Tasks[[#This Row],[_Res3Work]]/(Tasks[[#This Row],[_FinishWorkday]]-Tasks[[#This Row],[_StartWorkday]]+1),0)</f>
        <v>0</v>
      </c>
      <c r="DH165" s="45" t="n">
        <f aca="false">Tasks[[#This Row],[_Res3WorkPerWD]]*MAX(0,Tasks[[#This Row],[_StartWorkday]]-1)</f>
        <v>0</v>
      </c>
      <c r="DI165" s="45" t="n">
        <f aca="false">Tasks[[#This Row],[_Res3Work]]*Tasks[[#This Row],[_LeafProgress]]</f>
        <v>0</v>
      </c>
      <c r="DJ165" s="45" t="n">
        <f aca="false">IF(Tasks[[#This Row],[_LeafTotalCost]]=0,0,Tasks[[#This Row],[_LeafAC]]*Tasks[[#This Row],[_Res3Cost]]/Tasks[[#This Row],[_LeafTotalCost]])</f>
        <v>0</v>
      </c>
      <c r="DK16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6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65" s="45" t="n">
        <f aca="false">IF(OR(NOT(Tasks[[#This Row],[_IsLeaf]]=1),Tasks[[#This Row],[_Res4]]=""),0,IF(ISNA(MATCH(Tasks[[#This Row],[_Res4]],res_Name,0)),0,N(Tasks[[#This Row],[Duration]])*HoursPerDay*IF(Tasks[[#This Row],[_Res4Units]]="",DefaultUnits,Tasks[[#This Row],[_Res4Units]])))</f>
        <v>0</v>
      </c>
      <c r="DN165" s="45" t="n">
        <f aca="false">IF(Tasks[[#This Row],[_Res4Work]]=0,0,Tasks[[#This Row],[_Res4Work]]*IFERROR(INDEX(res_Rate,MATCH(Tasks[[#This Row],[_Res4]],res_Name,0)),0))</f>
        <v>0</v>
      </c>
      <c r="DO165" s="45" t="n">
        <f aca="false">IF(AND(AND(Tasks[[#This Row],[_IsLeaf]]=1,Tasks[[#This Row],[_LeafTotalWork]]&gt;0),Tasks[[#This Row],[_Res4Work]]&gt;0),Tasks[[#This Row],[_Res4Work]]/(Tasks[[#This Row],[_FinishWorkday]]-Tasks[[#This Row],[_StartWorkday]]+1),0)</f>
        <v>0</v>
      </c>
      <c r="DP165" s="45" t="n">
        <f aca="false">Tasks[[#This Row],[_Res4WorkPerWD]]*MAX(0,Tasks[[#This Row],[_StartWorkday]]-1)</f>
        <v>0</v>
      </c>
      <c r="DQ165" s="45" t="n">
        <f aca="false">Tasks[[#This Row],[_Res4Work]]*Tasks[[#This Row],[_LeafProgress]]</f>
        <v>0</v>
      </c>
      <c r="DR165" s="45" t="n">
        <f aca="false">IF(Tasks[[#This Row],[_LeafTotalCost]]=0,0,Tasks[[#This Row],[_LeafAC]]*Tasks[[#This Row],[_Res4Cost]]/Tasks[[#This Row],[_LeafTotalCost]])</f>
        <v>0</v>
      </c>
      <c r="DS165" s="45" t="n">
        <f aca="false">IF(ISNUMBER(Tasks[[#This Row],[% Complete]]),Tasks[[#This Row],[% Complete]],IF(Tasks[[#This Row],[Stage]]="",0,IFERROR(INDEX(stg_Pct,MATCH(Tasks[[#This Row],[Stage]],stg_Name,0)),0)))</f>
        <v>0</v>
      </c>
      <c r="DT165" s="45" t="n">
        <f aca="false">IF(NOT(Tasks[[#This Row],[_IsLeaf]]=1),0,IF(N(Tasks[[#This Row],[Actual Finish]])&gt;0,1,MIN(1,Tasks[[#This Row],[_Pct]])))</f>
        <v>0</v>
      </c>
      <c r="DU165" s="45" t="n">
        <f aca="false">IF(OR(NOT(Tasks[[#This Row],[_IsLeaf]]=1),Tasks[[#This Row],[_Resource1]]=""),0,IF(ISNA(MATCH(Tasks[[#This Row],[_Resource1]],res_Name,0)),0,N(Tasks[[#This Row],[Duration]])*HoursPerDay*IF(Tasks[[#This Row],[_Units1]]="",DefaultUnits,Tasks[[#This Row],[_Units1]])))</f>
        <v>0</v>
      </c>
      <c r="DV165" s="45" t="n">
        <f aca="false">IF(Tasks[[#This Row],[_LeafWork]]=0,0,Tasks[[#This Row],[_LeafWork]]*IFERROR(INDEX(res_Rate,MATCH(Tasks[[#This Row],[_Resource1]],res_Name,0)),0))</f>
        <v>0</v>
      </c>
      <c r="DW165" s="45" t="n">
        <f aca="false">Tasks[[#This Row],[_LeafWork]]+Tasks[[#This Row],[_Res2Work]]+Tasks[[#This Row],[_Res3Work]]+Tasks[[#This Row],[_Res4Work]]</f>
        <v>0</v>
      </c>
      <c r="DX165" s="45" t="n">
        <f aca="false">Tasks[[#This Row],[_LeafCost]]+Tasks[[#This Row],[_Res2Cost]]+Tasks[[#This Row],[_Res3Cost]]+Tasks[[#This Row],[_Res4Cost]]</f>
        <v>0</v>
      </c>
      <c r="DY165" s="45" t="n">
        <f aca="false">IF(Tasks[[#This Row],[_LeafTotalCost]]=0,Tasks[[#This Row],[_LeafAC]],Tasks[[#This Row],[_LeafAC]]*Tasks[[#This Row],[_LeafCost]]/Tasks[[#This Row],[_LeafTotalCost]])</f>
        <v>0</v>
      </c>
      <c r="DZ16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6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6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6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6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6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6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6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65" s="45" t="n">
        <f aca="false">IF(NOT(Tasks[[#This Row],[_IsLeaf]]=1),0,MAX(_xlfn.MAXIFS(Tasks[_Row],Tasks[_Pred1UID],Tasks[[#This Row],[UID]]),_xlfn.MAXIFS(Tasks[_Row],Tasks[_Pred2UID],Tasks[[#This Row],[UID]]),_xlfn.MAXIFS(Tasks[_Row],Tasks[_Pred3UID],Tasks[[#This Row],[UID]]),_xlfn.MAXIFS(Tasks[_Row],Tasks[_Pred4UID],Tasks[[#This Row],[UID]])))</f>
        <v>0</v>
      </c>
      <c r="EI16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6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65" s="74" t="str">
        <f aca="false">IF(NOT(Tasks[[#This Row],[_IsLeaf]]=1),"",IF(N(Tasks[[#This Row],[Duration]])&lt;=0,Tasks[[#This Row],[_LeafLateFinish]],WORKDAY.INTL(Tasks[[#This Row],[_LeafLateFinish]],-(Tasks[[#This Row],[Duration]]-1),WorkWeek,Holidays)))</f>
        <v/>
      </c>
      <c r="EL16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65" s="73" t="b">
        <f aca="false">AND(Tasks[[#This Row],[_IsLeaf]]=1,Tasks[[#This Row],[_LeafProgress]]&lt;1,N(Tasks[[#This Row],[_LeafTotalSlack]])&lt;=CriticalSlackDays)</f>
        <v>0</v>
      </c>
      <c r="EN165" s="45" t="n">
        <f aca="false">IF(AND(Tasks[[#This Row],[_IsLeaf]]=1,Tasks[[#This Row],[_ConstraintCode]]=1,Tasks[[#This Row],[Mode]]&lt;&gt;"Manual",N(Tasks[[#This Row],[Actual Start]])=0),MAX(0,N(Tasks[[#This Row],[Free Slack]])),0)</f>
        <v>0</v>
      </c>
      <c r="EO165" s="74" t="str">
        <f aca="false">IF(NOT(Tasks[[#This Row],[_IsLeaf]]=1),"",IF(Tasks[[#This Row],[_AlapShift]]=0,Tasks[[#This Row],[_LeafCalcStart]],WORKDAY.INTL(Tasks[[#This Row],[_LeafCalcStart]],Tasks[[#This Row],[_AlapShift]],WorkWeek,Holidays)))</f>
        <v/>
      </c>
      <c r="EP165" s="74" t="str">
        <f aca="false">IF(NOT(Tasks[[#This Row],[_IsLeaf]]=1),"",IF(Tasks[[#This Row],[_AlapShift]]=0,Tasks[[#This Row],[_LeafCalcFinish]],WORKDAY.INTL(Tasks[[#This Row],[_LeafCalcFinish]],Tasks[[#This Row],[_AlapShift]],WorkWeek,Holidays)))</f>
        <v/>
      </c>
      <c r="EQ165" s="74" t="str">
        <f aca="false">IF(NOT(Tasks[[#This Row],[_IsLeaf]]=1),"",IF(Tasks[[#This Row],[_AlapShift]]=0,Tasks[[#This Row],[_LeafFcstStart]],WORKDAY.INTL(Tasks[[#This Row],[_LeafFcstStart]],Tasks[[#This Row],[_AlapShift]],WorkWeek,Holidays)))</f>
        <v/>
      </c>
      <c r="ER165" s="74" t="str">
        <f aca="false">IF(NOT(Tasks[[#This Row],[_IsLeaf]]=1),"",IF(Tasks[[#This Row],[_AlapShift]]=0,Tasks[[#This Row],[_LeafFcstFinish]],WORKDAY.INTL(Tasks[[#This Row],[_LeafFcstFinish]],Tasks[[#This Row],[_AlapShift]],WorkWeek,Holidays)))</f>
        <v/>
      </c>
      <c r="ES165" s="74" t="str">
        <f aca="false">IF(Tasks[[#This Row],[Task Name]]="","",IF(Tasks[[#This Row],[_IsSummary]],MIN(INDEX(Tasks[_ShownCalcStart],Tasks[[#This Row],[_Row]]+1):INDEX(Tasks[_ShownCalcStart],Tasks[[#This Row],[_Row]]+Tasks[[#This Row],[_Descendants]])),Tasks[[#This Row],[_ShownCalcStart]]))</f>
        <v/>
      </c>
      <c r="ET165" s="74" t="str">
        <f aca="false">IF(Tasks[[#This Row],[Task Name]]="","",IF(Tasks[[#This Row],[_IsSummary]],MAX(INDEX(Tasks[_ShownCalcFinish],Tasks[[#This Row],[_Row]]+1):INDEX(Tasks[_ShownCalcFinish],Tasks[[#This Row],[_Row]]+Tasks[[#This Row],[_Descendants]])),Tasks[[#This Row],[_ShownCalcFinish]]))</f>
        <v/>
      </c>
      <c r="EU16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6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6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6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6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6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6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6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6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6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6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6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65" s="45" t="n">
        <f aca="false">IF(AND(Tasks[[#This Row],[_IsLeaf]]=1,Tasks[[#This Row],[_LeafTotalWork]]&gt;0),NETWORKDAYS.INTL(ProjectStart,Tasks[[#This Row],[_ShownFcstStart]],WorkWeek,Holidays),0)</f>
        <v>0</v>
      </c>
      <c r="FH165" s="45" t="n">
        <f aca="false">IF(AND(Tasks[[#This Row],[_IsLeaf]]=1,Tasks[[#This Row],[_LeafTotalWork]]&gt;0),MAX(Tasks[[#This Row],[_StartWorkday]],NETWORKDAYS.INTL(ProjectStart,Tasks[[#This Row],[_ShownFcstFinish]],WorkWeek,Holidays)),0)</f>
        <v>0</v>
      </c>
      <c r="FI165" s="45" t="n">
        <f aca="false">IF(AND(Tasks[[#This Row],[_IsLeaf]]=1,Tasks[[#This Row],[_LeafTotalWork]]&gt;0),Tasks[[#This Row],[_LeafWork]]/(Tasks[[#This Row],[_FinishWorkday]]-Tasks[[#This Row],[_StartWorkday]]+1),0)</f>
        <v>0</v>
      </c>
      <c r="FJ165" s="45" t="n">
        <f aca="false">Tasks[[#This Row],[_WorkPerWorkday]]*(Tasks[[#This Row],[_StartWorkday]]-1)</f>
        <v>-0</v>
      </c>
      <c r="FK165" s="45" t="n">
        <f aca="false">IF(Tasks[[#This Row],[_IsLeaf]]=1,MAX(N(Tasks[[#This Row],[Duration]]),0.1),0)</f>
        <v>0</v>
      </c>
      <c r="FL165" s="45" t="n">
        <f aca="false">Tasks[[#This Row],[_WeightDur]]*Tasks[[#This Row],[_LeafProgress]]</f>
        <v>0</v>
      </c>
      <c r="FM16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65" s="45" t="str">
        <f aca="false">IF(AND(Tasks[[#This Row],[_IsLeaf]]=1,N(Tasks[[#This Row],[Duration]])=0,Tasks[[#This Row],[_LeafProgress]]&lt;1),Tasks[[#This Row],[_ShownFcstFinish]]+Tasks[[#This Row],[_Row]]/100000,"")</f>
        <v/>
      </c>
      <c r="FO16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65" s="45" t="n">
        <f aca="false">IF(NOT(Tasks[[#This Row],[_IsLeaf]]=1),0,IF(Tasks[[#This Row],[Baseline Cost]]="",Tasks[[#This Row],[_LeafTotalCost]],N(Tasks[[#This Row],[Baseline Cost]])))</f>
        <v>0</v>
      </c>
      <c r="FQ165" s="45" t="n">
        <f aca="false">Tasks[[#This Row],[_LeafBudget]]*Tasks[[#This Row],[_PlannedPct]]</f>
        <v>0</v>
      </c>
      <c r="FR165" s="45" t="n">
        <f aca="false">Tasks[[#This Row],[_LeafBudget]]*Tasks[[#This Row],[_LeafProgress]]</f>
        <v>0</v>
      </c>
      <c r="FS165" s="45" t="n">
        <f aca="false">IF(NOT(Tasks[[#This Row],[_IsLeaf]]=1),0,IF(Tasks[[#This Row],[Actual Cost]]="",Tasks[[#This Row],[_LeafTotalCost]]*Tasks[[#This Row],[_LeafProgress]],N(Tasks[[#This Row],[Actual Cost]])))</f>
        <v>0</v>
      </c>
      <c r="FT165" s="45" t="str">
        <f aca="false">IF(Tasks[[#This Row],[Task Name]]="","",LEFT(Tasks[[#This Row],[WBS]],FIND(".",Tasks[[#This Row],[WBS]]&amp;".")-1))</f>
        <v/>
      </c>
      <c r="FU165" s="45" t="str">
        <f aca="false">IF(AND(Tasks[[#This Row],[Task Name]]&lt;&gt;"",Tasks[[#This Row],[_Level]]=1),Tasks[[#This Row],[_Row]],"")</f>
        <v/>
      </c>
      <c r="FV165" s="45" t="str">
        <f aca="false">IF(AND(Tasks[[#This Row],[_IsLeaf]]=1,N(Tasks[[#This Row],[Duration]])=0),Tasks[[#This Row],[Planned Finish]]+Tasks[[#This Row],[_Row]]/100000,"")</f>
        <v/>
      </c>
      <c r="FW165" s="45" t="str">
        <f aca="false">IF(AND(Tasks[[#This Row],[_IsLeaf]]=1,Tasks[[#This Row],[_LeafProgress]]&lt;1,OR(N(Tasks[[#This Row],[Finish Var]])&gt;0,Tasks[[#This Row],[Status]]="Late Start")),MAX(0,Tasks[[#This Row],[Finish Var]])+1-Tasks[[#This Row],[_Row]]/1000000,"")</f>
        <v/>
      </c>
      <c r="FX165" s="45" t="str">
        <f aca="false">IF(AND(Tasks[[#This Row],[_IsLeaf]]=1,N(Tasks[[#This Row],[Actual Start]])=0,Tasks[[#This Row],[_ShownFcstStart]]&gt;=StatusDate,Tasks[[#This Row],[_ShownFcstStart]]&lt;=LookaheadEnd),Tasks[[#This Row],[_ShownFcstStart]]+Tasks[[#This Row],[_Row]]/100000,"")</f>
        <v/>
      </c>
      <c r="FY165" s="45" t="str">
        <f aca="false">IF(AND(Tasks[[#This Row],[_IsLeaf]]=1,Tasks[[#This Row],[_LeafProgress]]&lt;1,Tasks[[#This Row],[_ShownFcstFinish]]&gt;=StatusDate,Tasks[[#This Row],[_ShownFcstFinish]]&lt;=LookaheadEnd),Tasks[[#This Row],[_ShownFcstFinish]]+Tasks[[#This Row],[_Row]]/100000,"")</f>
        <v/>
      </c>
      <c r="FZ165" s="45" t="str">
        <f aca="false">IF(Tasks[[#This Row],[_LeafCritical]],Tasks[[#This Row],[_ShownFcstStart]]+Tasks[[#This Row],[_Row]]/100000,"")</f>
        <v/>
      </c>
      <c r="GA165" s="45" t="n">
        <f aca="false">Tasks[[#This Row],[_LeafWork]]*Tasks[[#This Row],[_LeafProgress]]</f>
        <v>0</v>
      </c>
      <c r="GB165" s="74" t="str">
        <f aca="false">IF(AND(Tasks[[#This Row],[_IsLeaf]]=1,Tasks[[#This Row],[_LeafProgress]]&gt;=1),IF(N(Tasks[[#This Row],[Actual Finish]])&gt;0,Tasks[[#This Row],[Actual Finish]],Tasks[[#This Row],[_ShownFcstFinish]]),"")</f>
        <v/>
      </c>
    </row>
    <row r="166" customFormat="false" ht="15" hidden="false" customHeight="false" outlineLevel="0" collapsed="false">
      <c r="A166" s="67" t="str">
        <f aca="false">IF(Tasks[[#This Row],[Task Name]]="","",COUNTA(Tasks[[#Headers],[Task Name]]:Tasks[[#This Row],[Task Name]])-1)</f>
        <v/>
      </c>
      <c r="B166" s="21" t="n">
        <v>161</v>
      </c>
      <c r="C16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21"/>
      <c r="E166" s="22"/>
      <c r="F166" s="21"/>
      <c r="G166" s="22"/>
      <c r="H166" s="22"/>
      <c r="I166" s="22"/>
      <c r="J166" s="7"/>
      <c r="K166" s="7"/>
      <c r="L166" s="22"/>
      <c r="M166" s="58" t="str">
        <f aca="false">IF(Tasks[[#This Row],[Task Name]]="","",IF(Tasks[[#This Row],[_IsSummary]],MIN(INDEX(Tasks[_ShownFcstStart],Tasks[[#This Row],[_Row]]+1):INDEX(Tasks[_ShownFcstStart],Tasks[[#This Row],[_Row]]+Tasks[[#This Row],[_Descendants]])),Tasks[[#This Row],[_ShownFcstStart]]))</f>
        <v/>
      </c>
      <c r="N166" s="58" t="str">
        <f aca="false">IF(Tasks[[#This Row],[Task Name]]="","",IF(Tasks[[#This Row],[_IsSummary]],MAX(INDEX(Tasks[_ShownFcstFinish],Tasks[[#This Row],[_Row]]+1):INDEX(Tasks[_ShownFcstFinish],Tasks[[#This Row],[_Row]]+Tasks[[#This Row],[_Descendants]])),Tasks[[#This Row],[_ShownFcstFinish]]))</f>
        <v/>
      </c>
      <c r="O166" s="20" t="str">
        <f aca="false">IF(Tasks[[#This Row],[Task Name]]="","",IF(Tasks[[#This Row],[Progress]]&gt;=1,"Complete",IF(OR(N(Tasks[[#This Row],[Actual Start]])&gt;0,Tasks[[#This Row],[Progress]]&gt;0),IF(Tasks[[#This Row],[Finish Var]]&gt;0,"Behind","In Progress"),IF(Tasks[[#This Row],[Planned Start]]&lt;StatusDate,"Late Start","Not Started"))))</f>
        <v/>
      </c>
      <c r="P166" s="20" t="str">
        <f aca="false">IF(Tasks[[#This Row],[Task Name]]="","",IF(IF(Tasks[[#This Row],[_IsSummary]],COUNTIF(INDEX(Tasks[_LeafCritical],Tasks[[#This Row],[_Row]]+1):INDEX(Tasks[_LeafCritical],Tasks[[#This Row],[_Row]]+Tasks[[#This Row],[_Descendants]]),TRUE())&gt;0,Tasks[[#This Row],[_LeafCritical]]),"Yes",""))</f>
        <v/>
      </c>
      <c r="Q16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66" s="67" t="str">
        <f aca="false">IF(Tasks[[#This Row],[Task Name]]="","",IF(Tasks[[#This Row],[_Level]]&lt;=OutlineShowLevel,"Yes","No"))</f>
        <v/>
      </c>
      <c r="S166" s="7"/>
      <c r="T166" s="21"/>
      <c r="U166" s="22"/>
      <c r="V166" s="7"/>
      <c r="W166" s="67" t="str">
        <f aca="false">IF(Tasks[[#This Row],[Task Name]]="","",IF(Tasks[[#This Row],[Finish]]&gt;=Tasks[[#This Row],[Planned Finish]],NETWORKDAYS.INTL(Tasks[[#This Row],[Planned Finish]],Tasks[[#This Row],[Finish]],WorkWeek,Holidays)-1,1-NETWORKDAYS.INTL(Tasks[[#This Row],[Finish]],Tasks[[#This Row],[Planned Finish]],WorkWeek,Holidays)))</f>
        <v/>
      </c>
      <c r="X166" s="58" t="str">
        <f aca="false">IF(Tasks[[#This Row],[Task Name]]="","",IF(N(Tasks[[#This Row],[Baseline Start]])&gt;0,Tasks[[#This Row],[Baseline Start]],Tasks[[#This Row],[_CalcStart]]))</f>
        <v/>
      </c>
      <c r="Y166" s="58" t="str">
        <f aca="false">IF(Tasks[[#This Row],[Task Name]]="","",IF(N(Tasks[[#This Row],[Baseline Finish]])&gt;0,Tasks[[#This Row],[Baseline Finish]],Tasks[[#This Row],[_CalcFinish]]))</f>
        <v/>
      </c>
      <c r="Z166" s="67" t="str">
        <f aca="false">IF(Tasks[[#This Row],[Task Name]]="","",IF(Tasks[[#This Row],[Start]]&gt;=Tasks[[#This Row],[Planned Start]],NETWORKDAYS.INTL(Tasks[[#This Row],[Planned Start]],Tasks[[#This Row],[Start]],WorkWeek,Holidays)-1,1-NETWORKDAYS.INTL(Tasks[[#This Row],[Start]],Tasks[[#This Row],[Planned Start]],WorkWeek,Holidays)))</f>
        <v/>
      </c>
      <c r="AA166" s="58" t="str">
        <f aca="false">IF(Tasks[[#This Row],[Task Name]]="","",IF(Tasks[[#This Row],[_IsSummary]],MIN(INDEX(Tasks[_LeafLateStart],Tasks[[#This Row],[_Row]]+1):INDEX(Tasks[_LeafLateStart],Tasks[[#This Row],[_Row]]+Tasks[[#This Row],[_Descendants]])),Tasks[[#This Row],[_LeafLateStart]]))</f>
        <v/>
      </c>
      <c r="AB166" s="58" t="str">
        <f aca="false">IF(Tasks[[#This Row],[Task Name]]="","",IF(Tasks[[#This Row],[_IsSummary]],MAX(INDEX(Tasks[_LeafLateFinish],Tasks[[#This Row],[_Row]]+1):INDEX(Tasks[_LeafLateFinish],Tasks[[#This Row],[_Row]]+Tasks[[#This Row],[_Descendants]])),Tasks[[#This Row],[_LeafLateFinish]]))</f>
        <v/>
      </c>
      <c r="AC166" s="67" t="str">
        <f aca="false">IF(Tasks[[#This Row],[Task Name]]="","",IF(Tasks[[#This Row],[_IsSummary]],MIN(INDEX(Tasks[_LeafTotalSlack],Tasks[[#This Row],[_Row]]+1):INDEX(Tasks[_LeafTotalSlack],Tasks[[#This Row],[_Row]]+Tasks[[#This Row],[_Descendants]])),Tasks[[#This Row],[_LeafTotalSlack]]))</f>
        <v/>
      </c>
      <c r="AD16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6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6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66" s="60"/>
      <c r="AH16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6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66" s="69" t="str">
        <f aca="false">IF(Tasks[[#This Row],[Task Name]]="","",IF(Tasks[[#This Row],[_IsSummary]],SUM(INDEX(Tasks[_LeafTotalWork],Tasks[[#This Row],[_Row]]+1):INDEX(Tasks[_LeafTotalWork],Tasks[[#This Row],[_Row]]+Tasks[[#This Row],[_Descendants]])),Tasks[[#This Row],[_LeafTotalWork]]))</f>
        <v/>
      </c>
      <c r="AK16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66" s="70" t="str">
        <f aca="false">IF(Tasks[[#This Row],[Task Name]]="","",IF(Tasks[[#This Row],[_IsSummary]],SUM(INDEX(Tasks[_LeafTotalCost],Tasks[[#This Row],[_Row]]+1):INDEX(Tasks[_LeafTotalCost],Tasks[[#This Row],[_Row]]+Tasks[[#This Row],[_Descendants]])),Tasks[[#This Row],[_LeafTotalCost]]))</f>
        <v/>
      </c>
      <c r="AM166" s="71"/>
      <c r="AN166" s="20" t="str">
        <f aca="false">IF(OR(Tasks[[#This Row],[Task Name]]="",Tasks[[#This Row],[Baseline Duration]]=""),"",Tasks[[#This Row],[BL Source Duration]]-N(Tasks[[#This Row],[Baseline Duration]]))</f>
        <v/>
      </c>
      <c r="AO166" s="69" t="str">
        <f aca="false">IF(OR(Tasks[[#This Row],[Task Name]]="",Tasks[[#This Row],[Baseline Work]]=""),"",Tasks[[#This Row],[Work]]-N(Tasks[[#This Row],[Baseline Work]]))</f>
        <v/>
      </c>
      <c r="AP166" s="70" t="str">
        <f aca="false">IF(OR(Tasks[[#This Row],[Task Name]]="",Tasks[[#This Row],[Baseline Cost]]=""),"",Tasks[[#This Row],[Cost]]-N(Tasks[[#This Row],[Baseline Cost]]))</f>
        <v/>
      </c>
      <c r="AQ166" s="58" t="str">
        <f aca="false">IF(Tasks[[#This Row],[Task Name]]="","",Tasks[[#This Row],[Start]])</f>
        <v/>
      </c>
      <c r="AR166" s="58" t="str">
        <f aca="false">IF(Tasks[[#This Row],[Task Name]]="","",Tasks[[#This Row],[Finish]])</f>
        <v/>
      </c>
      <c r="AS166" s="67" t="str">
        <f aca="false">IF(Tasks[[#This Row],[Task Name]]="","",IF(Tasks[[#This Row],[_IsSummary]],NETWORKDAYS.INTL(Tasks[[#This Row],[Start]],Tasks[[#This Row],[Finish]],WorkWeek,Holidays),N(Tasks[[#This Row],[Duration]])))</f>
        <v/>
      </c>
      <c r="AT166" s="69" t="str">
        <f aca="false">IF(Tasks[[#This Row],[Task Name]]="","",Tasks[[#This Row],[Work]])</f>
        <v/>
      </c>
      <c r="AU166" s="70" t="str">
        <f aca="false">IF(Tasks[[#This Row],[Task Name]]="","",Tasks[[#This Row],[Cost]])</f>
        <v/>
      </c>
      <c r="AV166" s="7"/>
      <c r="AW166" s="7"/>
      <c r="AX166" s="21"/>
      <c r="AY166" s="72"/>
      <c r="AZ166" s="71"/>
      <c r="BA166" s="70" t="str">
        <f aca="false">IF(Tasks[[#This Row],[Task Name]]="","",IF(Tasks[[#This Row],[_IsSummary]],SUM(INDEX(Tasks[_LeafEV],Tasks[[#This Row],[_Row]]+1):INDEX(Tasks[_LeafEV],Tasks[[#This Row],[_Row]]+Tasks[[#This Row],[_Descendants]])),Tasks[[#This Row],[_LeafEV]]))</f>
        <v/>
      </c>
      <c r="BB166" s="70" t="str">
        <f aca="false">IF(Tasks[[#This Row],[Task Name]]="","",IF(Tasks[[#This Row],[_IsSummary]],SUM(INDEX(Tasks[_LeafBudget],Tasks[[#This Row],[_Row]]+1):INDEX(Tasks[_LeafBudget],Tasks[[#This Row],[_Row]]+Tasks[[#This Row],[_Descendants]])),Tasks[[#This Row],[_LeafBudget]]))</f>
        <v/>
      </c>
      <c r="BC166" s="70" t="str">
        <f aca="false">IF(Tasks[[#This Row],[Task Name]]="","",IF(Tasks[[#This Row],[_IsSummary]],SUM(INDEX(Tasks[_LeafPV],Tasks[[#This Row],[_Row]]+1):INDEX(Tasks[_LeafPV],Tasks[[#This Row],[_Row]]+Tasks[[#This Row],[_Descendants]])),Tasks[[#This Row],[_LeafPV]]))</f>
        <v/>
      </c>
      <c r="BD166" s="70" t="str">
        <f aca="false">IF(Tasks[[#This Row],[Task Name]]="","",IF(Tasks[[#This Row],[_IsSummary]],SUM(INDEX(Tasks[_LeafAC],Tasks[[#This Row],[_Row]]+1):INDEX(Tasks[_LeafAC],Tasks[[#This Row],[_Row]]+Tasks[[#This Row],[_Descendants]])),Tasks[[#This Row],[_LeafAC]]))</f>
        <v/>
      </c>
      <c r="BE166" s="45" t="str">
        <f aca="false">IF(Tasks[[#This Row],[Task Name]]="","",MAX(1,N(Tasks[[#This Row],[Level]])))</f>
        <v/>
      </c>
      <c r="BF166" s="45" t="n">
        <f aca="false">ROW()-ROW(Tasks[[#Headers],[ID]])</f>
        <v>161</v>
      </c>
      <c r="BG166" s="45" t="n">
        <f aca="false">IF(OR(Tasks[[#This Row],[Task Name]]="",Tasks[[#This Row],[_Level]]&lt;=1),0,IFERROR(LOOKUP(2,1/(Tasks[[#Headers],[_Level]]:Tasks[[#This Row],[_Level]]=Tasks[[#This Row],[_Level]]-1),ROW(Tasks[[#Headers],[_Level]]:Tasks[[#This Row],[_Level]])),0))</f>
        <v>0</v>
      </c>
      <c r="BH166" s="45" t="n">
        <f aca="false">IFERROR(N(INDEX(Tasks[_Level],Tasks[[#This Row],[_Row]]+1)),0)</f>
        <v>0</v>
      </c>
      <c r="BI166" s="73" t="b">
        <f aca="false">AND(Tasks[[#This Row],[Task Name]]&lt;&gt;"",Tasks[[#This Row],[_NextLevel]]&gt;Tasks[[#This Row],[_Level]])</f>
        <v>0</v>
      </c>
      <c r="BJ166" s="45" t="n">
        <f aca="false">IF(Tasks[[#This Row],[_IsSummary]],COUNTIF(Tasks[WBS],Tasks[[#This Row],[WBS]]&amp;".*"),0)</f>
        <v>0</v>
      </c>
      <c r="BK166" s="45" t="n">
        <f aca="false">IF(AND(Tasks[[#This Row],[Task Name]]&lt;&gt;"",NOT(Tasks[[#This Row],[_IsSummary]])),1,0)</f>
        <v>0</v>
      </c>
      <c r="BL166" s="45" t="n">
        <f aca="false">IF(N(Tasks[[#This Row],[_Pred1UID]])=0,0,IFERROR(MATCH(Tasks[[#This Row],[_Pred1UID]],Tasks[UID],0),-1))</f>
        <v>0</v>
      </c>
      <c r="BM166" s="45" t="n">
        <f aca="false">IF(N(Tasks[[#This Row],[_Pred2UID]])=0,0,IFERROR(MATCH(Tasks[[#This Row],[_Pred2UID]],Tasks[UID],0),-1))</f>
        <v>0</v>
      </c>
      <c r="BN166" s="45" t="n">
        <f aca="false">IF(N(Tasks[[#This Row],[_Pred3UID]])=0,0,IFERROR(MATCH(Tasks[[#This Row],[_Pred3UID]],Tasks[UID],0),-1))</f>
        <v>0</v>
      </c>
      <c r="BO166" s="45" t="n">
        <f aca="false">IF(N(Tasks[[#This Row],[_Pred4UID]])=0,0,IFERROR(MATCH(Tasks[[#This Row],[_Pred4UID]],Tasks[UID],0),-1))</f>
        <v>0</v>
      </c>
      <c r="BP16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6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66" s="74" t="n">
        <f aca="false">IF(OR(Tasks[[#This Row],[_ConstraintCode]]=2,Tasks[[#This Row],[_ConstraintCode]]=3,Tasks[[#This Row],[_ConstraintCode]]=4,Tasks[[#This Row],[_ConstraintCode]]=6),Tasks[[#This Row],[_ConstraintStart]],0)</f>
        <v>0</v>
      </c>
      <c r="BS166" s="74" t="n">
        <f aca="false">IF(OR(Tasks[[#This Row],[_ConstraintCode]]=2,Tasks[[#This Row],[_ConstraintCode]]=3,Tasks[[#This Row],[_ConstraintCode]]=5,Tasks[[#This Row],[_ConstraintCode]]=7),Tasks[[#This Row],[_ConstraintStart]],2958465)</f>
        <v>2958465</v>
      </c>
      <c r="BT16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66" s="74" t="str">
        <f aca="false">IF(NOT(Tasks[[#This Row],[_IsLeaf]]=1),"",IF(N(Tasks[[#This Row],[Duration]])&lt;=0,Tasks[[#This Row],[_LeafCalcStart]],WORKDAY.INTL(Tasks[[#This Row],[_LeafCalcStart]],Tasks[[#This Row],[Duration]]-1,WorkWeek,Holidays)))</f>
        <v/>
      </c>
      <c r="BV16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6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66" s="45" t="str">
        <f aca="false">IF(Tasks[[#This Row],[Predecessors]]="","",TRIM(MID(SUBSTITUTE(SUBSTITUTE(SUBSTITUTE(UPPER(Tasks[[#This Row],[Predecessors]]),";",",")," ",""),",",REPT(" ",99)),1,99)))</f>
        <v/>
      </c>
      <c r="BY166" s="45" t="str">
        <f aca="false">IF(Tasks[[#This Row],[_Pred1Text]]="","",IFERROR(VALUE(LEFT(Tasks[[#This Row],[_Pred1Text]],MIN(FIND("F",Tasks[[#This Row],[_Pred1Text]]&amp;"F"),FIND("S",Tasks[[#This Row],[_Pred1Text]]&amp;"S"),FIND("+",Tasks[[#This Row],[_Pred1Text]]&amp;"+"),FIND("-",Tasks[[#This Row],[_Pred1Text]]&amp;"-"))-1)),""))</f>
        <v/>
      </c>
      <c r="BZ16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6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66" s="45" t="str">
        <f aca="false">IF(Tasks[[#This Row],[_Pred1Text]]="","",TRIM(MID(SUBSTITUTE(SUBSTITUTE(SUBSTITUTE(UPPER(Tasks[[#This Row],[Predecessors]]),";",",")," ",""),",",REPT(" ",99)),100,99)))</f>
        <v/>
      </c>
      <c r="CC166" s="45" t="str">
        <f aca="false">IF(Tasks[[#This Row],[_Pred2Text]]="","",IFERROR(VALUE(LEFT(Tasks[[#This Row],[_Pred2Text]],MIN(FIND("F",Tasks[[#This Row],[_Pred2Text]]&amp;"F"),FIND("S",Tasks[[#This Row],[_Pred2Text]]&amp;"S"),FIND("+",Tasks[[#This Row],[_Pred2Text]]&amp;"+"),FIND("-",Tasks[[#This Row],[_Pred2Text]]&amp;"-"))-1)),""))</f>
        <v/>
      </c>
      <c r="CD16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6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66" s="45" t="str">
        <f aca="false">IF(Tasks[[#This Row],[_Pred2Text]]="","",TRIM(MID(SUBSTITUTE(SUBSTITUTE(SUBSTITUTE(UPPER(Tasks[[#This Row],[Predecessors]]),";",",")," ",""),",",REPT(" ",99)),199,99)))</f>
        <v/>
      </c>
      <c r="CG166" s="45" t="str">
        <f aca="false">IF(Tasks[[#This Row],[_Pred3Text]]="","",IFERROR(VALUE(LEFT(Tasks[[#This Row],[_Pred3Text]],MIN(FIND("F",Tasks[[#This Row],[_Pred3Text]]&amp;"F"),FIND("S",Tasks[[#This Row],[_Pred3Text]]&amp;"S"),FIND("+",Tasks[[#This Row],[_Pred3Text]]&amp;"+"),FIND("-",Tasks[[#This Row],[_Pred3Text]]&amp;"-"))-1)),""))</f>
        <v/>
      </c>
      <c r="CH16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6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66" s="45" t="str">
        <f aca="false">IF(Tasks[[#This Row],[_Pred3Text]]="","",TRIM(MID(SUBSTITUTE(SUBSTITUTE(SUBSTITUTE(UPPER(Tasks[[#This Row],[Predecessors]]),";",",")," ",""),",",REPT(" ",99)),298,99)))</f>
        <v/>
      </c>
      <c r="CK166" s="45" t="str">
        <f aca="false">IF(Tasks[[#This Row],[_Pred4Text]]="","",IFERROR(VALUE(LEFT(Tasks[[#This Row],[_Pred4Text]],MIN(FIND("F",Tasks[[#This Row],[_Pred4Text]]&amp;"F"),FIND("S",Tasks[[#This Row],[_Pred4Text]]&amp;"S"),FIND("+",Tasks[[#This Row],[_Pred4Text]]&amp;"+"),FIND("-",Tasks[[#This Row],[_Pred4Text]]&amp;"-"))-1)),""))</f>
        <v/>
      </c>
      <c r="CL16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6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66" s="45" t="str">
        <f aca="false">IF(OR(Tasks[[#This Row],[Task Name]]="",Tasks[[#This Row],[Resources]]=""),"",TRIM(MID(SUBSTITUTE(Tasks[[#This Row],[Resources]],",",REPT(" ",99)),1,99)))</f>
        <v/>
      </c>
      <c r="CO166" s="45" t="str">
        <f aca="false">IF(Tasks[[#This Row],[_Res1Text]]="","",TRIM(MID(SUBSTITUTE(Tasks[[#This Row],[Resources]],",",REPT(" ",99)),100,99)))</f>
        <v/>
      </c>
      <c r="CP166" s="45" t="str">
        <f aca="false">IF(Tasks[[#This Row],[_Res2Text]]="","",TRIM(MID(SUBSTITUTE(Tasks[[#This Row],[Resources]],",",REPT(" ",99)),199,99)))</f>
        <v/>
      </c>
      <c r="CQ166" s="45" t="str">
        <f aca="false">IF(Tasks[[#This Row],[_Res3Text]]="","",TRIM(MID(SUBSTITUTE(Tasks[[#This Row],[Resources]],",",REPT(" ",99)),298,99)))</f>
        <v/>
      </c>
      <c r="CR16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6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6" s="45" t="n">
        <f aca="false">IF(NOT(Tasks[[#This Row],[_IsLeaf]]=1),0,(Tasks[[#This Row],[_Resource1]]&lt;&gt;"")+(Tasks[[#This Row],[_Res2]]&lt;&gt;"")+(Tasks[[#This Row],[_Res3]]&lt;&gt;"")+(Tasks[[#This Row],[_Res4]]&lt;&gt;""))</f>
        <v>0</v>
      </c>
      <c r="CU16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6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6" s="45" t="n">
        <f aca="false">IF(OR(NOT(Tasks[[#This Row],[_IsLeaf]]=1),Tasks[[#This Row],[_Res2]]=""),0,IF(ISNA(MATCH(Tasks[[#This Row],[_Res2]],res_Name,0)),0,N(Tasks[[#This Row],[Duration]])*HoursPerDay*IF(Tasks[[#This Row],[_Res2Units]]="",DefaultUnits,Tasks[[#This Row],[_Res2Units]])))</f>
        <v>0</v>
      </c>
      <c r="CX166" s="45" t="n">
        <f aca="false">IF(Tasks[[#This Row],[_Res2Work]]=0,0,Tasks[[#This Row],[_Res2Work]]*IFERROR(INDEX(res_Rate,MATCH(Tasks[[#This Row],[_Res2]],res_Name,0)),0))</f>
        <v>0</v>
      </c>
      <c r="CY166" s="45" t="n">
        <f aca="false">IF(AND(AND(Tasks[[#This Row],[_IsLeaf]]=1,Tasks[[#This Row],[_LeafTotalWork]]&gt;0),Tasks[[#This Row],[_Res2Work]]&gt;0),Tasks[[#This Row],[_Res2Work]]/(Tasks[[#This Row],[_FinishWorkday]]-Tasks[[#This Row],[_StartWorkday]]+1),0)</f>
        <v>0</v>
      </c>
      <c r="CZ166" s="45" t="n">
        <f aca="false">Tasks[[#This Row],[_Res2WorkPerWD]]*MAX(0,Tasks[[#This Row],[_StartWorkday]]-1)</f>
        <v>0</v>
      </c>
      <c r="DA166" s="45" t="n">
        <f aca="false">Tasks[[#This Row],[_Res2Work]]*Tasks[[#This Row],[_LeafProgress]]</f>
        <v>0</v>
      </c>
      <c r="DB166" s="45" t="n">
        <f aca="false">IF(Tasks[[#This Row],[_LeafTotalCost]]=0,0,Tasks[[#This Row],[_LeafAC]]*Tasks[[#This Row],[_Res2Cost]]/Tasks[[#This Row],[_LeafTotalCost]])</f>
        <v>0</v>
      </c>
      <c r="DC16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6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66" s="45" t="n">
        <f aca="false">IF(OR(NOT(Tasks[[#This Row],[_IsLeaf]]=1),Tasks[[#This Row],[_Res3]]=""),0,IF(ISNA(MATCH(Tasks[[#This Row],[_Res3]],res_Name,0)),0,N(Tasks[[#This Row],[Duration]])*HoursPerDay*IF(Tasks[[#This Row],[_Res3Units]]="",DefaultUnits,Tasks[[#This Row],[_Res3Units]])))</f>
        <v>0</v>
      </c>
      <c r="DF166" s="45" t="n">
        <f aca="false">IF(Tasks[[#This Row],[_Res3Work]]=0,0,Tasks[[#This Row],[_Res3Work]]*IFERROR(INDEX(res_Rate,MATCH(Tasks[[#This Row],[_Res3]],res_Name,0)),0))</f>
        <v>0</v>
      </c>
      <c r="DG166" s="45" t="n">
        <f aca="false">IF(AND(AND(Tasks[[#This Row],[_IsLeaf]]=1,Tasks[[#This Row],[_LeafTotalWork]]&gt;0),Tasks[[#This Row],[_Res3Work]]&gt;0),Tasks[[#This Row],[_Res3Work]]/(Tasks[[#This Row],[_FinishWorkday]]-Tasks[[#This Row],[_StartWorkday]]+1),0)</f>
        <v>0</v>
      </c>
      <c r="DH166" s="45" t="n">
        <f aca="false">Tasks[[#This Row],[_Res3WorkPerWD]]*MAX(0,Tasks[[#This Row],[_StartWorkday]]-1)</f>
        <v>0</v>
      </c>
      <c r="DI166" s="45" t="n">
        <f aca="false">Tasks[[#This Row],[_Res3Work]]*Tasks[[#This Row],[_LeafProgress]]</f>
        <v>0</v>
      </c>
      <c r="DJ166" s="45" t="n">
        <f aca="false">IF(Tasks[[#This Row],[_LeafTotalCost]]=0,0,Tasks[[#This Row],[_LeafAC]]*Tasks[[#This Row],[_Res3Cost]]/Tasks[[#This Row],[_LeafTotalCost]])</f>
        <v>0</v>
      </c>
      <c r="DK16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6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66" s="45" t="n">
        <f aca="false">IF(OR(NOT(Tasks[[#This Row],[_IsLeaf]]=1),Tasks[[#This Row],[_Res4]]=""),0,IF(ISNA(MATCH(Tasks[[#This Row],[_Res4]],res_Name,0)),0,N(Tasks[[#This Row],[Duration]])*HoursPerDay*IF(Tasks[[#This Row],[_Res4Units]]="",DefaultUnits,Tasks[[#This Row],[_Res4Units]])))</f>
        <v>0</v>
      </c>
      <c r="DN166" s="45" t="n">
        <f aca="false">IF(Tasks[[#This Row],[_Res4Work]]=0,0,Tasks[[#This Row],[_Res4Work]]*IFERROR(INDEX(res_Rate,MATCH(Tasks[[#This Row],[_Res4]],res_Name,0)),0))</f>
        <v>0</v>
      </c>
      <c r="DO166" s="45" t="n">
        <f aca="false">IF(AND(AND(Tasks[[#This Row],[_IsLeaf]]=1,Tasks[[#This Row],[_LeafTotalWork]]&gt;0),Tasks[[#This Row],[_Res4Work]]&gt;0),Tasks[[#This Row],[_Res4Work]]/(Tasks[[#This Row],[_FinishWorkday]]-Tasks[[#This Row],[_StartWorkday]]+1),0)</f>
        <v>0</v>
      </c>
      <c r="DP166" s="45" t="n">
        <f aca="false">Tasks[[#This Row],[_Res4WorkPerWD]]*MAX(0,Tasks[[#This Row],[_StartWorkday]]-1)</f>
        <v>0</v>
      </c>
      <c r="DQ166" s="45" t="n">
        <f aca="false">Tasks[[#This Row],[_Res4Work]]*Tasks[[#This Row],[_LeafProgress]]</f>
        <v>0</v>
      </c>
      <c r="DR166" s="45" t="n">
        <f aca="false">IF(Tasks[[#This Row],[_LeafTotalCost]]=0,0,Tasks[[#This Row],[_LeafAC]]*Tasks[[#This Row],[_Res4Cost]]/Tasks[[#This Row],[_LeafTotalCost]])</f>
        <v>0</v>
      </c>
      <c r="DS166" s="45" t="n">
        <f aca="false">IF(ISNUMBER(Tasks[[#This Row],[% Complete]]),Tasks[[#This Row],[% Complete]],IF(Tasks[[#This Row],[Stage]]="",0,IFERROR(INDEX(stg_Pct,MATCH(Tasks[[#This Row],[Stage]],stg_Name,0)),0)))</f>
        <v>0</v>
      </c>
      <c r="DT166" s="45" t="n">
        <f aca="false">IF(NOT(Tasks[[#This Row],[_IsLeaf]]=1),0,IF(N(Tasks[[#This Row],[Actual Finish]])&gt;0,1,MIN(1,Tasks[[#This Row],[_Pct]])))</f>
        <v>0</v>
      </c>
      <c r="DU166" s="45" t="n">
        <f aca="false">IF(OR(NOT(Tasks[[#This Row],[_IsLeaf]]=1),Tasks[[#This Row],[_Resource1]]=""),0,IF(ISNA(MATCH(Tasks[[#This Row],[_Resource1]],res_Name,0)),0,N(Tasks[[#This Row],[Duration]])*HoursPerDay*IF(Tasks[[#This Row],[_Units1]]="",DefaultUnits,Tasks[[#This Row],[_Units1]])))</f>
        <v>0</v>
      </c>
      <c r="DV166" s="45" t="n">
        <f aca="false">IF(Tasks[[#This Row],[_LeafWork]]=0,0,Tasks[[#This Row],[_LeafWork]]*IFERROR(INDEX(res_Rate,MATCH(Tasks[[#This Row],[_Resource1]],res_Name,0)),0))</f>
        <v>0</v>
      </c>
      <c r="DW166" s="45" t="n">
        <f aca="false">Tasks[[#This Row],[_LeafWork]]+Tasks[[#This Row],[_Res2Work]]+Tasks[[#This Row],[_Res3Work]]+Tasks[[#This Row],[_Res4Work]]</f>
        <v>0</v>
      </c>
      <c r="DX166" s="45" t="n">
        <f aca="false">Tasks[[#This Row],[_LeafCost]]+Tasks[[#This Row],[_Res2Cost]]+Tasks[[#This Row],[_Res3Cost]]+Tasks[[#This Row],[_Res4Cost]]</f>
        <v>0</v>
      </c>
      <c r="DY166" s="45" t="n">
        <f aca="false">IF(Tasks[[#This Row],[_LeafTotalCost]]=0,Tasks[[#This Row],[_LeafAC]],Tasks[[#This Row],[_LeafAC]]*Tasks[[#This Row],[_LeafCost]]/Tasks[[#This Row],[_LeafTotalCost]])</f>
        <v>0</v>
      </c>
      <c r="DZ16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6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6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6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6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6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6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6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66" s="45" t="n">
        <f aca="false">IF(NOT(Tasks[[#This Row],[_IsLeaf]]=1),0,MAX(_xlfn.MAXIFS(Tasks[_Row],Tasks[_Pred1UID],Tasks[[#This Row],[UID]]),_xlfn.MAXIFS(Tasks[_Row],Tasks[_Pred2UID],Tasks[[#This Row],[UID]]),_xlfn.MAXIFS(Tasks[_Row],Tasks[_Pred3UID],Tasks[[#This Row],[UID]]),_xlfn.MAXIFS(Tasks[_Row],Tasks[_Pred4UID],Tasks[[#This Row],[UID]])))</f>
        <v>0</v>
      </c>
      <c r="EI16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6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66" s="74" t="str">
        <f aca="false">IF(NOT(Tasks[[#This Row],[_IsLeaf]]=1),"",IF(N(Tasks[[#This Row],[Duration]])&lt;=0,Tasks[[#This Row],[_LeafLateFinish]],WORKDAY.INTL(Tasks[[#This Row],[_LeafLateFinish]],-(Tasks[[#This Row],[Duration]]-1),WorkWeek,Holidays)))</f>
        <v/>
      </c>
      <c r="EL16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66" s="73" t="b">
        <f aca="false">AND(Tasks[[#This Row],[_IsLeaf]]=1,Tasks[[#This Row],[_LeafProgress]]&lt;1,N(Tasks[[#This Row],[_LeafTotalSlack]])&lt;=CriticalSlackDays)</f>
        <v>0</v>
      </c>
      <c r="EN166" s="45" t="n">
        <f aca="false">IF(AND(Tasks[[#This Row],[_IsLeaf]]=1,Tasks[[#This Row],[_ConstraintCode]]=1,Tasks[[#This Row],[Mode]]&lt;&gt;"Manual",N(Tasks[[#This Row],[Actual Start]])=0),MAX(0,N(Tasks[[#This Row],[Free Slack]])),0)</f>
        <v>0</v>
      </c>
      <c r="EO166" s="74" t="str">
        <f aca="false">IF(NOT(Tasks[[#This Row],[_IsLeaf]]=1),"",IF(Tasks[[#This Row],[_AlapShift]]=0,Tasks[[#This Row],[_LeafCalcStart]],WORKDAY.INTL(Tasks[[#This Row],[_LeafCalcStart]],Tasks[[#This Row],[_AlapShift]],WorkWeek,Holidays)))</f>
        <v/>
      </c>
      <c r="EP166" s="74" t="str">
        <f aca="false">IF(NOT(Tasks[[#This Row],[_IsLeaf]]=1),"",IF(Tasks[[#This Row],[_AlapShift]]=0,Tasks[[#This Row],[_LeafCalcFinish]],WORKDAY.INTL(Tasks[[#This Row],[_LeafCalcFinish]],Tasks[[#This Row],[_AlapShift]],WorkWeek,Holidays)))</f>
        <v/>
      </c>
      <c r="EQ166" s="74" t="str">
        <f aca="false">IF(NOT(Tasks[[#This Row],[_IsLeaf]]=1),"",IF(Tasks[[#This Row],[_AlapShift]]=0,Tasks[[#This Row],[_LeafFcstStart]],WORKDAY.INTL(Tasks[[#This Row],[_LeafFcstStart]],Tasks[[#This Row],[_AlapShift]],WorkWeek,Holidays)))</f>
        <v/>
      </c>
      <c r="ER166" s="74" t="str">
        <f aca="false">IF(NOT(Tasks[[#This Row],[_IsLeaf]]=1),"",IF(Tasks[[#This Row],[_AlapShift]]=0,Tasks[[#This Row],[_LeafFcstFinish]],WORKDAY.INTL(Tasks[[#This Row],[_LeafFcstFinish]],Tasks[[#This Row],[_AlapShift]],WorkWeek,Holidays)))</f>
        <v/>
      </c>
      <c r="ES166" s="74" t="str">
        <f aca="false">IF(Tasks[[#This Row],[Task Name]]="","",IF(Tasks[[#This Row],[_IsSummary]],MIN(INDEX(Tasks[_ShownCalcStart],Tasks[[#This Row],[_Row]]+1):INDEX(Tasks[_ShownCalcStart],Tasks[[#This Row],[_Row]]+Tasks[[#This Row],[_Descendants]])),Tasks[[#This Row],[_ShownCalcStart]]))</f>
        <v/>
      </c>
      <c r="ET166" s="74" t="str">
        <f aca="false">IF(Tasks[[#This Row],[Task Name]]="","",IF(Tasks[[#This Row],[_IsSummary]],MAX(INDEX(Tasks[_ShownCalcFinish],Tasks[[#This Row],[_Row]]+1):INDEX(Tasks[_ShownCalcFinish],Tasks[[#This Row],[_Row]]+Tasks[[#This Row],[_Descendants]])),Tasks[[#This Row],[_ShownCalcFinish]]))</f>
        <v/>
      </c>
      <c r="EU16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6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6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6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6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6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6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6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6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6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6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6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66" s="45" t="n">
        <f aca="false">IF(AND(Tasks[[#This Row],[_IsLeaf]]=1,Tasks[[#This Row],[_LeafTotalWork]]&gt;0),NETWORKDAYS.INTL(ProjectStart,Tasks[[#This Row],[_ShownFcstStart]],WorkWeek,Holidays),0)</f>
        <v>0</v>
      </c>
      <c r="FH166" s="45" t="n">
        <f aca="false">IF(AND(Tasks[[#This Row],[_IsLeaf]]=1,Tasks[[#This Row],[_LeafTotalWork]]&gt;0),MAX(Tasks[[#This Row],[_StartWorkday]],NETWORKDAYS.INTL(ProjectStart,Tasks[[#This Row],[_ShownFcstFinish]],WorkWeek,Holidays)),0)</f>
        <v>0</v>
      </c>
      <c r="FI166" s="45" t="n">
        <f aca="false">IF(AND(Tasks[[#This Row],[_IsLeaf]]=1,Tasks[[#This Row],[_LeafTotalWork]]&gt;0),Tasks[[#This Row],[_LeafWork]]/(Tasks[[#This Row],[_FinishWorkday]]-Tasks[[#This Row],[_StartWorkday]]+1),0)</f>
        <v>0</v>
      </c>
      <c r="FJ166" s="45" t="n">
        <f aca="false">Tasks[[#This Row],[_WorkPerWorkday]]*(Tasks[[#This Row],[_StartWorkday]]-1)</f>
        <v>-0</v>
      </c>
      <c r="FK166" s="45" t="n">
        <f aca="false">IF(Tasks[[#This Row],[_IsLeaf]]=1,MAX(N(Tasks[[#This Row],[Duration]]),0.1),0)</f>
        <v>0</v>
      </c>
      <c r="FL166" s="45" t="n">
        <f aca="false">Tasks[[#This Row],[_WeightDur]]*Tasks[[#This Row],[_LeafProgress]]</f>
        <v>0</v>
      </c>
      <c r="FM16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66" s="45" t="str">
        <f aca="false">IF(AND(Tasks[[#This Row],[_IsLeaf]]=1,N(Tasks[[#This Row],[Duration]])=0,Tasks[[#This Row],[_LeafProgress]]&lt;1),Tasks[[#This Row],[_ShownFcstFinish]]+Tasks[[#This Row],[_Row]]/100000,"")</f>
        <v/>
      </c>
      <c r="FO16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66" s="45" t="n">
        <f aca="false">IF(NOT(Tasks[[#This Row],[_IsLeaf]]=1),0,IF(Tasks[[#This Row],[Baseline Cost]]="",Tasks[[#This Row],[_LeafTotalCost]],N(Tasks[[#This Row],[Baseline Cost]])))</f>
        <v>0</v>
      </c>
      <c r="FQ166" s="45" t="n">
        <f aca="false">Tasks[[#This Row],[_LeafBudget]]*Tasks[[#This Row],[_PlannedPct]]</f>
        <v>0</v>
      </c>
      <c r="FR166" s="45" t="n">
        <f aca="false">Tasks[[#This Row],[_LeafBudget]]*Tasks[[#This Row],[_LeafProgress]]</f>
        <v>0</v>
      </c>
      <c r="FS166" s="45" t="n">
        <f aca="false">IF(NOT(Tasks[[#This Row],[_IsLeaf]]=1),0,IF(Tasks[[#This Row],[Actual Cost]]="",Tasks[[#This Row],[_LeafTotalCost]]*Tasks[[#This Row],[_LeafProgress]],N(Tasks[[#This Row],[Actual Cost]])))</f>
        <v>0</v>
      </c>
      <c r="FT166" s="45" t="str">
        <f aca="false">IF(Tasks[[#This Row],[Task Name]]="","",LEFT(Tasks[[#This Row],[WBS]],FIND(".",Tasks[[#This Row],[WBS]]&amp;".")-1))</f>
        <v/>
      </c>
      <c r="FU166" s="45" t="str">
        <f aca="false">IF(AND(Tasks[[#This Row],[Task Name]]&lt;&gt;"",Tasks[[#This Row],[_Level]]=1),Tasks[[#This Row],[_Row]],"")</f>
        <v/>
      </c>
      <c r="FV166" s="45" t="str">
        <f aca="false">IF(AND(Tasks[[#This Row],[_IsLeaf]]=1,N(Tasks[[#This Row],[Duration]])=0),Tasks[[#This Row],[Planned Finish]]+Tasks[[#This Row],[_Row]]/100000,"")</f>
        <v/>
      </c>
      <c r="FW166" s="45" t="str">
        <f aca="false">IF(AND(Tasks[[#This Row],[_IsLeaf]]=1,Tasks[[#This Row],[_LeafProgress]]&lt;1,OR(N(Tasks[[#This Row],[Finish Var]])&gt;0,Tasks[[#This Row],[Status]]="Late Start")),MAX(0,Tasks[[#This Row],[Finish Var]])+1-Tasks[[#This Row],[_Row]]/1000000,"")</f>
        <v/>
      </c>
      <c r="FX166" s="45" t="str">
        <f aca="false">IF(AND(Tasks[[#This Row],[_IsLeaf]]=1,N(Tasks[[#This Row],[Actual Start]])=0,Tasks[[#This Row],[_ShownFcstStart]]&gt;=StatusDate,Tasks[[#This Row],[_ShownFcstStart]]&lt;=LookaheadEnd),Tasks[[#This Row],[_ShownFcstStart]]+Tasks[[#This Row],[_Row]]/100000,"")</f>
        <v/>
      </c>
      <c r="FY166" s="45" t="str">
        <f aca="false">IF(AND(Tasks[[#This Row],[_IsLeaf]]=1,Tasks[[#This Row],[_LeafProgress]]&lt;1,Tasks[[#This Row],[_ShownFcstFinish]]&gt;=StatusDate,Tasks[[#This Row],[_ShownFcstFinish]]&lt;=LookaheadEnd),Tasks[[#This Row],[_ShownFcstFinish]]+Tasks[[#This Row],[_Row]]/100000,"")</f>
        <v/>
      </c>
      <c r="FZ166" s="45" t="str">
        <f aca="false">IF(Tasks[[#This Row],[_LeafCritical]],Tasks[[#This Row],[_ShownFcstStart]]+Tasks[[#This Row],[_Row]]/100000,"")</f>
        <v/>
      </c>
      <c r="GA166" s="45" t="n">
        <f aca="false">Tasks[[#This Row],[_LeafWork]]*Tasks[[#This Row],[_LeafProgress]]</f>
        <v>0</v>
      </c>
      <c r="GB166" s="74" t="str">
        <f aca="false">IF(AND(Tasks[[#This Row],[_IsLeaf]]=1,Tasks[[#This Row],[_LeafProgress]]&gt;=1),IF(N(Tasks[[#This Row],[Actual Finish]])&gt;0,Tasks[[#This Row],[Actual Finish]],Tasks[[#This Row],[_ShownFcstFinish]]),"")</f>
        <v/>
      </c>
    </row>
    <row r="167" customFormat="false" ht="15" hidden="false" customHeight="false" outlineLevel="0" collapsed="false">
      <c r="A167" s="67" t="str">
        <f aca="false">IF(Tasks[[#This Row],[Task Name]]="","",COUNTA(Tasks[[#Headers],[Task Name]]:Tasks[[#This Row],[Task Name]])-1)</f>
        <v/>
      </c>
      <c r="B167" s="21" t="n">
        <v>162</v>
      </c>
      <c r="C16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21"/>
      <c r="E167" s="22"/>
      <c r="F167" s="21"/>
      <c r="G167" s="22"/>
      <c r="H167" s="22"/>
      <c r="I167" s="22"/>
      <c r="J167" s="7"/>
      <c r="K167" s="7"/>
      <c r="L167" s="22"/>
      <c r="M167" s="58" t="str">
        <f aca="false">IF(Tasks[[#This Row],[Task Name]]="","",IF(Tasks[[#This Row],[_IsSummary]],MIN(INDEX(Tasks[_ShownFcstStart],Tasks[[#This Row],[_Row]]+1):INDEX(Tasks[_ShownFcstStart],Tasks[[#This Row],[_Row]]+Tasks[[#This Row],[_Descendants]])),Tasks[[#This Row],[_ShownFcstStart]]))</f>
        <v/>
      </c>
      <c r="N167" s="58" t="str">
        <f aca="false">IF(Tasks[[#This Row],[Task Name]]="","",IF(Tasks[[#This Row],[_IsSummary]],MAX(INDEX(Tasks[_ShownFcstFinish],Tasks[[#This Row],[_Row]]+1):INDEX(Tasks[_ShownFcstFinish],Tasks[[#This Row],[_Row]]+Tasks[[#This Row],[_Descendants]])),Tasks[[#This Row],[_ShownFcstFinish]]))</f>
        <v/>
      </c>
      <c r="O167" s="20" t="str">
        <f aca="false">IF(Tasks[[#This Row],[Task Name]]="","",IF(Tasks[[#This Row],[Progress]]&gt;=1,"Complete",IF(OR(N(Tasks[[#This Row],[Actual Start]])&gt;0,Tasks[[#This Row],[Progress]]&gt;0),IF(Tasks[[#This Row],[Finish Var]]&gt;0,"Behind","In Progress"),IF(Tasks[[#This Row],[Planned Start]]&lt;StatusDate,"Late Start","Not Started"))))</f>
        <v/>
      </c>
      <c r="P167" s="20" t="str">
        <f aca="false">IF(Tasks[[#This Row],[Task Name]]="","",IF(IF(Tasks[[#This Row],[_IsSummary]],COUNTIF(INDEX(Tasks[_LeafCritical],Tasks[[#This Row],[_Row]]+1):INDEX(Tasks[_LeafCritical],Tasks[[#This Row],[_Row]]+Tasks[[#This Row],[_Descendants]]),TRUE())&gt;0,Tasks[[#This Row],[_LeafCritical]]),"Yes",""))</f>
        <v/>
      </c>
      <c r="Q16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67" s="67" t="str">
        <f aca="false">IF(Tasks[[#This Row],[Task Name]]="","",IF(Tasks[[#This Row],[_Level]]&lt;=OutlineShowLevel,"Yes","No"))</f>
        <v/>
      </c>
      <c r="S167" s="7"/>
      <c r="T167" s="21"/>
      <c r="U167" s="22"/>
      <c r="V167" s="7"/>
      <c r="W167" s="67" t="str">
        <f aca="false">IF(Tasks[[#This Row],[Task Name]]="","",IF(Tasks[[#This Row],[Finish]]&gt;=Tasks[[#This Row],[Planned Finish]],NETWORKDAYS.INTL(Tasks[[#This Row],[Planned Finish]],Tasks[[#This Row],[Finish]],WorkWeek,Holidays)-1,1-NETWORKDAYS.INTL(Tasks[[#This Row],[Finish]],Tasks[[#This Row],[Planned Finish]],WorkWeek,Holidays)))</f>
        <v/>
      </c>
      <c r="X167" s="58" t="str">
        <f aca="false">IF(Tasks[[#This Row],[Task Name]]="","",IF(N(Tasks[[#This Row],[Baseline Start]])&gt;0,Tasks[[#This Row],[Baseline Start]],Tasks[[#This Row],[_CalcStart]]))</f>
        <v/>
      </c>
      <c r="Y167" s="58" t="str">
        <f aca="false">IF(Tasks[[#This Row],[Task Name]]="","",IF(N(Tasks[[#This Row],[Baseline Finish]])&gt;0,Tasks[[#This Row],[Baseline Finish]],Tasks[[#This Row],[_CalcFinish]]))</f>
        <v/>
      </c>
      <c r="Z167" s="67" t="str">
        <f aca="false">IF(Tasks[[#This Row],[Task Name]]="","",IF(Tasks[[#This Row],[Start]]&gt;=Tasks[[#This Row],[Planned Start]],NETWORKDAYS.INTL(Tasks[[#This Row],[Planned Start]],Tasks[[#This Row],[Start]],WorkWeek,Holidays)-1,1-NETWORKDAYS.INTL(Tasks[[#This Row],[Start]],Tasks[[#This Row],[Planned Start]],WorkWeek,Holidays)))</f>
        <v/>
      </c>
      <c r="AA167" s="58" t="str">
        <f aca="false">IF(Tasks[[#This Row],[Task Name]]="","",IF(Tasks[[#This Row],[_IsSummary]],MIN(INDEX(Tasks[_LeafLateStart],Tasks[[#This Row],[_Row]]+1):INDEX(Tasks[_LeafLateStart],Tasks[[#This Row],[_Row]]+Tasks[[#This Row],[_Descendants]])),Tasks[[#This Row],[_LeafLateStart]]))</f>
        <v/>
      </c>
      <c r="AB167" s="58" t="str">
        <f aca="false">IF(Tasks[[#This Row],[Task Name]]="","",IF(Tasks[[#This Row],[_IsSummary]],MAX(INDEX(Tasks[_LeafLateFinish],Tasks[[#This Row],[_Row]]+1):INDEX(Tasks[_LeafLateFinish],Tasks[[#This Row],[_Row]]+Tasks[[#This Row],[_Descendants]])),Tasks[[#This Row],[_LeafLateFinish]]))</f>
        <v/>
      </c>
      <c r="AC167" s="67" t="str">
        <f aca="false">IF(Tasks[[#This Row],[Task Name]]="","",IF(Tasks[[#This Row],[_IsSummary]],MIN(INDEX(Tasks[_LeafTotalSlack],Tasks[[#This Row],[_Row]]+1):INDEX(Tasks[_LeafTotalSlack],Tasks[[#This Row],[_Row]]+Tasks[[#This Row],[_Descendants]])),Tasks[[#This Row],[_LeafTotalSlack]]))</f>
        <v/>
      </c>
      <c r="AD16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6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6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67" s="60"/>
      <c r="AH16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6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67" s="69" t="str">
        <f aca="false">IF(Tasks[[#This Row],[Task Name]]="","",IF(Tasks[[#This Row],[_IsSummary]],SUM(INDEX(Tasks[_LeafTotalWork],Tasks[[#This Row],[_Row]]+1):INDEX(Tasks[_LeafTotalWork],Tasks[[#This Row],[_Row]]+Tasks[[#This Row],[_Descendants]])),Tasks[[#This Row],[_LeafTotalWork]]))</f>
        <v/>
      </c>
      <c r="AK16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67" s="70" t="str">
        <f aca="false">IF(Tasks[[#This Row],[Task Name]]="","",IF(Tasks[[#This Row],[_IsSummary]],SUM(INDEX(Tasks[_LeafTotalCost],Tasks[[#This Row],[_Row]]+1):INDEX(Tasks[_LeafTotalCost],Tasks[[#This Row],[_Row]]+Tasks[[#This Row],[_Descendants]])),Tasks[[#This Row],[_LeafTotalCost]]))</f>
        <v/>
      </c>
      <c r="AM167" s="71"/>
      <c r="AN167" s="20" t="str">
        <f aca="false">IF(OR(Tasks[[#This Row],[Task Name]]="",Tasks[[#This Row],[Baseline Duration]]=""),"",Tasks[[#This Row],[BL Source Duration]]-N(Tasks[[#This Row],[Baseline Duration]]))</f>
        <v/>
      </c>
      <c r="AO167" s="69" t="str">
        <f aca="false">IF(OR(Tasks[[#This Row],[Task Name]]="",Tasks[[#This Row],[Baseline Work]]=""),"",Tasks[[#This Row],[Work]]-N(Tasks[[#This Row],[Baseline Work]]))</f>
        <v/>
      </c>
      <c r="AP167" s="70" t="str">
        <f aca="false">IF(OR(Tasks[[#This Row],[Task Name]]="",Tasks[[#This Row],[Baseline Cost]]=""),"",Tasks[[#This Row],[Cost]]-N(Tasks[[#This Row],[Baseline Cost]]))</f>
        <v/>
      </c>
      <c r="AQ167" s="58" t="str">
        <f aca="false">IF(Tasks[[#This Row],[Task Name]]="","",Tasks[[#This Row],[Start]])</f>
        <v/>
      </c>
      <c r="AR167" s="58" t="str">
        <f aca="false">IF(Tasks[[#This Row],[Task Name]]="","",Tasks[[#This Row],[Finish]])</f>
        <v/>
      </c>
      <c r="AS167" s="67" t="str">
        <f aca="false">IF(Tasks[[#This Row],[Task Name]]="","",IF(Tasks[[#This Row],[_IsSummary]],NETWORKDAYS.INTL(Tasks[[#This Row],[Start]],Tasks[[#This Row],[Finish]],WorkWeek,Holidays),N(Tasks[[#This Row],[Duration]])))</f>
        <v/>
      </c>
      <c r="AT167" s="69" t="str">
        <f aca="false">IF(Tasks[[#This Row],[Task Name]]="","",Tasks[[#This Row],[Work]])</f>
        <v/>
      </c>
      <c r="AU167" s="70" t="str">
        <f aca="false">IF(Tasks[[#This Row],[Task Name]]="","",Tasks[[#This Row],[Cost]])</f>
        <v/>
      </c>
      <c r="AV167" s="7"/>
      <c r="AW167" s="7"/>
      <c r="AX167" s="21"/>
      <c r="AY167" s="72"/>
      <c r="AZ167" s="71"/>
      <c r="BA167" s="70" t="str">
        <f aca="false">IF(Tasks[[#This Row],[Task Name]]="","",IF(Tasks[[#This Row],[_IsSummary]],SUM(INDEX(Tasks[_LeafEV],Tasks[[#This Row],[_Row]]+1):INDEX(Tasks[_LeafEV],Tasks[[#This Row],[_Row]]+Tasks[[#This Row],[_Descendants]])),Tasks[[#This Row],[_LeafEV]]))</f>
        <v/>
      </c>
      <c r="BB167" s="70" t="str">
        <f aca="false">IF(Tasks[[#This Row],[Task Name]]="","",IF(Tasks[[#This Row],[_IsSummary]],SUM(INDEX(Tasks[_LeafBudget],Tasks[[#This Row],[_Row]]+1):INDEX(Tasks[_LeafBudget],Tasks[[#This Row],[_Row]]+Tasks[[#This Row],[_Descendants]])),Tasks[[#This Row],[_LeafBudget]]))</f>
        <v/>
      </c>
      <c r="BC167" s="70" t="str">
        <f aca="false">IF(Tasks[[#This Row],[Task Name]]="","",IF(Tasks[[#This Row],[_IsSummary]],SUM(INDEX(Tasks[_LeafPV],Tasks[[#This Row],[_Row]]+1):INDEX(Tasks[_LeafPV],Tasks[[#This Row],[_Row]]+Tasks[[#This Row],[_Descendants]])),Tasks[[#This Row],[_LeafPV]]))</f>
        <v/>
      </c>
      <c r="BD167" s="70" t="str">
        <f aca="false">IF(Tasks[[#This Row],[Task Name]]="","",IF(Tasks[[#This Row],[_IsSummary]],SUM(INDEX(Tasks[_LeafAC],Tasks[[#This Row],[_Row]]+1):INDEX(Tasks[_LeafAC],Tasks[[#This Row],[_Row]]+Tasks[[#This Row],[_Descendants]])),Tasks[[#This Row],[_LeafAC]]))</f>
        <v/>
      </c>
      <c r="BE167" s="45" t="str">
        <f aca="false">IF(Tasks[[#This Row],[Task Name]]="","",MAX(1,N(Tasks[[#This Row],[Level]])))</f>
        <v/>
      </c>
      <c r="BF167" s="45" t="n">
        <f aca="false">ROW()-ROW(Tasks[[#Headers],[ID]])</f>
        <v>162</v>
      </c>
      <c r="BG167" s="45" t="n">
        <f aca="false">IF(OR(Tasks[[#This Row],[Task Name]]="",Tasks[[#This Row],[_Level]]&lt;=1),0,IFERROR(LOOKUP(2,1/(Tasks[[#Headers],[_Level]]:Tasks[[#This Row],[_Level]]=Tasks[[#This Row],[_Level]]-1),ROW(Tasks[[#Headers],[_Level]]:Tasks[[#This Row],[_Level]])),0))</f>
        <v>0</v>
      </c>
      <c r="BH167" s="45" t="n">
        <f aca="false">IFERROR(N(INDEX(Tasks[_Level],Tasks[[#This Row],[_Row]]+1)),0)</f>
        <v>0</v>
      </c>
      <c r="BI167" s="73" t="b">
        <f aca="false">AND(Tasks[[#This Row],[Task Name]]&lt;&gt;"",Tasks[[#This Row],[_NextLevel]]&gt;Tasks[[#This Row],[_Level]])</f>
        <v>0</v>
      </c>
      <c r="BJ167" s="45" t="n">
        <f aca="false">IF(Tasks[[#This Row],[_IsSummary]],COUNTIF(Tasks[WBS],Tasks[[#This Row],[WBS]]&amp;".*"),0)</f>
        <v>0</v>
      </c>
      <c r="BK167" s="45" t="n">
        <f aca="false">IF(AND(Tasks[[#This Row],[Task Name]]&lt;&gt;"",NOT(Tasks[[#This Row],[_IsSummary]])),1,0)</f>
        <v>0</v>
      </c>
      <c r="BL167" s="45" t="n">
        <f aca="false">IF(N(Tasks[[#This Row],[_Pred1UID]])=0,0,IFERROR(MATCH(Tasks[[#This Row],[_Pred1UID]],Tasks[UID],0),-1))</f>
        <v>0</v>
      </c>
      <c r="BM167" s="45" t="n">
        <f aca="false">IF(N(Tasks[[#This Row],[_Pred2UID]])=0,0,IFERROR(MATCH(Tasks[[#This Row],[_Pred2UID]],Tasks[UID],0),-1))</f>
        <v>0</v>
      </c>
      <c r="BN167" s="45" t="n">
        <f aca="false">IF(N(Tasks[[#This Row],[_Pred3UID]])=0,0,IFERROR(MATCH(Tasks[[#This Row],[_Pred3UID]],Tasks[UID],0),-1))</f>
        <v>0</v>
      </c>
      <c r="BO167" s="45" t="n">
        <f aca="false">IF(N(Tasks[[#This Row],[_Pred4UID]])=0,0,IFERROR(MATCH(Tasks[[#This Row],[_Pred4UID]],Tasks[UID],0),-1))</f>
        <v>0</v>
      </c>
      <c r="BP16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6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67" s="74" t="n">
        <f aca="false">IF(OR(Tasks[[#This Row],[_ConstraintCode]]=2,Tasks[[#This Row],[_ConstraintCode]]=3,Tasks[[#This Row],[_ConstraintCode]]=4,Tasks[[#This Row],[_ConstraintCode]]=6),Tasks[[#This Row],[_ConstraintStart]],0)</f>
        <v>0</v>
      </c>
      <c r="BS167" s="74" t="n">
        <f aca="false">IF(OR(Tasks[[#This Row],[_ConstraintCode]]=2,Tasks[[#This Row],[_ConstraintCode]]=3,Tasks[[#This Row],[_ConstraintCode]]=5,Tasks[[#This Row],[_ConstraintCode]]=7),Tasks[[#This Row],[_ConstraintStart]],2958465)</f>
        <v>2958465</v>
      </c>
      <c r="BT16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67" s="74" t="str">
        <f aca="false">IF(NOT(Tasks[[#This Row],[_IsLeaf]]=1),"",IF(N(Tasks[[#This Row],[Duration]])&lt;=0,Tasks[[#This Row],[_LeafCalcStart]],WORKDAY.INTL(Tasks[[#This Row],[_LeafCalcStart]],Tasks[[#This Row],[Duration]]-1,WorkWeek,Holidays)))</f>
        <v/>
      </c>
      <c r="BV16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6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67" s="45" t="str">
        <f aca="false">IF(Tasks[[#This Row],[Predecessors]]="","",TRIM(MID(SUBSTITUTE(SUBSTITUTE(SUBSTITUTE(UPPER(Tasks[[#This Row],[Predecessors]]),";",",")," ",""),",",REPT(" ",99)),1,99)))</f>
        <v/>
      </c>
      <c r="BY167" s="45" t="str">
        <f aca="false">IF(Tasks[[#This Row],[_Pred1Text]]="","",IFERROR(VALUE(LEFT(Tasks[[#This Row],[_Pred1Text]],MIN(FIND("F",Tasks[[#This Row],[_Pred1Text]]&amp;"F"),FIND("S",Tasks[[#This Row],[_Pred1Text]]&amp;"S"),FIND("+",Tasks[[#This Row],[_Pred1Text]]&amp;"+"),FIND("-",Tasks[[#This Row],[_Pred1Text]]&amp;"-"))-1)),""))</f>
        <v/>
      </c>
      <c r="BZ16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6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67" s="45" t="str">
        <f aca="false">IF(Tasks[[#This Row],[_Pred1Text]]="","",TRIM(MID(SUBSTITUTE(SUBSTITUTE(SUBSTITUTE(UPPER(Tasks[[#This Row],[Predecessors]]),";",",")," ",""),",",REPT(" ",99)),100,99)))</f>
        <v/>
      </c>
      <c r="CC167" s="45" t="str">
        <f aca="false">IF(Tasks[[#This Row],[_Pred2Text]]="","",IFERROR(VALUE(LEFT(Tasks[[#This Row],[_Pred2Text]],MIN(FIND("F",Tasks[[#This Row],[_Pred2Text]]&amp;"F"),FIND("S",Tasks[[#This Row],[_Pred2Text]]&amp;"S"),FIND("+",Tasks[[#This Row],[_Pred2Text]]&amp;"+"),FIND("-",Tasks[[#This Row],[_Pred2Text]]&amp;"-"))-1)),""))</f>
        <v/>
      </c>
      <c r="CD16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6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67" s="45" t="str">
        <f aca="false">IF(Tasks[[#This Row],[_Pred2Text]]="","",TRIM(MID(SUBSTITUTE(SUBSTITUTE(SUBSTITUTE(UPPER(Tasks[[#This Row],[Predecessors]]),";",",")," ",""),",",REPT(" ",99)),199,99)))</f>
        <v/>
      </c>
      <c r="CG167" s="45" t="str">
        <f aca="false">IF(Tasks[[#This Row],[_Pred3Text]]="","",IFERROR(VALUE(LEFT(Tasks[[#This Row],[_Pred3Text]],MIN(FIND("F",Tasks[[#This Row],[_Pred3Text]]&amp;"F"),FIND("S",Tasks[[#This Row],[_Pred3Text]]&amp;"S"),FIND("+",Tasks[[#This Row],[_Pred3Text]]&amp;"+"),FIND("-",Tasks[[#This Row],[_Pred3Text]]&amp;"-"))-1)),""))</f>
        <v/>
      </c>
      <c r="CH16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6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67" s="45" t="str">
        <f aca="false">IF(Tasks[[#This Row],[_Pred3Text]]="","",TRIM(MID(SUBSTITUTE(SUBSTITUTE(SUBSTITUTE(UPPER(Tasks[[#This Row],[Predecessors]]),";",",")," ",""),",",REPT(" ",99)),298,99)))</f>
        <v/>
      </c>
      <c r="CK167" s="45" t="str">
        <f aca="false">IF(Tasks[[#This Row],[_Pred4Text]]="","",IFERROR(VALUE(LEFT(Tasks[[#This Row],[_Pred4Text]],MIN(FIND("F",Tasks[[#This Row],[_Pred4Text]]&amp;"F"),FIND("S",Tasks[[#This Row],[_Pred4Text]]&amp;"S"),FIND("+",Tasks[[#This Row],[_Pred4Text]]&amp;"+"),FIND("-",Tasks[[#This Row],[_Pred4Text]]&amp;"-"))-1)),""))</f>
        <v/>
      </c>
      <c r="CL16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6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67" s="45" t="str">
        <f aca="false">IF(OR(Tasks[[#This Row],[Task Name]]="",Tasks[[#This Row],[Resources]]=""),"",TRIM(MID(SUBSTITUTE(Tasks[[#This Row],[Resources]],",",REPT(" ",99)),1,99)))</f>
        <v/>
      </c>
      <c r="CO167" s="45" t="str">
        <f aca="false">IF(Tasks[[#This Row],[_Res1Text]]="","",TRIM(MID(SUBSTITUTE(Tasks[[#This Row],[Resources]],",",REPT(" ",99)),100,99)))</f>
        <v/>
      </c>
      <c r="CP167" s="45" t="str">
        <f aca="false">IF(Tasks[[#This Row],[_Res2Text]]="","",TRIM(MID(SUBSTITUTE(Tasks[[#This Row],[Resources]],",",REPT(" ",99)),199,99)))</f>
        <v/>
      </c>
      <c r="CQ167" s="45" t="str">
        <f aca="false">IF(Tasks[[#This Row],[_Res3Text]]="","",TRIM(MID(SUBSTITUTE(Tasks[[#This Row],[Resources]],",",REPT(" ",99)),298,99)))</f>
        <v/>
      </c>
      <c r="CR16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6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7" s="45" t="n">
        <f aca="false">IF(NOT(Tasks[[#This Row],[_IsLeaf]]=1),0,(Tasks[[#This Row],[_Resource1]]&lt;&gt;"")+(Tasks[[#This Row],[_Res2]]&lt;&gt;"")+(Tasks[[#This Row],[_Res3]]&lt;&gt;"")+(Tasks[[#This Row],[_Res4]]&lt;&gt;""))</f>
        <v>0</v>
      </c>
      <c r="CU16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6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7" s="45" t="n">
        <f aca="false">IF(OR(NOT(Tasks[[#This Row],[_IsLeaf]]=1),Tasks[[#This Row],[_Res2]]=""),0,IF(ISNA(MATCH(Tasks[[#This Row],[_Res2]],res_Name,0)),0,N(Tasks[[#This Row],[Duration]])*HoursPerDay*IF(Tasks[[#This Row],[_Res2Units]]="",DefaultUnits,Tasks[[#This Row],[_Res2Units]])))</f>
        <v>0</v>
      </c>
      <c r="CX167" s="45" t="n">
        <f aca="false">IF(Tasks[[#This Row],[_Res2Work]]=0,0,Tasks[[#This Row],[_Res2Work]]*IFERROR(INDEX(res_Rate,MATCH(Tasks[[#This Row],[_Res2]],res_Name,0)),0))</f>
        <v>0</v>
      </c>
      <c r="CY167" s="45" t="n">
        <f aca="false">IF(AND(AND(Tasks[[#This Row],[_IsLeaf]]=1,Tasks[[#This Row],[_LeafTotalWork]]&gt;0),Tasks[[#This Row],[_Res2Work]]&gt;0),Tasks[[#This Row],[_Res2Work]]/(Tasks[[#This Row],[_FinishWorkday]]-Tasks[[#This Row],[_StartWorkday]]+1),0)</f>
        <v>0</v>
      </c>
      <c r="CZ167" s="45" t="n">
        <f aca="false">Tasks[[#This Row],[_Res2WorkPerWD]]*MAX(0,Tasks[[#This Row],[_StartWorkday]]-1)</f>
        <v>0</v>
      </c>
      <c r="DA167" s="45" t="n">
        <f aca="false">Tasks[[#This Row],[_Res2Work]]*Tasks[[#This Row],[_LeafProgress]]</f>
        <v>0</v>
      </c>
      <c r="DB167" s="45" t="n">
        <f aca="false">IF(Tasks[[#This Row],[_LeafTotalCost]]=0,0,Tasks[[#This Row],[_LeafAC]]*Tasks[[#This Row],[_Res2Cost]]/Tasks[[#This Row],[_LeafTotalCost]])</f>
        <v>0</v>
      </c>
      <c r="DC16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6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67" s="45" t="n">
        <f aca="false">IF(OR(NOT(Tasks[[#This Row],[_IsLeaf]]=1),Tasks[[#This Row],[_Res3]]=""),0,IF(ISNA(MATCH(Tasks[[#This Row],[_Res3]],res_Name,0)),0,N(Tasks[[#This Row],[Duration]])*HoursPerDay*IF(Tasks[[#This Row],[_Res3Units]]="",DefaultUnits,Tasks[[#This Row],[_Res3Units]])))</f>
        <v>0</v>
      </c>
      <c r="DF167" s="45" t="n">
        <f aca="false">IF(Tasks[[#This Row],[_Res3Work]]=0,0,Tasks[[#This Row],[_Res3Work]]*IFERROR(INDEX(res_Rate,MATCH(Tasks[[#This Row],[_Res3]],res_Name,0)),0))</f>
        <v>0</v>
      </c>
      <c r="DG167" s="45" t="n">
        <f aca="false">IF(AND(AND(Tasks[[#This Row],[_IsLeaf]]=1,Tasks[[#This Row],[_LeafTotalWork]]&gt;0),Tasks[[#This Row],[_Res3Work]]&gt;0),Tasks[[#This Row],[_Res3Work]]/(Tasks[[#This Row],[_FinishWorkday]]-Tasks[[#This Row],[_StartWorkday]]+1),0)</f>
        <v>0</v>
      </c>
      <c r="DH167" s="45" t="n">
        <f aca="false">Tasks[[#This Row],[_Res3WorkPerWD]]*MAX(0,Tasks[[#This Row],[_StartWorkday]]-1)</f>
        <v>0</v>
      </c>
      <c r="DI167" s="45" t="n">
        <f aca="false">Tasks[[#This Row],[_Res3Work]]*Tasks[[#This Row],[_LeafProgress]]</f>
        <v>0</v>
      </c>
      <c r="DJ167" s="45" t="n">
        <f aca="false">IF(Tasks[[#This Row],[_LeafTotalCost]]=0,0,Tasks[[#This Row],[_LeafAC]]*Tasks[[#This Row],[_Res3Cost]]/Tasks[[#This Row],[_LeafTotalCost]])</f>
        <v>0</v>
      </c>
      <c r="DK16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6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67" s="45" t="n">
        <f aca="false">IF(OR(NOT(Tasks[[#This Row],[_IsLeaf]]=1),Tasks[[#This Row],[_Res4]]=""),0,IF(ISNA(MATCH(Tasks[[#This Row],[_Res4]],res_Name,0)),0,N(Tasks[[#This Row],[Duration]])*HoursPerDay*IF(Tasks[[#This Row],[_Res4Units]]="",DefaultUnits,Tasks[[#This Row],[_Res4Units]])))</f>
        <v>0</v>
      </c>
      <c r="DN167" s="45" t="n">
        <f aca="false">IF(Tasks[[#This Row],[_Res4Work]]=0,0,Tasks[[#This Row],[_Res4Work]]*IFERROR(INDEX(res_Rate,MATCH(Tasks[[#This Row],[_Res4]],res_Name,0)),0))</f>
        <v>0</v>
      </c>
      <c r="DO167" s="45" t="n">
        <f aca="false">IF(AND(AND(Tasks[[#This Row],[_IsLeaf]]=1,Tasks[[#This Row],[_LeafTotalWork]]&gt;0),Tasks[[#This Row],[_Res4Work]]&gt;0),Tasks[[#This Row],[_Res4Work]]/(Tasks[[#This Row],[_FinishWorkday]]-Tasks[[#This Row],[_StartWorkday]]+1),0)</f>
        <v>0</v>
      </c>
      <c r="DP167" s="45" t="n">
        <f aca="false">Tasks[[#This Row],[_Res4WorkPerWD]]*MAX(0,Tasks[[#This Row],[_StartWorkday]]-1)</f>
        <v>0</v>
      </c>
      <c r="DQ167" s="45" t="n">
        <f aca="false">Tasks[[#This Row],[_Res4Work]]*Tasks[[#This Row],[_LeafProgress]]</f>
        <v>0</v>
      </c>
      <c r="DR167" s="45" t="n">
        <f aca="false">IF(Tasks[[#This Row],[_LeafTotalCost]]=0,0,Tasks[[#This Row],[_LeafAC]]*Tasks[[#This Row],[_Res4Cost]]/Tasks[[#This Row],[_LeafTotalCost]])</f>
        <v>0</v>
      </c>
      <c r="DS167" s="45" t="n">
        <f aca="false">IF(ISNUMBER(Tasks[[#This Row],[% Complete]]),Tasks[[#This Row],[% Complete]],IF(Tasks[[#This Row],[Stage]]="",0,IFERROR(INDEX(stg_Pct,MATCH(Tasks[[#This Row],[Stage]],stg_Name,0)),0)))</f>
        <v>0</v>
      </c>
      <c r="DT167" s="45" t="n">
        <f aca="false">IF(NOT(Tasks[[#This Row],[_IsLeaf]]=1),0,IF(N(Tasks[[#This Row],[Actual Finish]])&gt;0,1,MIN(1,Tasks[[#This Row],[_Pct]])))</f>
        <v>0</v>
      </c>
      <c r="DU167" s="45" t="n">
        <f aca="false">IF(OR(NOT(Tasks[[#This Row],[_IsLeaf]]=1),Tasks[[#This Row],[_Resource1]]=""),0,IF(ISNA(MATCH(Tasks[[#This Row],[_Resource1]],res_Name,0)),0,N(Tasks[[#This Row],[Duration]])*HoursPerDay*IF(Tasks[[#This Row],[_Units1]]="",DefaultUnits,Tasks[[#This Row],[_Units1]])))</f>
        <v>0</v>
      </c>
      <c r="DV167" s="45" t="n">
        <f aca="false">IF(Tasks[[#This Row],[_LeafWork]]=0,0,Tasks[[#This Row],[_LeafWork]]*IFERROR(INDEX(res_Rate,MATCH(Tasks[[#This Row],[_Resource1]],res_Name,0)),0))</f>
        <v>0</v>
      </c>
      <c r="DW167" s="45" t="n">
        <f aca="false">Tasks[[#This Row],[_LeafWork]]+Tasks[[#This Row],[_Res2Work]]+Tasks[[#This Row],[_Res3Work]]+Tasks[[#This Row],[_Res4Work]]</f>
        <v>0</v>
      </c>
      <c r="DX167" s="45" t="n">
        <f aca="false">Tasks[[#This Row],[_LeafCost]]+Tasks[[#This Row],[_Res2Cost]]+Tasks[[#This Row],[_Res3Cost]]+Tasks[[#This Row],[_Res4Cost]]</f>
        <v>0</v>
      </c>
      <c r="DY167" s="45" t="n">
        <f aca="false">IF(Tasks[[#This Row],[_LeafTotalCost]]=0,Tasks[[#This Row],[_LeafAC]],Tasks[[#This Row],[_LeafAC]]*Tasks[[#This Row],[_LeafCost]]/Tasks[[#This Row],[_LeafTotalCost]])</f>
        <v>0</v>
      </c>
      <c r="DZ16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6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6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6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6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6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6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6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67" s="45" t="n">
        <f aca="false">IF(NOT(Tasks[[#This Row],[_IsLeaf]]=1),0,MAX(_xlfn.MAXIFS(Tasks[_Row],Tasks[_Pred1UID],Tasks[[#This Row],[UID]]),_xlfn.MAXIFS(Tasks[_Row],Tasks[_Pred2UID],Tasks[[#This Row],[UID]]),_xlfn.MAXIFS(Tasks[_Row],Tasks[_Pred3UID],Tasks[[#This Row],[UID]]),_xlfn.MAXIFS(Tasks[_Row],Tasks[_Pred4UID],Tasks[[#This Row],[UID]])))</f>
        <v>0</v>
      </c>
      <c r="EI16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6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67" s="74" t="str">
        <f aca="false">IF(NOT(Tasks[[#This Row],[_IsLeaf]]=1),"",IF(N(Tasks[[#This Row],[Duration]])&lt;=0,Tasks[[#This Row],[_LeafLateFinish]],WORKDAY.INTL(Tasks[[#This Row],[_LeafLateFinish]],-(Tasks[[#This Row],[Duration]]-1),WorkWeek,Holidays)))</f>
        <v/>
      </c>
      <c r="EL16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67" s="73" t="b">
        <f aca="false">AND(Tasks[[#This Row],[_IsLeaf]]=1,Tasks[[#This Row],[_LeafProgress]]&lt;1,N(Tasks[[#This Row],[_LeafTotalSlack]])&lt;=CriticalSlackDays)</f>
        <v>0</v>
      </c>
      <c r="EN167" s="45" t="n">
        <f aca="false">IF(AND(Tasks[[#This Row],[_IsLeaf]]=1,Tasks[[#This Row],[_ConstraintCode]]=1,Tasks[[#This Row],[Mode]]&lt;&gt;"Manual",N(Tasks[[#This Row],[Actual Start]])=0),MAX(0,N(Tasks[[#This Row],[Free Slack]])),0)</f>
        <v>0</v>
      </c>
      <c r="EO167" s="74" t="str">
        <f aca="false">IF(NOT(Tasks[[#This Row],[_IsLeaf]]=1),"",IF(Tasks[[#This Row],[_AlapShift]]=0,Tasks[[#This Row],[_LeafCalcStart]],WORKDAY.INTL(Tasks[[#This Row],[_LeafCalcStart]],Tasks[[#This Row],[_AlapShift]],WorkWeek,Holidays)))</f>
        <v/>
      </c>
      <c r="EP167" s="74" t="str">
        <f aca="false">IF(NOT(Tasks[[#This Row],[_IsLeaf]]=1),"",IF(Tasks[[#This Row],[_AlapShift]]=0,Tasks[[#This Row],[_LeafCalcFinish]],WORKDAY.INTL(Tasks[[#This Row],[_LeafCalcFinish]],Tasks[[#This Row],[_AlapShift]],WorkWeek,Holidays)))</f>
        <v/>
      </c>
      <c r="EQ167" s="74" t="str">
        <f aca="false">IF(NOT(Tasks[[#This Row],[_IsLeaf]]=1),"",IF(Tasks[[#This Row],[_AlapShift]]=0,Tasks[[#This Row],[_LeafFcstStart]],WORKDAY.INTL(Tasks[[#This Row],[_LeafFcstStart]],Tasks[[#This Row],[_AlapShift]],WorkWeek,Holidays)))</f>
        <v/>
      </c>
      <c r="ER167" s="74" t="str">
        <f aca="false">IF(NOT(Tasks[[#This Row],[_IsLeaf]]=1),"",IF(Tasks[[#This Row],[_AlapShift]]=0,Tasks[[#This Row],[_LeafFcstFinish]],WORKDAY.INTL(Tasks[[#This Row],[_LeafFcstFinish]],Tasks[[#This Row],[_AlapShift]],WorkWeek,Holidays)))</f>
        <v/>
      </c>
      <c r="ES167" s="74" t="str">
        <f aca="false">IF(Tasks[[#This Row],[Task Name]]="","",IF(Tasks[[#This Row],[_IsSummary]],MIN(INDEX(Tasks[_ShownCalcStart],Tasks[[#This Row],[_Row]]+1):INDEX(Tasks[_ShownCalcStart],Tasks[[#This Row],[_Row]]+Tasks[[#This Row],[_Descendants]])),Tasks[[#This Row],[_ShownCalcStart]]))</f>
        <v/>
      </c>
      <c r="ET167" s="74" t="str">
        <f aca="false">IF(Tasks[[#This Row],[Task Name]]="","",IF(Tasks[[#This Row],[_IsSummary]],MAX(INDEX(Tasks[_ShownCalcFinish],Tasks[[#This Row],[_Row]]+1):INDEX(Tasks[_ShownCalcFinish],Tasks[[#This Row],[_Row]]+Tasks[[#This Row],[_Descendants]])),Tasks[[#This Row],[_ShownCalcFinish]]))</f>
        <v/>
      </c>
      <c r="EU16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6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6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6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6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6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6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6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6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6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6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6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67" s="45" t="n">
        <f aca="false">IF(AND(Tasks[[#This Row],[_IsLeaf]]=1,Tasks[[#This Row],[_LeafTotalWork]]&gt;0),NETWORKDAYS.INTL(ProjectStart,Tasks[[#This Row],[_ShownFcstStart]],WorkWeek,Holidays),0)</f>
        <v>0</v>
      </c>
      <c r="FH167" s="45" t="n">
        <f aca="false">IF(AND(Tasks[[#This Row],[_IsLeaf]]=1,Tasks[[#This Row],[_LeafTotalWork]]&gt;0),MAX(Tasks[[#This Row],[_StartWorkday]],NETWORKDAYS.INTL(ProjectStart,Tasks[[#This Row],[_ShownFcstFinish]],WorkWeek,Holidays)),0)</f>
        <v>0</v>
      </c>
      <c r="FI167" s="45" t="n">
        <f aca="false">IF(AND(Tasks[[#This Row],[_IsLeaf]]=1,Tasks[[#This Row],[_LeafTotalWork]]&gt;0),Tasks[[#This Row],[_LeafWork]]/(Tasks[[#This Row],[_FinishWorkday]]-Tasks[[#This Row],[_StartWorkday]]+1),0)</f>
        <v>0</v>
      </c>
      <c r="FJ167" s="45" t="n">
        <f aca="false">Tasks[[#This Row],[_WorkPerWorkday]]*(Tasks[[#This Row],[_StartWorkday]]-1)</f>
        <v>-0</v>
      </c>
      <c r="FK167" s="45" t="n">
        <f aca="false">IF(Tasks[[#This Row],[_IsLeaf]]=1,MAX(N(Tasks[[#This Row],[Duration]]),0.1),0)</f>
        <v>0</v>
      </c>
      <c r="FL167" s="45" t="n">
        <f aca="false">Tasks[[#This Row],[_WeightDur]]*Tasks[[#This Row],[_LeafProgress]]</f>
        <v>0</v>
      </c>
      <c r="FM16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67" s="45" t="str">
        <f aca="false">IF(AND(Tasks[[#This Row],[_IsLeaf]]=1,N(Tasks[[#This Row],[Duration]])=0,Tasks[[#This Row],[_LeafProgress]]&lt;1),Tasks[[#This Row],[_ShownFcstFinish]]+Tasks[[#This Row],[_Row]]/100000,"")</f>
        <v/>
      </c>
      <c r="FO16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67" s="45" t="n">
        <f aca="false">IF(NOT(Tasks[[#This Row],[_IsLeaf]]=1),0,IF(Tasks[[#This Row],[Baseline Cost]]="",Tasks[[#This Row],[_LeafTotalCost]],N(Tasks[[#This Row],[Baseline Cost]])))</f>
        <v>0</v>
      </c>
      <c r="FQ167" s="45" t="n">
        <f aca="false">Tasks[[#This Row],[_LeafBudget]]*Tasks[[#This Row],[_PlannedPct]]</f>
        <v>0</v>
      </c>
      <c r="FR167" s="45" t="n">
        <f aca="false">Tasks[[#This Row],[_LeafBudget]]*Tasks[[#This Row],[_LeafProgress]]</f>
        <v>0</v>
      </c>
      <c r="FS167" s="45" t="n">
        <f aca="false">IF(NOT(Tasks[[#This Row],[_IsLeaf]]=1),0,IF(Tasks[[#This Row],[Actual Cost]]="",Tasks[[#This Row],[_LeafTotalCost]]*Tasks[[#This Row],[_LeafProgress]],N(Tasks[[#This Row],[Actual Cost]])))</f>
        <v>0</v>
      </c>
      <c r="FT167" s="45" t="str">
        <f aca="false">IF(Tasks[[#This Row],[Task Name]]="","",LEFT(Tasks[[#This Row],[WBS]],FIND(".",Tasks[[#This Row],[WBS]]&amp;".")-1))</f>
        <v/>
      </c>
      <c r="FU167" s="45" t="str">
        <f aca="false">IF(AND(Tasks[[#This Row],[Task Name]]&lt;&gt;"",Tasks[[#This Row],[_Level]]=1),Tasks[[#This Row],[_Row]],"")</f>
        <v/>
      </c>
      <c r="FV167" s="45" t="str">
        <f aca="false">IF(AND(Tasks[[#This Row],[_IsLeaf]]=1,N(Tasks[[#This Row],[Duration]])=0),Tasks[[#This Row],[Planned Finish]]+Tasks[[#This Row],[_Row]]/100000,"")</f>
        <v/>
      </c>
      <c r="FW167" s="45" t="str">
        <f aca="false">IF(AND(Tasks[[#This Row],[_IsLeaf]]=1,Tasks[[#This Row],[_LeafProgress]]&lt;1,OR(N(Tasks[[#This Row],[Finish Var]])&gt;0,Tasks[[#This Row],[Status]]="Late Start")),MAX(0,Tasks[[#This Row],[Finish Var]])+1-Tasks[[#This Row],[_Row]]/1000000,"")</f>
        <v/>
      </c>
      <c r="FX167" s="45" t="str">
        <f aca="false">IF(AND(Tasks[[#This Row],[_IsLeaf]]=1,N(Tasks[[#This Row],[Actual Start]])=0,Tasks[[#This Row],[_ShownFcstStart]]&gt;=StatusDate,Tasks[[#This Row],[_ShownFcstStart]]&lt;=LookaheadEnd),Tasks[[#This Row],[_ShownFcstStart]]+Tasks[[#This Row],[_Row]]/100000,"")</f>
        <v/>
      </c>
      <c r="FY167" s="45" t="str">
        <f aca="false">IF(AND(Tasks[[#This Row],[_IsLeaf]]=1,Tasks[[#This Row],[_LeafProgress]]&lt;1,Tasks[[#This Row],[_ShownFcstFinish]]&gt;=StatusDate,Tasks[[#This Row],[_ShownFcstFinish]]&lt;=LookaheadEnd),Tasks[[#This Row],[_ShownFcstFinish]]+Tasks[[#This Row],[_Row]]/100000,"")</f>
        <v/>
      </c>
      <c r="FZ167" s="45" t="str">
        <f aca="false">IF(Tasks[[#This Row],[_LeafCritical]],Tasks[[#This Row],[_ShownFcstStart]]+Tasks[[#This Row],[_Row]]/100000,"")</f>
        <v/>
      </c>
      <c r="GA167" s="45" t="n">
        <f aca="false">Tasks[[#This Row],[_LeafWork]]*Tasks[[#This Row],[_LeafProgress]]</f>
        <v>0</v>
      </c>
      <c r="GB167" s="74" t="str">
        <f aca="false">IF(AND(Tasks[[#This Row],[_IsLeaf]]=1,Tasks[[#This Row],[_LeafProgress]]&gt;=1),IF(N(Tasks[[#This Row],[Actual Finish]])&gt;0,Tasks[[#This Row],[Actual Finish]],Tasks[[#This Row],[_ShownFcstFinish]]),"")</f>
        <v/>
      </c>
    </row>
    <row r="168" customFormat="false" ht="15" hidden="false" customHeight="false" outlineLevel="0" collapsed="false">
      <c r="A168" s="67" t="str">
        <f aca="false">IF(Tasks[[#This Row],[Task Name]]="","",COUNTA(Tasks[[#Headers],[Task Name]]:Tasks[[#This Row],[Task Name]])-1)</f>
        <v/>
      </c>
      <c r="B168" s="21" t="n">
        <v>163</v>
      </c>
      <c r="C16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21"/>
      <c r="E168" s="22"/>
      <c r="F168" s="21"/>
      <c r="G168" s="22"/>
      <c r="H168" s="22"/>
      <c r="I168" s="22"/>
      <c r="J168" s="7"/>
      <c r="K168" s="7"/>
      <c r="L168" s="22"/>
      <c r="M168" s="58" t="str">
        <f aca="false">IF(Tasks[[#This Row],[Task Name]]="","",IF(Tasks[[#This Row],[_IsSummary]],MIN(INDEX(Tasks[_ShownFcstStart],Tasks[[#This Row],[_Row]]+1):INDEX(Tasks[_ShownFcstStart],Tasks[[#This Row],[_Row]]+Tasks[[#This Row],[_Descendants]])),Tasks[[#This Row],[_ShownFcstStart]]))</f>
        <v/>
      </c>
      <c r="N168" s="58" t="str">
        <f aca="false">IF(Tasks[[#This Row],[Task Name]]="","",IF(Tasks[[#This Row],[_IsSummary]],MAX(INDEX(Tasks[_ShownFcstFinish],Tasks[[#This Row],[_Row]]+1):INDEX(Tasks[_ShownFcstFinish],Tasks[[#This Row],[_Row]]+Tasks[[#This Row],[_Descendants]])),Tasks[[#This Row],[_ShownFcstFinish]]))</f>
        <v/>
      </c>
      <c r="O168" s="20" t="str">
        <f aca="false">IF(Tasks[[#This Row],[Task Name]]="","",IF(Tasks[[#This Row],[Progress]]&gt;=1,"Complete",IF(OR(N(Tasks[[#This Row],[Actual Start]])&gt;0,Tasks[[#This Row],[Progress]]&gt;0),IF(Tasks[[#This Row],[Finish Var]]&gt;0,"Behind","In Progress"),IF(Tasks[[#This Row],[Planned Start]]&lt;StatusDate,"Late Start","Not Started"))))</f>
        <v/>
      </c>
      <c r="P168" s="20" t="str">
        <f aca="false">IF(Tasks[[#This Row],[Task Name]]="","",IF(IF(Tasks[[#This Row],[_IsSummary]],COUNTIF(INDEX(Tasks[_LeafCritical],Tasks[[#This Row],[_Row]]+1):INDEX(Tasks[_LeafCritical],Tasks[[#This Row],[_Row]]+Tasks[[#This Row],[_Descendants]]),TRUE())&gt;0,Tasks[[#This Row],[_LeafCritical]]),"Yes",""))</f>
        <v/>
      </c>
      <c r="Q16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68" s="67" t="str">
        <f aca="false">IF(Tasks[[#This Row],[Task Name]]="","",IF(Tasks[[#This Row],[_Level]]&lt;=OutlineShowLevel,"Yes","No"))</f>
        <v/>
      </c>
      <c r="S168" s="7"/>
      <c r="T168" s="21"/>
      <c r="U168" s="22"/>
      <c r="V168" s="7"/>
      <c r="W168" s="67" t="str">
        <f aca="false">IF(Tasks[[#This Row],[Task Name]]="","",IF(Tasks[[#This Row],[Finish]]&gt;=Tasks[[#This Row],[Planned Finish]],NETWORKDAYS.INTL(Tasks[[#This Row],[Planned Finish]],Tasks[[#This Row],[Finish]],WorkWeek,Holidays)-1,1-NETWORKDAYS.INTL(Tasks[[#This Row],[Finish]],Tasks[[#This Row],[Planned Finish]],WorkWeek,Holidays)))</f>
        <v/>
      </c>
      <c r="X168" s="58" t="str">
        <f aca="false">IF(Tasks[[#This Row],[Task Name]]="","",IF(N(Tasks[[#This Row],[Baseline Start]])&gt;0,Tasks[[#This Row],[Baseline Start]],Tasks[[#This Row],[_CalcStart]]))</f>
        <v/>
      </c>
      <c r="Y168" s="58" t="str">
        <f aca="false">IF(Tasks[[#This Row],[Task Name]]="","",IF(N(Tasks[[#This Row],[Baseline Finish]])&gt;0,Tasks[[#This Row],[Baseline Finish]],Tasks[[#This Row],[_CalcFinish]]))</f>
        <v/>
      </c>
      <c r="Z168" s="67" t="str">
        <f aca="false">IF(Tasks[[#This Row],[Task Name]]="","",IF(Tasks[[#This Row],[Start]]&gt;=Tasks[[#This Row],[Planned Start]],NETWORKDAYS.INTL(Tasks[[#This Row],[Planned Start]],Tasks[[#This Row],[Start]],WorkWeek,Holidays)-1,1-NETWORKDAYS.INTL(Tasks[[#This Row],[Start]],Tasks[[#This Row],[Planned Start]],WorkWeek,Holidays)))</f>
        <v/>
      </c>
      <c r="AA168" s="58" t="str">
        <f aca="false">IF(Tasks[[#This Row],[Task Name]]="","",IF(Tasks[[#This Row],[_IsSummary]],MIN(INDEX(Tasks[_LeafLateStart],Tasks[[#This Row],[_Row]]+1):INDEX(Tasks[_LeafLateStart],Tasks[[#This Row],[_Row]]+Tasks[[#This Row],[_Descendants]])),Tasks[[#This Row],[_LeafLateStart]]))</f>
        <v/>
      </c>
      <c r="AB168" s="58" t="str">
        <f aca="false">IF(Tasks[[#This Row],[Task Name]]="","",IF(Tasks[[#This Row],[_IsSummary]],MAX(INDEX(Tasks[_LeafLateFinish],Tasks[[#This Row],[_Row]]+1):INDEX(Tasks[_LeafLateFinish],Tasks[[#This Row],[_Row]]+Tasks[[#This Row],[_Descendants]])),Tasks[[#This Row],[_LeafLateFinish]]))</f>
        <v/>
      </c>
      <c r="AC168" s="67" t="str">
        <f aca="false">IF(Tasks[[#This Row],[Task Name]]="","",IF(Tasks[[#This Row],[_IsSummary]],MIN(INDEX(Tasks[_LeafTotalSlack],Tasks[[#This Row],[_Row]]+1):INDEX(Tasks[_LeafTotalSlack],Tasks[[#This Row],[_Row]]+Tasks[[#This Row],[_Descendants]])),Tasks[[#This Row],[_LeafTotalSlack]]))</f>
        <v/>
      </c>
      <c r="AD16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6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6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68" s="60"/>
      <c r="AH16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6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68" s="69" t="str">
        <f aca="false">IF(Tasks[[#This Row],[Task Name]]="","",IF(Tasks[[#This Row],[_IsSummary]],SUM(INDEX(Tasks[_LeafTotalWork],Tasks[[#This Row],[_Row]]+1):INDEX(Tasks[_LeafTotalWork],Tasks[[#This Row],[_Row]]+Tasks[[#This Row],[_Descendants]])),Tasks[[#This Row],[_LeafTotalWork]]))</f>
        <v/>
      </c>
      <c r="AK16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68" s="70" t="str">
        <f aca="false">IF(Tasks[[#This Row],[Task Name]]="","",IF(Tasks[[#This Row],[_IsSummary]],SUM(INDEX(Tasks[_LeafTotalCost],Tasks[[#This Row],[_Row]]+1):INDEX(Tasks[_LeafTotalCost],Tasks[[#This Row],[_Row]]+Tasks[[#This Row],[_Descendants]])),Tasks[[#This Row],[_LeafTotalCost]]))</f>
        <v/>
      </c>
      <c r="AM168" s="71"/>
      <c r="AN168" s="20" t="str">
        <f aca="false">IF(OR(Tasks[[#This Row],[Task Name]]="",Tasks[[#This Row],[Baseline Duration]]=""),"",Tasks[[#This Row],[BL Source Duration]]-N(Tasks[[#This Row],[Baseline Duration]]))</f>
        <v/>
      </c>
      <c r="AO168" s="69" t="str">
        <f aca="false">IF(OR(Tasks[[#This Row],[Task Name]]="",Tasks[[#This Row],[Baseline Work]]=""),"",Tasks[[#This Row],[Work]]-N(Tasks[[#This Row],[Baseline Work]]))</f>
        <v/>
      </c>
      <c r="AP168" s="70" t="str">
        <f aca="false">IF(OR(Tasks[[#This Row],[Task Name]]="",Tasks[[#This Row],[Baseline Cost]]=""),"",Tasks[[#This Row],[Cost]]-N(Tasks[[#This Row],[Baseline Cost]]))</f>
        <v/>
      </c>
      <c r="AQ168" s="58" t="str">
        <f aca="false">IF(Tasks[[#This Row],[Task Name]]="","",Tasks[[#This Row],[Start]])</f>
        <v/>
      </c>
      <c r="AR168" s="58" t="str">
        <f aca="false">IF(Tasks[[#This Row],[Task Name]]="","",Tasks[[#This Row],[Finish]])</f>
        <v/>
      </c>
      <c r="AS168" s="67" t="str">
        <f aca="false">IF(Tasks[[#This Row],[Task Name]]="","",IF(Tasks[[#This Row],[_IsSummary]],NETWORKDAYS.INTL(Tasks[[#This Row],[Start]],Tasks[[#This Row],[Finish]],WorkWeek,Holidays),N(Tasks[[#This Row],[Duration]])))</f>
        <v/>
      </c>
      <c r="AT168" s="69" t="str">
        <f aca="false">IF(Tasks[[#This Row],[Task Name]]="","",Tasks[[#This Row],[Work]])</f>
        <v/>
      </c>
      <c r="AU168" s="70" t="str">
        <f aca="false">IF(Tasks[[#This Row],[Task Name]]="","",Tasks[[#This Row],[Cost]])</f>
        <v/>
      </c>
      <c r="AV168" s="7"/>
      <c r="AW168" s="7"/>
      <c r="AX168" s="21"/>
      <c r="AY168" s="72"/>
      <c r="AZ168" s="71"/>
      <c r="BA168" s="70" t="str">
        <f aca="false">IF(Tasks[[#This Row],[Task Name]]="","",IF(Tasks[[#This Row],[_IsSummary]],SUM(INDEX(Tasks[_LeafEV],Tasks[[#This Row],[_Row]]+1):INDEX(Tasks[_LeafEV],Tasks[[#This Row],[_Row]]+Tasks[[#This Row],[_Descendants]])),Tasks[[#This Row],[_LeafEV]]))</f>
        <v/>
      </c>
      <c r="BB168" s="70" t="str">
        <f aca="false">IF(Tasks[[#This Row],[Task Name]]="","",IF(Tasks[[#This Row],[_IsSummary]],SUM(INDEX(Tasks[_LeafBudget],Tasks[[#This Row],[_Row]]+1):INDEX(Tasks[_LeafBudget],Tasks[[#This Row],[_Row]]+Tasks[[#This Row],[_Descendants]])),Tasks[[#This Row],[_LeafBudget]]))</f>
        <v/>
      </c>
      <c r="BC168" s="70" t="str">
        <f aca="false">IF(Tasks[[#This Row],[Task Name]]="","",IF(Tasks[[#This Row],[_IsSummary]],SUM(INDEX(Tasks[_LeafPV],Tasks[[#This Row],[_Row]]+1):INDEX(Tasks[_LeafPV],Tasks[[#This Row],[_Row]]+Tasks[[#This Row],[_Descendants]])),Tasks[[#This Row],[_LeafPV]]))</f>
        <v/>
      </c>
      <c r="BD168" s="70" t="str">
        <f aca="false">IF(Tasks[[#This Row],[Task Name]]="","",IF(Tasks[[#This Row],[_IsSummary]],SUM(INDEX(Tasks[_LeafAC],Tasks[[#This Row],[_Row]]+1):INDEX(Tasks[_LeafAC],Tasks[[#This Row],[_Row]]+Tasks[[#This Row],[_Descendants]])),Tasks[[#This Row],[_LeafAC]]))</f>
        <v/>
      </c>
      <c r="BE168" s="45" t="str">
        <f aca="false">IF(Tasks[[#This Row],[Task Name]]="","",MAX(1,N(Tasks[[#This Row],[Level]])))</f>
        <v/>
      </c>
      <c r="BF168" s="45" t="n">
        <f aca="false">ROW()-ROW(Tasks[[#Headers],[ID]])</f>
        <v>163</v>
      </c>
      <c r="BG168" s="45" t="n">
        <f aca="false">IF(OR(Tasks[[#This Row],[Task Name]]="",Tasks[[#This Row],[_Level]]&lt;=1),0,IFERROR(LOOKUP(2,1/(Tasks[[#Headers],[_Level]]:Tasks[[#This Row],[_Level]]=Tasks[[#This Row],[_Level]]-1),ROW(Tasks[[#Headers],[_Level]]:Tasks[[#This Row],[_Level]])),0))</f>
        <v>0</v>
      </c>
      <c r="BH168" s="45" t="n">
        <f aca="false">IFERROR(N(INDEX(Tasks[_Level],Tasks[[#This Row],[_Row]]+1)),0)</f>
        <v>0</v>
      </c>
      <c r="BI168" s="73" t="b">
        <f aca="false">AND(Tasks[[#This Row],[Task Name]]&lt;&gt;"",Tasks[[#This Row],[_NextLevel]]&gt;Tasks[[#This Row],[_Level]])</f>
        <v>0</v>
      </c>
      <c r="BJ168" s="45" t="n">
        <f aca="false">IF(Tasks[[#This Row],[_IsSummary]],COUNTIF(Tasks[WBS],Tasks[[#This Row],[WBS]]&amp;".*"),0)</f>
        <v>0</v>
      </c>
      <c r="BK168" s="45" t="n">
        <f aca="false">IF(AND(Tasks[[#This Row],[Task Name]]&lt;&gt;"",NOT(Tasks[[#This Row],[_IsSummary]])),1,0)</f>
        <v>0</v>
      </c>
      <c r="BL168" s="45" t="n">
        <f aca="false">IF(N(Tasks[[#This Row],[_Pred1UID]])=0,0,IFERROR(MATCH(Tasks[[#This Row],[_Pred1UID]],Tasks[UID],0),-1))</f>
        <v>0</v>
      </c>
      <c r="BM168" s="45" t="n">
        <f aca="false">IF(N(Tasks[[#This Row],[_Pred2UID]])=0,0,IFERROR(MATCH(Tasks[[#This Row],[_Pred2UID]],Tasks[UID],0),-1))</f>
        <v>0</v>
      </c>
      <c r="BN168" s="45" t="n">
        <f aca="false">IF(N(Tasks[[#This Row],[_Pred3UID]])=0,0,IFERROR(MATCH(Tasks[[#This Row],[_Pred3UID]],Tasks[UID],0),-1))</f>
        <v>0</v>
      </c>
      <c r="BO168" s="45" t="n">
        <f aca="false">IF(N(Tasks[[#This Row],[_Pred4UID]])=0,0,IFERROR(MATCH(Tasks[[#This Row],[_Pred4UID]],Tasks[UID],0),-1))</f>
        <v>0</v>
      </c>
      <c r="BP16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6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68" s="74" t="n">
        <f aca="false">IF(OR(Tasks[[#This Row],[_ConstraintCode]]=2,Tasks[[#This Row],[_ConstraintCode]]=3,Tasks[[#This Row],[_ConstraintCode]]=4,Tasks[[#This Row],[_ConstraintCode]]=6),Tasks[[#This Row],[_ConstraintStart]],0)</f>
        <v>0</v>
      </c>
      <c r="BS168" s="74" t="n">
        <f aca="false">IF(OR(Tasks[[#This Row],[_ConstraintCode]]=2,Tasks[[#This Row],[_ConstraintCode]]=3,Tasks[[#This Row],[_ConstraintCode]]=5,Tasks[[#This Row],[_ConstraintCode]]=7),Tasks[[#This Row],[_ConstraintStart]],2958465)</f>
        <v>2958465</v>
      </c>
      <c r="BT16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68" s="74" t="str">
        <f aca="false">IF(NOT(Tasks[[#This Row],[_IsLeaf]]=1),"",IF(N(Tasks[[#This Row],[Duration]])&lt;=0,Tasks[[#This Row],[_LeafCalcStart]],WORKDAY.INTL(Tasks[[#This Row],[_LeafCalcStart]],Tasks[[#This Row],[Duration]]-1,WorkWeek,Holidays)))</f>
        <v/>
      </c>
      <c r="BV16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6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68" s="45" t="str">
        <f aca="false">IF(Tasks[[#This Row],[Predecessors]]="","",TRIM(MID(SUBSTITUTE(SUBSTITUTE(SUBSTITUTE(UPPER(Tasks[[#This Row],[Predecessors]]),";",",")," ",""),",",REPT(" ",99)),1,99)))</f>
        <v/>
      </c>
      <c r="BY168" s="45" t="str">
        <f aca="false">IF(Tasks[[#This Row],[_Pred1Text]]="","",IFERROR(VALUE(LEFT(Tasks[[#This Row],[_Pred1Text]],MIN(FIND("F",Tasks[[#This Row],[_Pred1Text]]&amp;"F"),FIND("S",Tasks[[#This Row],[_Pred1Text]]&amp;"S"),FIND("+",Tasks[[#This Row],[_Pred1Text]]&amp;"+"),FIND("-",Tasks[[#This Row],[_Pred1Text]]&amp;"-"))-1)),""))</f>
        <v/>
      </c>
      <c r="BZ16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6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68" s="45" t="str">
        <f aca="false">IF(Tasks[[#This Row],[_Pred1Text]]="","",TRIM(MID(SUBSTITUTE(SUBSTITUTE(SUBSTITUTE(UPPER(Tasks[[#This Row],[Predecessors]]),";",",")," ",""),",",REPT(" ",99)),100,99)))</f>
        <v/>
      </c>
      <c r="CC168" s="45" t="str">
        <f aca="false">IF(Tasks[[#This Row],[_Pred2Text]]="","",IFERROR(VALUE(LEFT(Tasks[[#This Row],[_Pred2Text]],MIN(FIND("F",Tasks[[#This Row],[_Pred2Text]]&amp;"F"),FIND("S",Tasks[[#This Row],[_Pred2Text]]&amp;"S"),FIND("+",Tasks[[#This Row],[_Pred2Text]]&amp;"+"),FIND("-",Tasks[[#This Row],[_Pred2Text]]&amp;"-"))-1)),""))</f>
        <v/>
      </c>
      <c r="CD16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6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68" s="45" t="str">
        <f aca="false">IF(Tasks[[#This Row],[_Pred2Text]]="","",TRIM(MID(SUBSTITUTE(SUBSTITUTE(SUBSTITUTE(UPPER(Tasks[[#This Row],[Predecessors]]),";",",")," ",""),",",REPT(" ",99)),199,99)))</f>
        <v/>
      </c>
      <c r="CG168" s="45" t="str">
        <f aca="false">IF(Tasks[[#This Row],[_Pred3Text]]="","",IFERROR(VALUE(LEFT(Tasks[[#This Row],[_Pred3Text]],MIN(FIND("F",Tasks[[#This Row],[_Pred3Text]]&amp;"F"),FIND("S",Tasks[[#This Row],[_Pred3Text]]&amp;"S"),FIND("+",Tasks[[#This Row],[_Pred3Text]]&amp;"+"),FIND("-",Tasks[[#This Row],[_Pred3Text]]&amp;"-"))-1)),""))</f>
        <v/>
      </c>
      <c r="CH16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6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68" s="45" t="str">
        <f aca="false">IF(Tasks[[#This Row],[_Pred3Text]]="","",TRIM(MID(SUBSTITUTE(SUBSTITUTE(SUBSTITUTE(UPPER(Tasks[[#This Row],[Predecessors]]),";",",")," ",""),",",REPT(" ",99)),298,99)))</f>
        <v/>
      </c>
      <c r="CK168" s="45" t="str">
        <f aca="false">IF(Tasks[[#This Row],[_Pred4Text]]="","",IFERROR(VALUE(LEFT(Tasks[[#This Row],[_Pred4Text]],MIN(FIND("F",Tasks[[#This Row],[_Pred4Text]]&amp;"F"),FIND("S",Tasks[[#This Row],[_Pred4Text]]&amp;"S"),FIND("+",Tasks[[#This Row],[_Pred4Text]]&amp;"+"),FIND("-",Tasks[[#This Row],[_Pred4Text]]&amp;"-"))-1)),""))</f>
        <v/>
      </c>
      <c r="CL16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6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68" s="45" t="str">
        <f aca="false">IF(OR(Tasks[[#This Row],[Task Name]]="",Tasks[[#This Row],[Resources]]=""),"",TRIM(MID(SUBSTITUTE(Tasks[[#This Row],[Resources]],",",REPT(" ",99)),1,99)))</f>
        <v/>
      </c>
      <c r="CO168" s="45" t="str">
        <f aca="false">IF(Tasks[[#This Row],[_Res1Text]]="","",TRIM(MID(SUBSTITUTE(Tasks[[#This Row],[Resources]],",",REPT(" ",99)),100,99)))</f>
        <v/>
      </c>
      <c r="CP168" s="45" t="str">
        <f aca="false">IF(Tasks[[#This Row],[_Res2Text]]="","",TRIM(MID(SUBSTITUTE(Tasks[[#This Row],[Resources]],",",REPT(" ",99)),199,99)))</f>
        <v/>
      </c>
      <c r="CQ168" s="45" t="str">
        <f aca="false">IF(Tasks[[#This Row],[_Res3Text]]="","",TRIM(MID(SUBSTITUTE(Tasks[[#This Row],[Resources]],",",REPT(" ",99)),298,99)))</f>
        <v/>
      </c>
      <c r="CR16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6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8" s="45" t="n">
        <f aca="false">IF(NOT(Tasks[[#This Row],[_IsLeaf]]=1),0,(Tasks[[#This Row],[_Resource1]]&lt;&gt;"")+(Tasks[[#This Row],[_Res2]]&lt;&gt;"")+(Tasks[[#This Row],[_Res3]]&lt;&gt;"")+(Tasks[[#This Row],[_Res4]]&lt;&gt;""))</f>
        <v>0</v>
      </c>
      <c r="CU16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6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8" s="45" t="n">
        <f aca="false">IF(OR(NOT(Tasks[[#This Row],[_IsLeaf]]=1),Tasks[[#This Row],[_Res2]]=""),0,IF(ISNA(MATCH(Tasks[[#This Row],[_Res2]],res_Name,0)),0,N(Tasks[[#This Row],[Duration]])*HoursPerDay*IF(Tasks[[#This Row],[_Res2Units]]="",DefaultUnits,Tasks[[#This Row],[_Res2Units]])))</f>
        <v>0</v>
      </c>
      <c r="CX168" s="45" t="n">
        <f aca="false">IF(Tasks[[#This Row],[_Res2Work]]=0,0,Tasks[[#This Row],[_Res2Work]]*IFERROR(INDEX(res_Rate,MATCH(Tasks[[#This Row],[_Res2]],res_Name,0)),0))</f>
        <v>0</v>
      </c>
      <c r="CY168" s="45" t="n">
        <f aca="false">IF(AND(AND(Tasks[[#This Row],[_IsLeaf]]=1,Tasks[[#This Row],[_LeafTotalWork]]&gt;0),Tasks[[#This Row],[_Res2Work]]&gt;0),Tasks[[#This Row],[_Res2Work]]/(Tasks[[#This Row],[_FinishWorkday]]-Tasks[[#This Row],[_StartWorkday]]+1),0)</f>
        <v>0</v>
      </c>
      <c r="CZ168" s="45" t="n">
        <f aca="false">Tasks[[#This Row],[_Res2WorkPerWD]]*MAX(0,Tasks[[#This Row],[_StartWorkday]]-1)</f>
        <v>0</v>
      </c>
      <c r="DA168" s="45" t="n">
        <f aca="false">Tasks[[#This Row],[_Res2Work]]*Tasks[[#This Row],[_LeafProgress]]</f>
        <v>0</v>
      </c>
      <c r="DB168" s="45" t="n">
        <f aca="false">IF(Tasks[[#This Row],[_LeafTotalCost]]=0,0,Tasks[[#This Row],[_LeafAC]]*Tasks[[#This Row],[_Res2Cost]]/Tasks[[#This Row],[_LeafTotalCost]])</f>
        <v>0</v>
      </c>
      <c r="DC16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6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68" s="45" t="n">
        <f aca="false">IF(OR(NOT(Tasks[[#This Row],[_IsLeaf]]=1),Tasks[[#This Row],[_Res3]]=""),0,IF(ISNA(MATCH(Tasks[[#This Row],[_Res3]],res_Name,0)),0,N(Tasks[[#This Row],[Duration]])*HoursPerDay*IF(Tasks[[#This Row],[_Res3Units]]="",DefaultUnits,Tasks[[#This Row],[_Res3Units]])))</f>
        <v>0</v>
      </c>
      <c r="DF168" s="45" t="n">
        <f aca="false">IF(Tasks[[#This Row],[_Res3Work]]=0,0,Tasks[[#This Row],[_Res3Work]]*IFERROR(INDEX(res_Rate,MATCH(Tasks[[#This Row],[_Res3]],res_Name,0)),0))</f>
        <v>0</v>
      </c>
      <c r="DG168" s="45" t="n">
        <f aca="false">IF(AND(AND(Tasks[[#This Row],[_IsLeaf]]=1,Tasks[[#This Row],[_LeafTotalWork]]&gt;0),Tasks[[#This Row],[_Res3Work]]&gt;0),Tasks[[#This Row],[_Res3Work]]/(Tasks[[#This Row],[_FinishWorkday]]-Tasks[[#This Row],[_StartWorkday]]+1),0)</f>
        <v>0</v>
      </c>
      <c r="DH168" s="45" t="n">
        <f aca="false">Tasks[[#This Row],[_Res3WorkPerWD]]*MAX(0,Tasks[[#This Row],[_StartWorkday]]-1)</f>
        <v>0</v>
      </c>
      <c r="DI168" s="45" t="n">
        <f aca="false">Tasks[[#This Row],[_Res3Work]]*Tasks[[#This Row],[_LeafProgress]]</f>
        <v>0</v>
      </c>
      <c r="DJ168" s="45" t="n">
        <f aca="false">IF(Tasks[[#This Row],[_LeafTotalCost]]=0,0,Tasks[[#This Row],[_LeafAC]]*Tasks[[#This Row],[_Res3Cost]]/Tasks[[#This Row],[_LeafTotalCost]])</f>
        <v>0</v>
      </c>
      <c r="DK16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6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68" s="45" t="n">
        <f aca="false">IF(OR(NOT(Tasks[[#This Row],[_IsLeaf]]=1),Tasks[[#This Row],[_Res4]]=""),0,IF(ISNA(MATCH(Tasks[[#This Row],[_Res4]],res_Name,0)),0,N(Tasks[[#This Row],[Duration]])*HoursPerDay*IF(Tasks[[#This Row],[_Res4Units]]="",DefaultUnits,Tasks[[#This Row],[_Res4Units]])))</f>
        <v>0</v>
      </c>
      <c r="DN168" s="45" t="n">
        <f aca="false">IF(Tasks[[#This Row],[_Res4Work]]=0,0,Tasks[[#This Row],[_Res4Work]]*IFERROR(INDEX(res_Rate,MATCH(Tasks[[#This Row],[_Res4]],res_Name,0)),0))</f>
        <v>0</v>
      </c>
      <c r="DO168" s="45" t="n">
        <f aca="false">IF(AND(AND(Tasks[[#This Row],[_IsLeaf]]=1,Tasks[[#This Row],[_LeafTotalWork]]&gt;0),Tasks[[#This Row],[_Res4Work]]&gt;0),Tasks[[#This Row],[_Res4Work]]/(Tasks[[#This Row],[_FinishWorkday]]-Tasks[[#This Row],[_StartWorkday]]+1),0)</f>
        <v>0</v>
      </c>
      <c r="DP168" s="45" t="n">
        <f aca="false">Tasks[[#This Row],[_Res4WorkPerWD]]*MAX(0,Tasks[[#This Row],[_StartWorkday]]-1)</f>
        <v>0</v>
      </c>
      <c r="DQ168" s="45" t="n">
        <f aca="false">Tasks[[#This Row],[_Res4Work]]*Tasks[[#This Row],[_LeafProgress]]</f>
        <v>0</v>
      </c>
      <c r="DR168" s="45" t="n">
        <f aca="false">IF(Tasks[[#This Row],[_LeafTotalCost]]=0,0,Tasks[[#This Row],[_LeafAC]]*Tasks[[#This Row],[_Res4Cost]]/Tasks[[#This Row],[_LeafTotalCost]])</f>
        <v>0</v>
      </c>
      <c r="DS168" s="45" t="n">
        <f aca="false">IF(ISNUMBER(Tasks[[#This Row],[% Complete]]),Tasks[[#This Row],[% Complete]],IF(Tasks[[#This Row],[Stage]]="",0,IFERROR(INDEX(stg_Pct,MATCH(Tasks[[#This Row],[Stage]],stg_Name,0)),0)))</f>
        <v>0</v>
      </c>
      <c r="DT168" s="45" t="n">
        <f aca="false">IF(NOT(Tasks[[#This Row],[_IsLeaf]]=1),0,IF(N(Tasks[[#This Row],[Actual Finish]])&gt;0,1,MIN(1,Tasks[[#This Row],[_Pct]])))</f>
        <v>0</v>
      </c>
      <c r="DU168" s="45" t="n">
        <f aca="false">IF(OR(NOT(Tasks[[#This Row],[_IsLeaf]]=1),Tasks[[#This Row],[_Resource1]]=""),0,IF(ISNA(MATCH(Tasks[[#This Row],[_Resource1]],res_Name,0)),0,N(Tasks[[#This Row],[Duration]])*HoursPerDay*IF(Tasks[[#This Row],[_Units1]]="",DefaultUnits,Tasks[[#This Row],[_Units1]])))</f>
        <v>0</v>
      </c>
      <c r="DV168" s="45" t="n">
        <f aca="false">IF(Tasks[[#This Row],[_LeafWork]]=0,0,Tasks[[#This Row],[_LeafWork]]*IFERROR(INDEX(res_Rate,MATCH(Tasks[[#This Row],[_Resource1]],res_Name,0)),0))</f>
        <v>0</v>
      </c>
      <c r="DW168" s="45" t="n">
        <f aca="false">Tasks[[#This Row],[_LeafWork]]+Tasks[[#This Row],[_Res2Work]]+Tasks[[#This Row],[_Res3Work]]+Tasks[[#This Row],[_Res4Work]]</f>
        <v>0</v>
      </c>
      <c r="DX168" s="45" t="n">
        <f aca="false">Tasks[[#This Row],[_LeafCost]]+Tasks[[#This Row],[_Res2Cost]]+Tasks[[#This Row],[_Res3Cost]]+Tasks[[#This Row],[_Res4Cost]]</f>
        <v>0</v>
      </c>
      <c r="DY168" s="45" t="n">
        <f aca="false">IF(Tasks[[#This Row],[_LeafTotalCost]]=0,Tasks[[#This Row],[_LeafAC]],Tasks[[#This Row],[_LeafAC]]*Tasks[[#This Row],[_LeafCost]]/Tasks[[#This Row],[_LeafTotalCost]])</f>
        <v>0</v>
      </c>
      <c r="DZ16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6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6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6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6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6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6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6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68" s="45" t="n">
        <f aca="false">IF(NOT(Tasks[[#This Row],[_IsLeaf]]=1),0,MAX(_xlfn.MAXIFS(Tasks[_Row],Tasks[_Pred1UID],Tasks[[#This Row],[UID]]),_xlfn.MAXIFS(Tasks[_Row],Tasks[_Pred2UID],Tasks[[#This Row],[UID]]),_xlfn.MAXIFS(Tasks[_Row],Tasks[_Pred3UID],Tasks[[#This Row],[UID]]),_xlfn.MAXIFS(Tasks[_Row],Tasks[_Pred4UID],Tasks[[#This Row],[UID]])))</f>
        <v>0</v>
      </c>
      <c r="EI16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6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68" s="74" t="str">
        <f aca="false">IF(NOT(Tasks[[#This Row],[_IsLeaf]]=1),"",IF(N(Tasks[[#This Row],[Duration]])&lt;=0,Tasks[[#This Row],[_LeafLateFinish]],WORKDAY.INTL(Tasks[[#This Row],[_LeafLateFinish]],-(Tasks[[#This Row],[Duration]]-1),WorkWeek,Holidays)))</f>
        <v/>
      </c>
      <c r="EL16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68" s="73" t="b">
        <f aca="false">AND(Tasks[[#This Row],[_IsLeaf]]=1,Tasks[[#This Row],[_LeafProgress]]&lt;1,N(Tasks[[#This Row],[_LeafTotalSlack]])&lt;=CriticalSlackDays)</f>
        <v>0</v>
      </c>
      <c r="EN168" s="45" t="n">
        <f aca="false">IF(AND(Tasks[[#This Row],[_IsLeaf]]=1,Tasks[[#This Row],[_ConstraintCode]]=1,Tasks[[#This Row],[Mode]]&lt;&gt;"Manual",N(Tasks[[#This Row],[Actual Start]])=0),MAX(0,N(Tasks[[#This Row],[Free Slack]])),0)</f>
        <v>0</v>
      </c>
      <c r="EO168" s="74" t="str">
        <f aca="false">IF(NOT(Tasks[[#This Row],[_IsLeaf]]=1),"",IF(Tasks[[#This Row],[_AlapShift]]=0,Tasks[[#This Row],[_LeafCalcStart]],WORKDAY.INTL(Tasks[[#This Row],[_LeafCalcStart]],Tasks[[#This Row],[_AlapShift]],WorkWeek,Holidays)))</f>
        <v/>
      </c>
      <c r="EP168" s="74" t="str">
        <f aca="false">IF(NOT(Tasks[[#This Row],[_IsLeaf]]=1),"",IF(Tasks[[#This Row],[_AlapShift]]=0,Tasks[[#This Row],[_LeafCalcFinish]],WORKDAY.INTL(Tasks[[#This Row],[_LeafCalcFinish]],Tasks[[#This Row],[_AlapShift]],WorkWeek,Holidays)))</f>
        <v/>
      </c>
      <c r="EQ168" s="74" t="str">
        <f aca="false">IF(NOT(Tasks[[#This Row],[_IsLeaf]]=1),"",IF(Tasks[[#This Row],[_AlapShift]]=0,Tasks[[#This Row],[_LeafFcstStart]],WORKDAY.INTL(Tasks[[#This Row],[_LeafFcstStart]],Tasks[[#This Row],[_AlapShift]],WorkWeek,Holidays)))</f>
        <v/>
      </c>
      <c r="ER168" s="74" t="str">
        <f aca="false">IF(NOT(Tasks[[#This Row],[_IsLeaf]]=1),"",IF(Tasks[[#This Row],[_AlapShift]]=0,Tasks[[#This Row],[_LeafFcstFinish]],WORKDAY.INTL(Tasks[[#This Row],[_LeafFcstFinish]],Tasks[[#This Row],[_AlapShift]],WorkWeek,Holidays)))</f>
        <v/>
      </c>
      <c r="ES168" s="74" t="str">
        <f aca="false">IF(Tasks[[#This Row],[Task Name]]="","",IF(Tasks[[#This Row],[_IsSummary]],MIN(INDEX(Tasks[_ShownCalcStart],Tasks[[#This Row],[_Row]]+1):INDEX(Tasks[_ShownCalcStart],Tasks[[#This Row],[_Row]]+Tasks[[#This Row],[_Descendants]])),Tasks[[#This Row],[_ShownCalcStart]]))</f>
        <v/>
      </c>
      <c r="ET168" s="74" t="str">
        <f aca="false">IF(Tasks[[#This Row],[Task Name]]="","",IF(Tasks[[#This Row],[_IsSummary]],MAX(INDEX(Tasks[_ShownCalcFinish],Tasks[[#This Row],[_Row]]+1):INDEX(Tasks[_ShownCalcFinish],Tasks[[#This Row],[_Row]]+Tasks[[#This Row],[_Descendants]])),Tasks[[#This Row],[_ShownCalcFinish]]))</f>
        <v/>
      </c>
      <c r="EU16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6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6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6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6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6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6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6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6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6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6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6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68" s="45" t="n">
        <f aca="false">IF(AND(Tasks[[#This Row],[_IsLeaf]]=1,Tasks[[#This Row],[_LeafTotalWork]]&gt;0),NETWORKDAYS.INTL(ProjectStart,Tasks[[#This Row],[_ShownFcstStart]],WorkWeek,Holidays),0)</f>
        <v>0</v>
      </c>
      <c r="FH168" s="45" t="n">
        <f aca="false">IF(AND(Tasks[[#This Row],[_IsLeaf]]=1,Tasks[[#This Row],[_LeafTotalWork]]&gt;0),MAX(Tasks[[#This Row],[_StartWorkday]],NETWORKDAYS.INTL(ProjectStart,Tasks[[#This Row],[_ShownFcstFinish]],WorkWeek,Holidays)),0)</f>
        <v>0</v>
      </c>
      <c r="FI168" s="45" t="n">
        <f aca="false">IF(AND(Tasks[[#This Row],[_IsLeaf]]=1,Tasks[[#This Row],[_LeafTotalWork]]&gt;0),Tasks[[#This Row],[_LeafWork]]/(Tasks[[#This Row],[_FinishWorkday]]-Tasks[[#This Row],[_StartWorkday]]+1),0)</f>
        <v>0</v>
      </c>
      <c r="FJ168" s="45" t="n">
        <f aca="false">Tasks[[#This Row],[_WorkPerWorkday]]*(Tasks[[#This Row],[_StartWorkday]]-1)</f>
        <v>-0</v>
      </c>
      <c r="FK168" s="45" t="n">
        <f aca="false">IF(Tasks[[#This Row],[_IsLeaf]]=1,MAX(N(Tasks[[#This Row],[Duration]]),0.1),0)</f>
        <v>0</v>
      </c>
      <c r="FL168" s="45" t="n">
        <f aca="false">Tasks[[#This Row],[_WeightDur]]*Tasks[[#This Row],[_LeafProgress]]</f>
        <v>0</v>
      </c>
      <c r="FM16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68" s="45" t="str">
        <f aca="false">IF(AND(Tasks[[#This Row],[_IsLeaf]]=1,N(Tasks[[#This Row],[Duration]])=0,Tasks[[#This Row],[_LeafProgress]]&lt;1),Tasks[[#This Row],[_ShownFcstFinish]]+Tasks[[#This Row],[_Row]]/100000,"")</f>
        <v/>
      </c>
      <c r="FO16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68" s="45" t="n">
        <f aca="false">IF(NOT(Tasks[[#This Row],[_IsLeaf]]=1),0,IF(Tasks[[#This Row],[Baseline Cost]]="",Tasks[[#This Row],[_LeafTotalCost]],N(Tasks[[#This Row],[Baseline Cost]])))</f>
        <v>0</v>
      </c>
      <c r="FQ168" s="45" t="n">
        <f aca="false">Tasks[[#This Row],[_LeafBudget]]*Tasks[[#This Row],[_PlannedPct]]</f>
        <v>0</v>
      </c>
      <c r="FR168" s="45" t="n">
        <f aca="false">Tasks[[#This Row],[_LeafBudget]]*Tasks[[#This Row],[_LeafProgress]]</f>
        <v>0</v>
      </c>
      <c r="FS168" s="45" t="n">
        <f aca="false">IF(NOT(Tasks[[#This Row],[_IsLeaf]]=1),0,IF(Tasks[[#This Row],[Actual Cost]]="",Tasks[[#This Row],[_LeafTotalCost]]*Tasks[[#This Row],[_LeafProgress]],N(Tasks[[#This Row],[Actual Cost]])))</f>
        <v>0</v>
      </c>
      <c r="FT168" s="45" t="str">
        <f aca="false">IF(Tasks[[#This Row],[Task Name]]="","",LEFT(Tasks[[#This Row],[WBS]],FIND(".",Tasks[[#This Row],[WBS]]&amp;".")-1))</f>
        <v/>
      </c>
      <c r="FU168" s="45" t="str">
        <f aca="false">IF(AND(Tasks[[#This Row],[Task Name]]&lt;&gt;"",Tasks[[#This Row],[_Level]]=1),Tasks[[#This Row],[_Row]],"")</f>
        <v/>
      </c>
      <c r="FV168" s="45" t="str">
        <f aca="false">IF(AND(Tasks[[#This Row],[_IsLeaf]]=1,N(Tasks[[#This Row],[Duration]])=0),Tasks[[#This Row],[Planned Finish]]+Tasks[[#This Row],[_Row]]/100000,"")</f>
        <v/>
      </c>
      <c r="FW168" s="45" t="str">
        <f aca="false">IF(AND(Tasks[[#This Row],[_IsLeaf]]=1,Tasks[[#This Row],[_LeafProgress]]&lt;1,OR(N(Tasks[[#This Row],[Finish Var]])&gt;0,Tasks[[#This Row],[Status]]="Late Start")),MAX(0,Tasks[[#This Row],[Finish Var]])+1-Tasks[[#This Row],[_Row]]/1000000,"")</f>
        <v/>
      </c>
      <c r="FX168" s="45" t="str">
        <f aca="false">IF(AND(Tasks[[#This Row],[_IsLeaf]]=1,N(Tasks[[#This Row],[Actual Start]])=0,Tasks[[#This Row],[_ShownFcstStart]]&gt;=StatusDate,Tasks[[#This Row],[_ShownFcstStart]]&lt;=LookaheadEnd),Tasks[[#This Row],[_ShownFcstStart]]+Tasks[[#This Row],[_Row]]/100000,"")</f>
        <v/>
      </c>
      <c r="FY168" s="45" t="str">
        <f aca="false">IF(AND(Tasks[[#This Row],[_IsLeaf]]=1,Tasks[[#This Row],[_LeafProgress]]&lt;1,Tasks[[#This Row],[_ShownFcstFinish]]&gt;=StatusDate,Tasks[[#This Row],[_ShownFcstFinish]]&lt;=LookaheadEnd),Tasks[[#This Row],[_ShownFcstFinish]]+Tasks[[#This Row],[_Row]]/100000,"")</f>
        <v/>
      </c>
      <c r="FZ168" s="45" t="str">
        <f aca="false">IF(Tasks[[#This Row],[_LeafCritical]],Tasks[[#This Row],[_ShownFcstStart]]+Tasks[[#This Row],[_Row]]/100000,"")</f>
        <v/>
      </c>
      <c r="GA168" s="45" t="n">
        <f aca="false">Tasks[[#This Row],[_LeafWork]]*Tasks[[#This Row],[_LeafProgress]]</f>
        <v>0</v>
      </c>
      <c r="GB168" s="74" t="str">
        <f aca="false">IF(AND(Tasks[[#This Row],[_IsLeaf]]=1,Tasks[[#This Row],[_LeafProgress]]&gt;=1),IF(N(Tasks[[#This Row],[Actual Finish]])&gt;0,Tasks[[#This Row],[Actual Finish]],Tasks[[#This Row],[_ShownFcstFinish]]),"")</f>
        <v/>
      </c>
    </row>
    <row r="169" customFormat="false" ht="15" hidden="false" customHeight="false" outlineLevel="0" collapsed="false">
      <c r="A169" s="67" t="str">
        <f aca="false">IF(Tasks[[#This Row],[Task Name]]="","",COUNTA(Tasks[[#Headers],[Task Name]]:Tasks[[#This Row],[Task Name]])-1)</f>
        <v/>
      </c>
      <c r="B169" s="21" t="n">
        <v>164</v>
      </c>
      <c r="C16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21"/>
      <c r="E169" s="22"/>
      <c r="F169" s="21"/>
      <c r="G169" s="22"/>
      <c r="H169" s="22"/>
      <c r="I169" s="22"/>
      <c r="J169" s="7"/>
      <c r="K169" s="7"/>
      <c r="L169" s="22"/>
      <c r="M169" s="58" t="str">
        <f aca="false">IF(Tasks[[#This Row],[Task Name]]="","",IF(Tasks[[#This Row],[_IsSummary]],MIN(INDEX(Tasks[_ShownFcstStart],Tasks[[#This Row],[_Row]]+1):INDEX(Tasks[_ShownFcstStart],Tasks[[#This Row],[_Row]]+Tasks[[#This Row],[_Descendants]])),Tasks[[#This Row],[_ShownFcstStart]]))</f>
        <v/>
      </c>
      <c r="N169" s="58" t="str">
        <f aca="false">IF(Tasks[[#This Row],[Task Name]]="","",IF(Tasks[[#This Row],[_IsSummary]],MAX(INDEX(Tasks[_ShownFcstFinish],Tasks[[#This Row],[_Row]]+1):INDEX(Tasks[_ShownFcstFinish],Tasks[[#This Row],[_Row]]+Tasks[[#This Row],[_Descendants]])),Tasks[[#This Row],[_ShownFcstFinish]]))</f>
        <v/>
      </c>
      <c r="O169" s="20" t="str">
        <f aca="false">IF(Tasks[[#This Row],[Task Name]]="","",IF(Tasks[[#This Row],[Progress]]&gt;=1,"Complete",IF(OR(N(Tasks[[#This Row],[Actual Start]])&gt;0,Tasks[[#This Row],[Progress]]&gt;0),IF(Tasks[[#This Row],[Finish Var]]&gt;0,"Behind","In Progress"),IF(Tasks[[#This Row],[Planned Start]]&lt;StatusDate,"Late Start","Not Started"))))</f>
        <v/>
      </c>
      <c r="P169" s="20" t="str">
        <f aca="false">IF(Tasks[[#This Row],[Task Name]]="","",IF(IF(Tasks[[#This Row],[_IsSummary]],COUNTIF(INDEX(Tasks[_LeafCritical],Tasks[[#This Row],[_Row]]+1):INDEX(Tasks[_LeafCritical],Tasks[[#This Row],[_Row]]+Tasks[[#This Row],[_Descendants]]),TRUE())&gt;0,Tasks[[#This Row],[_LeafCritical]]),"Yes",""))</f>
        <v/>
      </c>
      <c r="Q16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69" s="67" t="str">
        <f aca="false">IF(Tasks[[#This Row],[Task Name]]="","",IF(Tasks[[#This Row],[_Level]]&lt;=OutlineShowLevel,"Yes","No"))</f>
        <v/>
      </c>
      <c r="S169" s="7"/>
      <c r="T169" s="21"/>
      <c r="U169" s="22"/>
      <c r="V169" s="7"/>
      <c r="W169" s="67" t="str">
        <f aca="false">IF(Tasks[[#This Row],[Task Name]]="","",IF(Tasks[[#This Row],[Finish]]&gt;=Tasks[[#This Row],[Planned Finish]],NETWORKDAYS.INTL(Tasks[[#This Row],[Planned Finish]],Tasks[[#This Row],[Finish]],WorkWeek,Holidays)-1,1-NETWORKDAYS.INTL(Tasks[[#This Row],[Finish]],Tasks[[#This Row],[Planned Finish]],WorkWeek,Holidays)))</f>
        <v/>
      </c>
      <c r="X169" s="58" t="str">
        <f aca="false">IF(Tasks[[#This Row],[Task Name]]="","",IF(N(Tasks[[#This Row],[Baseline Start]])&gt;0,Tasks[[#This Row],[Baseline Start]],Tasks[[#This Row],[_CalcStart]]))</f>
        <v/>
      </c>
      <c r="Y169" s="58" t="str">
        <f aca="false">IF(Tasks[[#This Row],[Task Name]]="","",IF(N(Tasks[[#This Row],[Baseline Finish]])&gt;0,Tasks[[#This Row],[Baseline Finish]],Tasks[[#This Row],[_CalcFinish]]))</f>
        <v/>
      </c>
      <c r="Z169" s="67" t="str">
        <f aca="false">IF(Tasks[[#This Row],[Task Name]]="","",IF(Tasks[[#This Row],[Start]]&gt;=Tasks[[#This Row],[Planned Start]],NETWORKDAYS.INTL(Tasks[[#This Row],[Planned Start]],Tasks[[#This Row],[Start]],WorkWeek,Holidays)-1,1-NETWORKDAYS.INTL(Tasks[[#This Row],[Start]],Tasks[[#This Row],[Planned Start]],WorkWeek,Holidays)))</f>
        <v/>
      </c>
      <c r="AA169" s="58" t="str">
        <f aca="false">IF(Tasks[[#This Row],[Task Name]]="","",IF(Tasks[[#This Row],[_IsSummary]],MIN(INDEX(Tasks[_LeafLateStart],Tasks[[#This Row],[_Row]]+1):INDEX(Tasks[_LeafLateStart],Tasks[[#This Row],[_Row]]+Tasks[[#This Row],[_Descendants]])),Tasks[[#This Row],[_LeafLateStart]]))</f>
        <v/>
      </c>
      <c r="AB169" s="58" t="str">
        <f aca="false">IF(Tasks[[#This Row],[Task Name]]="","",IF(Tasks[[#This Row],[_IsSummary]],MAX(INDEX(Tasks[_LeafLateFinish],Tasks[[#This Row],[_Row]]+1):INDEX(Tasks[_LeafLateFinish],Tasks[[#This Row],[_Row]]+Tasks[[#This Row],[_Descendants]])),Tasks[[#This Row],[_LeafLateFinish]]))</f>
        <v/>
      </c>
      <c r="AC169" s="67" t="str">
        <f aca="false">IF(Tasks[[#This Row],[Task Name]]="","",IF(Tasks[[#This Row],[_IsSummary]],MIN(INDEX(Tasks[_LeafTotalSlack],Tasks[[#This Row],[_Row]]+1):INDEX(Tasks[_LeafTotalSlack],Tasks[[#This Row],[_Row]]+Tasks[[#This Row],[_Descendants]])),Tasks[[#This Row],[_LeafTotalSlack]]))</f>
        <v/>
      </c>
      <c r="AD16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6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6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69" s="60"/>
      <c r="AH16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6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69" s="69" t="str">
        <f aca="false">IF(Tasks[[#This Row],[Task Name]]="","",IF(Tasks[[#This Row],[_IsSummary]],SUM(INDEX(Tasks[_LeafTotalWork],Tasks[[#This Row],[_Row]]+1):INDEX(Tasks[_LeafTotalWork],Tasks[[#This Row],[_Row]]+Tasks[[#This Row],[_Descendants]])),Tasks[[#This Row],[_LeafTotalWork]]))</f>
        <v/>
      </c>
      <c r="AK16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69" s="70" t="str">
        <f aca="false">IF(Tasks[[#This Row],[Task Name]]="","",IF(Tasks[[#This Row],[_IsSummary]],SUM(INDEX(Tasks[_LeafTotalCost],Tasks[[#This Row],[_Row]]+1):INDEX(Tasks[_LeafTotalCost],Tasks[[#This Row],[_Row]]+Tasks[[#This Row],[_Descendants]])),Tasks[[#This Row],[_LeafTotalCost]]))</f>
        <v/>
      </c>
      <c r="AM169" s="71"/>
      <c r="AN169" s="20" t="str">
        <f aca="false">IF(OR(Tasks[[#This Row],[Task Name]]="",Tasks[[#This Row],[Baseline Duration]]=""),"",Tasks[[#This Row],[BL Source Duration]]-N(Tasks[[#This Row],[Baseline Duration]]))</f>
        <v/>
      </c>
      <c r="AO169" s="69" t="str">
        <f aca="false">IF(OR(Tasks[[#This Row],[Task Name]]="",Tasks[[#This Row],[Baseline Work]]=""),"",Tasks[[#This Row],[Work]]-N(Tasks[[#This Row],[Baseline Work]]))</f>
        <v/>
      </c>
      <c r="AP169" s="70" t="str">
        <f aca="false">IF(OR(Tasks[[#This Row],[Task Name]]="",Tasks[[#This Row],[Baseline Cost]]=""),"",Tasks[[#This Row],[Cost]]-N(Tasks[[#This Row],[Baseline Cost]]))</f>
        <v/>
      </c>
      <c r="AQ169" s="58" t="str">
        <f aca="false">IF(Tasks[[#This Row],[Task Name]]="","",Tasks[[#This Row],[Start]])</f>
        <v/>
      </c>
      <c r="AR169" s="58" t="str">
        <f aca="false">IF(Tasks[[#This Row],[Task Name]]="","",Tasks[[#This Row],[Finish]])</f>
        <v/>
      </c>
      <c r="AS169" s="67" t="str">
        <f aca="false">IF(Tasks[[#This Row],[Task Name]]="","",IF(Tasks[[#This Row],[_IsSummary]],NETWORKDAYS.INTL(Tasks[[#This Row],[Start]],Tasks[[#This Row],[Finish]],WorkWeek,Holidays),N(Tasks[[#This Row],[Duration]])))</f>
        <v/>
      </c>
      <c r="AT169" s="69" t="str">
        <f aca="false">IF(Tasks[[#This Row],[Task Name]]="","",Tasks[[#This Row],[Work]])</f>
        <v/>
      </c>
      <c r="AU169" s="70" t="str">
        <f aca="false">IF(Tasks[[#This Row],[Task Name]]="","",Tasks[[#This Row],[Cost]])</f>
        <v/>
      </c>
      <c r="AV169" s="7"/>
      <c r="AW169" s="7"/>
      <c r="AX169" s="21"/>
      <c r="AY169" s="72"/>
      <c r="AZ169" s="71"/>
      <c r="BA169" s="70" t="str">
        <f aca="false">IF(Tasks[[#This Row],[Task Name]]="","",IF(Tasks[[#This Row],[_IsSummary]],SUM(INDEX(Tasks[_LeafEV],Tasks[[#This Row],[_Row]]+1):INDEX(Tasks[_LeafEV],Tasks[[#This Row],[_Row]]+Tasks[[#This Row],[_Descendants]])),Tasks[[#This Row],[_LeafEV]]))</f>
        <v/>
      </c>
      <c r="BB169" s="70" t="str">
        <f aca="false">IF(Tasks[[#This Row],[Task Name]]="","",IF(Tasks[[#This Row],[_IsSummary]],SUM(INDEX(Tasks[_LeafBudget],Tasks[[#This Row],[_Row]]+1):INDEX(Tasks[_LeafBudget],Tasks[[#This Row],[_Row]]+Tasks[[#This Row],[_Descendants]])),Tasks[[#This Row],[_LeafBudget]]))</f>
        <v/>
      </c>
      <c r="BC169" s="70" t="str">
        <f aca="false">IF(Tasks[[#This Row],[Task Name]]="","",IF(Tasks[[#This Row],[_IsSummary]],SUM(INDEX(Tasks[_LeafPV],Tasks[[#This Row],[_Row]]+1):INDEX(Tasks[_LeafPV],Tasks[[#This Row],[_Row]]+Tasks[[#This Row],[_Descendants]])),Tasks[[#This Row],[_LeafPV]]))</f>
        <v/>
      </c>
      <c r="BD169" s="70" t="str">
        <f aca="false">IF(Tasks[[#This Row],[Task Name]]="","",IF(Tasks[[#This Row],[_IsSummary]],SUM(INDEX(Tasks[_LeafAC],Tasks[[#This Row],[_Row]]+1):INDEX(Tasks[_LeafAC],Tasks[[#This Row],[_Row]]+Tasks[[#This Row],[_Descendants]])),Tasks[[#This Row],[_LeafAC]]))</f>
        <v/>
      </c>
      <c r="BE169" s="45" t="str">
        <f aca="false">IF(Tasks[[#This Row],[Task Name]]="","",MAX(1,N(Tasks[[#This Row],[Level]])))</f>
        <v/>
      </c>
      <c r="BF169" s="45" t="n">
        <f aca="false">ROW()-ROW(Tasks[[#Headers],[ID]])</f>
        <v>164</v>
      </c>
      <c r="BG169" s="45" t="n">
        <f aca="false">IF(OR(Tasks[[#This Row],[Task Name]]="",Tasks[[#This Row],[_Level]]&lt;=1),0,IFERROR(LOOKUP(2,1/(Tasks[[#Headers],[_Level]]:Tasks[[#This Row],[_Level]]=Tasks[[#This Row],[_Level]]-1),ROW(Tasks[[#Headers],[_Level]]:Tasks[[#This Row],[_Level]])),0))</f>
        <v>0</v>
      </c>
      <c r="BH169" s="45" t="n">
        <f aca="false">IFERROR(N(INDEX(Tasks[_Level],Tasks[[#This Row],[_Row]]+1)),0)</f>
        <v>0</v>
      </c>
      <c r="BI169" s="73" t="b">
        <f aca="false">AND(Tasks[[#This Row],[Task Name]]&lt;&gt;"",Tasks[[#This Row],[_NextLevel]]&gt;Tasks[[#This Row],[_Level]])</f>
        <v>0</v>
      </c>
      <c r="BJ169" s="45" t="n">
        <f aca="false">IF(Tasks[[#This Row],[_IsSummary]],COUNTIF(Tasks[WBS],Tasks[[#This Row],[WBS]]&amp;".*"),0)</f>
        <v>0</v>
      </c>
      <c r="BK169" s="45" t="n">
        <f aca="false">IF(AND(Tasks[[#This Row],[Task Name]]&lt;&gt;"",NOT(Tasks[[#This Row],[_IsSummary]])),1,0)</f>
        <v>0</v>
      </c>
      <c r="BL169" s="45" t="n">
        <f aca="false">IF(N(Tasks[[#This Row],[_Pred1UID]])=0,0,IFERROR(MATCH(Tasks[[#This Row],[_Pred1UID]],Tasks[UID],0),-1))</f>
        <v>0</v>
      </c>
      <c r="BM169" s="45" t="n">
        <f aca="false">IF(N(Tasks[[#This Row],[_Pred2UID]])=0,0,IFERROR(MATCH(Tasks[[#This Row],[_Pred2UID]],Tasks[UID],0),-1))</f>
        <v>0</v>
      </c>
      <c r="BN169" s="45" t="n">
        <f aca="false">IF(N(Tasks[[#This Row],[_Pred3UID]])=0,0,IFERROR(MATCH(Tasks[[#This Row],[_Pred3UID]],Tasks[UID],0),-1))</f>
        <v>0</v>
      </c>
      <c r="BO169" s="45" t="n">
        <f aca="false">IF(N(Tasks[[#This Row],[_Pred4UID]])=0,0,IFERROR(MATCH(Tasks[[#This Row],[_Pred4UID]],Tasks[UID],0),-1))</f>
        <v>0</v>
      </c>
      <c r="BP16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6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69" s="74" t="n">
        <f aca="false">IF(OR(Tasks[[#This Row],[_ConstraintCode]]=2,Tasks[[#This Row],[_ConstraintCode]]=3,Tasks[[#This Row],[_ConstraintCode]]=4,Tasks[[#This Row],[_ConstraintCode]]=6),Tasks[[#This Row],[_ConstraintStart]],0)</f>
        <v>0</v>
      </c>
      <c r="BS169" s="74" t="n">
        <f aca="false">IF(OR(Tasks[[#This Row],[_ConstraintCode]]=2,Tasks[[#This Row],[_ConstraintCode]]=3,Tasks[[#This Row],[_ConstraintCode]]=5,Tasks[[#This Row],[_ConstraintCode]]=7),Tasks[[#This Row],[_ConstraintStart]],2958465)</f>
        <v>2958465</v>
      </c>
      <c r="BT16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69" s="74" t="str">
        <f aca="false">IF(NOT(Tasks[[#This Row],[_IsLeaf]]=1),"",IF(N(Tasks[[#This Row],[Duration]])&lt;=0,Tasks[[#This Row],[_LeafCalcStart]],WORKDAY.INTL(Tasks[[#This Row],[_LeafCalcStart]],Tasks[[#This Row],[Duration]]-1,WorkWeek,Holidays)))</f>
        <v/>
      </c>
      <c r="BV16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6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69" s="45" t="str">
        <f aca="false">IF(Tasks[[#This Row],[Predecessors]]="","",TRIM(MID(SUBSTITUTE(SUBSTITUTE(SUBSTITUTE(UPPER(Tasks[[#This Row],[Predecessors]]),";",",")," ",""),",",REPT(" ",99)),1,99)))</f>
        <v/>
      </c>
      <c r="BY169" s="45" t="str">
        <f aca="false">IF(Tasks[[#This Row],[_Pred1Text]]="","",IFERROR(VALUE(LEFT(Tasks[[#This Row],[_Pred1Text]],MIN(FIND("F",Tasks[[#This Row],[_Pred1Text]]&amp;"F"),FIND("S",Tasks[[#This Row],[_Pred1Text]]&amp;"S"),FIND("+",Tasks[[#This Row],[_Pred1Text]]&amp;"+"),FIND("-",Tasks[[#This Row],[_Pred1Text]]&amp;"-"))-1)),""))</f>
        <v/>
      </c>
      <c r="BZ16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6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69" s="45" t="str">
        <f aca="false">IF(Tasks[[#This Row],[_Pred1Text]]="","",TRIM(MID(SUBSTITUTE(SUBSTITUTE(SUBSTITUTE(UPPER(Tasks[[#This Row],[Predecessors]]),";",",")," ",""),",",REPT(" ",99)),100,99)))</f>
        <v/>
      </c>
      <c r="CC169" s="45" t="str">
        <f aca="false">IF(Tasks[[#This Row],[_Pred2Text]]="","",IFERROR(VALUE(LEFT(Tasks[[#This Row],[_Pred2Text]],MIN(FIND("F",Tasks[[#This Row],[_Pred2Text]]&amp;"F"),FIND("S",Tasks[[#This Row],[_Pred2Text]]&amp;"S"),FIND("+",Tasks[[#This Row],[_Pred2Text]]&amp;"+"),FIND("-",Tasks[[#This Row],[_Pred2Text]]&amp;"-"))-1)),""))</f>
        <v/>
      </c>
      <c r="CD16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6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69" s="45" t="str">
        <f aca="false">IF(Tasks[[#This Row],[_Pred2Text]]="","",TRIM(MID(SUBSTITUTE(SUBSTITUTE(SUBSTITUTE(UPPER(Tasks[[#This Row],[Predecessors]]),";",",")," ",""),",",REPT(" ",99)),199,99)))</f>
        <v/>
      </c>
      <c r="CG169" s="45" t="str">
        <f aca="false">IF(Tasks[[#This Row],[_Pred3Text]]="","",IFERROR(VALUE(LEFT(Tasks[[#This Row],[_Pred3Text]],MIN(FIND("F",Tasks[[#This Row],[_Pred3Text]]&amp;"F"),FIND("S",Tasks[[#This Row],[_Pred3Text]]&amp;"S"),FIND("+",Tasks[[#This Row],[_Pred3Text]]&amp;"+"),FIND("-",Tasks[[#This Row],[_Pred3Text]]&amp;"-"))-1)),""))</f>
        <v/>
      </c>
      <c r="CH16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6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69" s="45" t="str">
        <f aca="false">IF(Tasks[[#This Row],[_Pred3Text]]="","",TRIM(MID(SUBSTITUTE(SUBSTITUTE(SUBSTITUTE(UPPER(Tasks[[#This Row],[Predecessors]]),";",",")," ",""),",",REPT(" ",99)),298,99)))</f>
        <v/>
      </c>
      <c r="CK169" s="45" t="str">
        <f aca="false">IF(Tasks[[#This Row],[_Pred4Text]]="","",IFERROR(VALUE(LEFT(Tasks[[#This Row],[_Pred4Text]],MIN(FIND("F",Tasks[[#This Row],[_Pred4Text]]&amp;"F"),FIND("S",Tasks[[#This Row],[_Pred4Text]]&amp;"S"),FIND("+",Tasks[[#This Row],[_Pred4Text]]&amp;"+"),FIND("-",Tasks[[#This Row],[_Pred4Text]]&amp;"-"))-1)),""))</f>
        <v/>
      </c>
      <c r="CL16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6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69" s="45" t="str">
        <f aca="false">IF(OR(Tasks[[#This Row],[Task Name]]="",Tasks[[#This Row],[Resources]]=""),"",TRIM(MID(SUBSTITUTE(Tasks[[#This Row],[Resources]],",",REPT(" ",99)),1,99)))</f>
        <v/>
      </c>
      <c r="CO169" s="45" t="str">
        <f aca="false">IF(Tasks[[#This Row],[_Res1Text]]="","",TRIM(MID(SUBSTITUTE(Tasks[[#This Row],[Resources]],",",REPT(" ",99)),100,99)))</f>
        <v/>
      </c>
      <c r="CP169" s="45" t="str">
        <f aca="false">IF(Tasks[[#This Row],[_Res2Text]]="","",TRIM(MID(SUBSTITUTE(Tasks[[#This Row],[Resources]],",",REPT(" ",99)),199,99)))</f>
        <v/>
      </c>
      <c r="CQ169" s="45" t="str">
        <f aca="false">IF(Tasks[[#This Row],[_Res3Text]]="","",TRIM(MID(SUBSTITUTE(Tasks[[#This Row],[Resources]],",",REPT(" ",99)),298,99)))</f>
        <v/>
      </c>
      <c r="CR16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6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9" s="45" t="n">
        <f aca="false">IF(NOT(Tasks[[#This Row],[_IsLeaf]]=1),0,(Tasks[[#This Row],[_Resource1]]&lt;&gt;"")+(Tasks[[#This Row],[_Res2]]&lt;&gt;"")+(Tasks[[#This Row],[_Res3]]&lt;&gt;"")+(Tasks[[#This Row],[_Res4]]&lt;&gt;""))</f>
        <v>0</v>
      </c>
      <c r="CU16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6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9" s="45" t="n">
        <f aca="false">IF(OR(NOT(Tasks[[#This Row],[_IsLeaf]]=1),Tasks[[#This Row],[_Res2]]=""),0,IF(ISNA(MATCH(Tasks[[#This Row],[_Res2]],res_Name,0)),0,N(Tasks[[#This Row],[Duration]])*HoursPerDay*IF(Tasks[[#This Row],[_Res2Units]]="",DefaultUnits,Tasks[[#This Row],[_Res2Units]])))</f>
        <v>0</v>
      </c>
      <c r="CX169" s="45" t="n">
        <f aca="false">IF(Tasks[[#This Row],[_Res2Work]]=0,0,Tasks[[#This Row],[_Res2Work]]*IFERROR(INDEX(res_Rate,MATCH(Tasks[[#This Row],[_Res2]],res_Name,0)),0))</f>
        <v>0</v>
      </c>
      <c r="CY169" s="45" t="n">
        <f aca="false">IF(AND(AND(Tasks[[#This Row],[_IsLeaf]]=1,Tasks[[#This Row],[_LeafTotalWork]]&gt;0),Tasks[[#This Row],[_Res2Work]]&gt;0),Tasks[[#This Row],[_Res2Work]]/(Tasks[[#This Row],[_FinishWorkday]]-Tasks[[#This Row],[_StartWorkday]]+1),0)</f>
        <v>0</v>
      </c>
      <c r="CZ169" s="45" t="n">
        <f aca="false">Tasks[[#This Row],[_Res2WorkPerWD]]*MAX(0,Tasks[[#This Row],[_StartWorkday]]-1)</f>
        <v>0</v>
      </c>
      <c r="DA169" s="45" t="n">
        <f aca="false">Tasks[[#This Row],[_Res2Work]]*Tasks[[#This Row],[_LeafProgress]]</f>
        <v>0</v>
      </c>
      <c r="DB169" s="45" t="n">
        <f aca="false">IF(Tasks[[#This Row],[_LeafTotalCost]]=0,0,Tasks[[#This Row],[_LeafAC]]*Tasks[[#This Row],[_Res2Cost]]/Tasks[[#This Row],[_LeafTotalCost]])</f>
        <v>0</v>
      </c>
      <c r="DC16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6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69" s="45" t="n">
        <f aca="false">IF(OR(NOT(Tasks[[#This Row],[_IsLeaf]]=1),Tasks[[#This Row],[_Res3]]=""),0,IF(ISNA(MATCH(Tasks[[#This Row],[_Res3]],res_Name,0)),0,N(Tasks[[#This Row],[Duration]])*HoursPerDay*IF(Tasks[[#This Row],[_Res3Units]]="",DefaultUnits,Tasks[[#This Row],[_Res3Units]])))</f>
        <v>0</v>
      </c>
      <c r="DF169" s="45" t="n">
        <f aca="false">IF(Tasks[[#This Row],[_Res3Work]]=0,0,Tasks[[#This Row],[_Res3Work]]*IFERROR(INDEX(res_Rate,MATCH(Tasks[[#This Row],[_Res3]],res_Name,0)),0))</f>
        <v>0</v>
      </c>
      <c r="DG169" s="45" t="n">
        <f aca="false">IF(AND(AND(Tasks[[#This Row],[_IsLeaf]]=1,Tasks[[#This Row],[_LeafTotalWork]]&gt;0),Tasks[[#This Row],[_Res3Work]]&gt;0),Tasks[[#This Row],[_Res3Work]]/(Tasks[[#This Row],[_FinishWorkday]]-Tasks[[#This Row],[_StartWorkday]]+1),0)</f>
        <v>0</v>
      </c>
      <c r="DH169" s="45" t="n">
        <f aca="false">Tasks[[#This Row],[_Res3WorkPerWD]]*MAX(0,Tasks[[#This Row],[_StartWorkday]]-1)</f>
        <v>0</v>
      </c>
      <c r="DI169" s="45" t="n">
        <f aca="false">Tasks[[#This Row],[_Res3Work]]*Tasks[[#This Row],[_LeafProgress]]</f>
        <v>0</v>
      </c>
      <c r="DJ169" s="45" t="n">
        <f aca="false">IF(Tasks[[#This Row],[_LeafTotalCost]]=0,0,Tasks[[#This Row],[_LeafAC]]*Tasks[[#This Row],[_Res3Cost]]/Tasks[[#This Row],[_LeafTotalCost]])</f>
        <v>0</v>
      </c>
      <c r="DK16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6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69" s="45" t="n">
        <f aca="false">IF(OR(NOT(Tasks[[#This Row],[_IsLeaf]]=1),Tasks[[#This Row],[_Res4]]=""),0,IF(ISNA(MATCH(Tasks[[#This Row],[_Res4]],res_Name,0)),0,N(Tasks[[#This Row],[Duration]])*HoursPerDay*IF(Tasks[[#This Row],[_Res4Units]]="",DefaultUnits,Tasks[[#This Row],[_Res4Units]])))</f>
        <v>0</v>
      </c>
      <c r="DN169" s="45" t="n">
        <f aca="false">IF(Tasks[[#This Row],[_Res4Work]]=0,0,Tasks[[#This Row],[_Res4Work]]*IFERROR(INDEX(res_Rate,MATCH(Tasks[[#This Row],[_Res4]],res_Name,0)),0))</f>
        <v>0</v>
      </c>
      <c r="DO169" s="45" t="n">
        <f aca="false">IF(AND(AND(Tasks[[#This Row],[_IsLeaf]]=1,Tasks[[#This Row],[_LeafTotalWork]]&gt;0),Tasks[[#This Row],[_Res4Work]]&gt;0),Tasks[[#This Row],[_Res4Work]]/(Tasks[[#This Row],[_FinishWorkday]]-Tasks[[#This Row],[_StartWorkday]]+1),0)</f>
        <v>0</v>
      </c>
      <c r="DP169" s="45" t="n">
        <f aca="false">Tasks[[#This Row],[_Res4WorkPerWD]]*MAX(0,Tasks[[#This Row],[_StartWorkday]]-1)</f>
        <v>0</v>
      </c>
      <c r="DQ169" s="45" t="n">
        <f aca="false">Tasks[[#This Row],[_Res4Work]]*Tasks[[#This Row],[_LeafProgress]]</f>
        <v>0</v>
      </c>
      <c r="DR169" s="45" t="n">
        <f aca="false">IF(Tasks[[#This Row],[_LeafTotalCost]]=0,0,Tasks[[#This Row],[_LeafAC]]*Tasks[[#This Row],[_Res4Cost]]/Tasks[[#This Row],[_LeafTotalCost]])</f>
        <v>0</v>
      </c>
      <c r="DS169" s="45" t="n">
        <f aca="false">IF(ISNUMBER(Tasks[[#This Row],[% Complete]]),Tasks[[#This Row],[% Complete]],IF(Tasks[[#This Row],[Stage]]="",0,IFERROR(INDEX(stg_Pct,MATCH(Tasks[[#This Row],[Stage]],stg_Name,0)),0)))</f>
        <v>0</v>
      </c>
      <c r="DT169" s="45" t="n">
        <f aca="false">IF(NOT(Tasks[[#This Row],[_IsLeaf]]=1),0,IF(N(Tasks[[#This Row],[Actual Finish]])&gt;0,1,MIN(1,Tasks[[#This Row],[_Pct]])))</f>
        <v>0</v>
      </c>
      <c r="DU169" s="45" t="n">
        <f aca="false">IF(OR(NOT(Tasks[[#This Row],[_IsLeaf]]=1),Tasks[[#This Row],[_Resource1]]=""),0,IF(ISNA(MATCH(Tasks[[#This Row],[_Resource1]],res_Name,0)),0,N(Tasks[[#This Row],[Duration]])*HoursPerDay*IF(Tasks[[#This Row],[_Units1]]="",DefaultUnits,Tasks[[#This Row],[_Units1]])))</f>
        <v>0</v>
      </c>
      <c r="DV169" s="45" t="n">
        <f aca="false">IF(Tasks[[#This Row],[_LeafWork]]=0,0,Tasks[[#This Row],[_LeafWork]]*IFERROR(INDEX(res_Rate,MATCH(Tasks[[#This Row],[_Resource1]],res_Name,0)),0))</f>
        <v>0</v>
      </c>
      <c r="DW169" s="45" t="n">
        <f aca="false">Tasks[[#This Row],[_LeafWork]]+Tasks[[#This Row],[_Res2Work]]+Tasks[[#This Row],[_Res3Work]]+Tasks[[#This Row],[_Res4Work]]</f>
        <v>0</v>
      </c>
      <c r="DX169" s="45" t="n">
        <f aca="false">Tasks[[#This Row],[_LeafCost]]+Tasks[[#This Row],[_Res2Cost]]+Tasks[[#This Row],[_Res3Cost]]+Tasks[[#This Row],[_Res4Cost]]</f>
        <v>0</v>
      </c>
      <c r="DY169" s="45" t="n">
        <f aca="false">IF(Tasks[[#This Row],[_LeafTotalCost]]=0,Tasks[[#This Row],[_LeafAC]],Tasks[[#This Row],[_LeafAC]]*Tasks[[#This Row],[_LeafCost]]/Tasks[[#This Row],[_LeafTotalCost]])</f>
        <v>0</v>
      </c>
      <c r="DZ16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6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6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6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6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6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6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6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69" s="45" t="n">
        <f aca="false">IF(NOT(Tasks[[#This Row],[_IsLeaf]]=1),0,MAX(_xlfn.MAXIFS(Tasks[_Row],Tasks[_Pred1UID],Tasks[[#This Row],[UID]]),_xlfn.MAXIFS(Tasks[_Row],Tasks[_Pred2UID],Tasks[[#This Row],[UID]]),_xlfn.MAXIFS(Tasks[_Row],Tasks[_Pred3UID],Tasks[[#This Row],[UID]]),_xlfn.MAXIFS(Tasks[_Row],Tasks[_Pred4UID],Tasks[[#This Row],[UID]])))</f>
        <v>0</v>
      </c>
      <c r="EI16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6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69" s="74" t="str">
        <f aca="false">IF(NOT(Tasks[[#This Row],[_IsLeaf]]=1),"",IF(N(Tasks[[#This Row],[Duration]])&lt;=0,Tasks[[#This Row],[_LeafLateFinish]],WORKDAY.INTL(Tasks[[#This Row],[_LeafLateFinish]],-(Tasks[[#This Row],[Duration]]-1),WorkWeek,Holidays)))</f>
        <v/>
      </c>
      <c r="EL16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69" s="73" t="b">
        <f aca="false">AND(Tasks[[#This Row],[_IsLeaf]]=1,Tasks[[#This Row],[_LeafProgress]]&lt;1,N(Tasks[[#This Row],[_LeafTotalSlack]])&lt;=CriticalSlackDays)</f>
        <v>0</v>
      </c>
      <c r="EN169" s="45" t="n">
        <f aca="false">IF(AND(Tasks[[#This Row],[_IsLeaf]]=1,Tasks[[#This Row],[_ConstraintCode]]=1,Tasks[[#This Row],[Mode]]&lt;&gt;"Manual",N(Tasks[[#This Row],[Actual Start]])=0),MAX(0,N(Tasks[[#This Row],[Free Slack]])),0)</f>
        <v>0</v>
      </c>
      <c r="EO169" s="74" t="str">
        <f aca="false">IF(NOT(Tasks[[#This Row],[_IsLeaf]]=1),"",IF(Tasks[[#This Row],[_AlapShift]]=0,Tasks[[#This Row],[_LeafCalcStart]],WORKDAY.INTL(Tasks[[#This Row],[_LeafCalcStart]],Tasks[[#This Row],[_AlapShift]],WorkWeek,Holidays)))</f>
        <v/>
      </c>
      <c r="EP169" s="74" t="str">
        <f aca="false">IF(NOT(Tasks[[#This Row],[_IsLeaf]]=1),"",IF(Tasks[[#This Row],[_AlapShift]]=0,Tasks[[#This Row],[_LeafCalcFinish]],WORKDAY.INTL(Tasks[[#This Row],[_LeafCalcFinish]],Tasks[[#This Row],[_AlapShift]],WorkWeek,Holidays)))</f>
        <v/>
      </c>
      <c r="EQ169" s="74" t="str">
        <f aca="false">IF(NOT(Tasks[[#This Row],[_IsLeaf]]=1),"",IF(Tasks[[#This Row],[_AlapShift]]=0,Tasks[[#This Row],[_LeafFcstStart]],WORKDAY.INTL(Tasks[[#This Row],[_LeafFcstStart]],Tasks[[#This Row],[_AlapShift]],WorkWeek,Holidays)))</f>
        <v/>
      </c>
      <c r="ER169" s="74" t="str">
        <f aca="false">IF(NOT(Tasks[[#This Row],[_IsLeaf]]=1),"",IF(Tasks[[#This Row],[_AlapShift]]=0,Tasks[[#This Row],[_LeafFcstFinish]],WORKDAY.INTL(Tasks[[#This Row],[_LeafFcstFinish]],Tasks[[#This Row],[_AlapShift]],WorkWeek,Holidays)))</f>
        <v/>
      </c>
      <c r="ES169" s="74" t="str">
        <f aca="false">IF(Tasks[[#This Row],[Task Name]]="","",IF(Tasks[[#This Row],[_IsSummary]],MIN(INDEX(Tasks[_ShownCalcStart],Tasks[[#This Row],[_Row]]+1):INDEX(Tasks[_ShownCalcStart],Tasks[[#This Row],[_Row]]+Tasks[[#This Row],[_Descendants]])),Tasks[[#This Row],[_ShownCalcStart]]))</f>
        <v/>
      </c>
      <c r="ET169" s="74" t="str">
        <f aca="false">IF(Tasks[[#This Row],[Task Name]]="","",IF(Tasks[[#This Row],[_IsSummary]],MAX(INDEX(Tasks[_ShownCalcFinish],Tasks[[#This Row],[_Row]]+1):INDEX(Tasks[_ShownCalcFinish],Tasks[[#This Row],[_Row]]+Tasks[[#This Row],[_Descendants]])),Tasks[[#This Row],[_ShownCalcFinish]]))</f>
        <v/>
      </c>
      <c r="EU16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6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6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6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6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6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6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6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6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6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6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6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69" s="45" t="n">
        <f aca="false">IF(AND(Tasks[[#This Row],[_IsLeaf]]=1,Tasks[[#This Row],[_LeafTotalWork]]&gt;0),NETWORKDAYS.INTL(ProjectStart,Tasks[[#This Row],[_ShownFcstStart]],WorkWeek,Holidays),0)</f>
        <v>0</v>
      </c>
      <c r="FH169" s="45" t="n">
        <f aca="false">IF(AND(Tasks[[#This Row],[_IsLeaf]]=1,Tasks[[#This Row],[_LeafTotalWork]]&gt;0),MAX(Tasks[[#This Row],[_StartWorkday]],NETWORKDAYS.INTL(ProjectStart,Tasks[[#This Row],[_ShownFcstFinish]],WorkWeek,Holidays)),0)</f>
        <v>0</v>
      </c>
      <c r="FI169" s="45" t="n">
        <f aca="false">IF(AND(Tasks[[#This Row],[_IsLeaf]]=1,Tasks[[#This Row],[_LeafTotalWork]]&gt;0),Tasks[[#This Row],[_LeafWork]]/(Tasks[[#This Row],[_FinishWorkday]]-Tasks[[#This Row],[_StartWorkday]]+1),0)</f>
        <v>0</v>
      </c>
      <c r="FJ169" s="45" t="n">
        <f aca="false">Tasks[[#This Row],[_WorkPerWorkday]]*(Tasks[[#This Row],[_StartWorkday]]-1)</f>
        <v>-0</v>
      </c>
      <c r="FK169" s="45" t="n">
        <f aca="false">IF(Tasks[[#This Row],[_IsLeaf]]=1,MAX(N(Tasks[[#This Row],[Duration]]),0.1),0)</f>
        <v>0</v>
      </c>
      <c r="FL169" s="45" t="n">
        <f aca="false">Tasks[[#This Row],[_WeightDur]]*Tasks[[#This Row],[_LeafProgress]]</f>
        <v>0</v>
      </c>
      <c r="FM16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69" s="45" t="str">
        <f aca="false">IF(AND(Tasks[[#This Row],[_IsLeaf]]=1,N(Tasks[[#This Row],[Duration]])=0,Tasks[[#This Row],[_LeafProgress]]&lt;1),Tasks[[#This Row],[_ShownFcstFinish]]+Tasks[[#This Row],[_Row]]/100000,"")</f>
        <v/>
      </c>
      <c r="FO16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69" s="45" t="n">
        <f aca="false">IF(NOT(Tasks[[#This Row],[_IsLeaf]]=1),0,IF(Tasks[[#This Row],[Baseline Cost]]="",Tasks[[#This Row],[_LeafTotalCost]],N(Tasks[[#This Row],[Baseline Cost]])))</f>
        <v>0</v>
      </c>
      <c r="FQ169" s="45" t="n">
        <f aca="false">Tasks[[#This Row],[_LeafBudget]]*Tasks[[#This Row],[_PlannedPct]]</f>
        <v>0</v>
      </c>
      <c r="FR169" s="45" t="n">
        <f aca="false">Tasks[[#This Row],[_LeafBudget]]*Tasks[[#This Row],[_LeafProgress]]</f>
        <v>0</v>
      </c>
      <c r="FS169" s="45" t="n">
        <f aca="false">IF(NOT(Tasks[[#This Row],[_IsLeaf]]=1),0,IF(Tasks[[#This Row],[Actual Cost]]="",Tasks[[#This Row],[_LeafTotalCost]]*Tasks[[#This Row],[_LeafProgress]],N(Tasks[[#This Row],[Actual Cost]])))</f>
        <v>0</v>
      </c>
      <c r="FT169" s="45" t="str">
        <f aca="false">IF(Tasks[[#This Row],[Task Name]]="","",LEFT(Tasks[[#This Row],[WBS]],FIND(".",Tasks[[#This Row],[WBS]]&amp;".")-1))</f>
        <v/>
      </c>
      <c r="FU169" s="45" t="str">
        <f aca="false">IF(AND(Tasks[[#This Row],[Task Name]]&lt;&gt;"",Tasks[[#This Row],[_Level]]=1),Tasks[[#This Row],[_Row]],"")</f>
        <v/>
      </c>
      <c r="FV169" s="45" t="str">
        <f aca="false">IF(AND(Tasks[[#This Row],[_IsLeaf]]=1,N(Tasks[[#This Row],[Duration]])=0),Tasks[[#This Row],[Planned Finish]]+Tasks[[#This Row],[_Row]]/100000,"")</f>
        <v/>
      </c>
      <c r="FW169" s="45" t="str">
        <f aca="false">IF(AND(Tasks[[#This Row],[_IsLeaf]]=1,Tasks[[#This Row],[_LeafProgress]]&lt;1,OR(N(Tasks[[#This Row],[Finish Var]])&gt;0,Tasks[[#This Row],[Status]]="Late Start")),MAX(0,Tasks[[#This Row],[Finish Var]])+1-Tasks[[#This Row],[_Row]]/1000000,"")</f>
        <v/>
      </c>
      <c r="FX169" s="45" t="str">
        <f aca="false">IF(AND(Tasks[[#This Row],[_IsLeaf]]=1,N(Tasks[[#This Row],[Actual Start]])=0,Tasks[[#This Row],[_ShownFcstStart]]&gt;=StatusDate,Tasks[[#This Row],[_ShownFcstStart]]&lt;=LookaheadEnd),Tasks[[#This Row],[_ShownFcstStart]]+Tasks[[#This Row],[_Row]]/100000,"")</f>
        <v/>
      </c>
      <c r="FY169" s="45" t="str">
        <f aca="false">IF(AND(Tasks[[#This Row],[_IsLeaf]]=1,Tasks[[#This Row],[_LeafProgress]]&lt;1,Tasks[[#This Row],[_ShownFcstFinish]]&gt;=StatusDate,Tasks[[#This Row],[_ShownFcstFinish]]&lt;=LookaheadEnd),Tasks[[#This Row],[_ShownFcstFinish]]+Tasks[[#This Row],[_Row]]/100000,"")</f>
        <v/>
      </c>
      <c r="FZ169" s="45" t="str">
        <f aca="false">IF(Tasks[[#This Row],[_LeafCritical]],Tasks[[#This Row],[_ShownFcstStart]]+Tasks[[#This Row],[_Row]]/100000,"")</f>
        <v/>
      </c>
      <c r="GA169" s="45" t="n">
        <f aca="false">Tasks[[#This Row],[_LeafWork]]*Tasks[[#This Row],[_LeafProgress]]</f>
        <v>0</v>
      </c>
      <c r="GB169" s="74" t="str">
        <f aca="false">IF(AND(Tasks[[#This Row],[_IsLeaf]]=1,Tasks[[#This Row],[_LeafProgress]]&gt;=1),IF(N(Tasks[[#This Row],[Actual Finish]])&gt;0,Tasks[[#This Row],[Actual Finish]],Tasks[[#This Row],[_ShownFcstFinish]]),"")</f>
        <v/>
      </c>
    </row>
    <row r="170" customFormat="false" ht="15" hidden="false" customHeight="false" outlineLevel="0" collapsed="false">
      <c r="A170" s="67" t="str">
        <f aca="false">IF(Tasks[[#This Row],[Task Name]]="","",COUNTA(Tasks[[#Headers],[Task Name]]:Tasks[[#This Row],[Task Name]])-1)</f>
        <v/>
      </c>
      <c r="B170" s="21" t="n">
        <v>165</v>
      </c>
      <c r="C17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21"/>
      <c r="E170" s="22"/>
      <c r="F170" s="21"/>
      <c r="G170" s="22"/>
      <c r="H170" s="22"/>
      <c r="I170" s="22"/>
      <c r="J170" s="7"/>
      <c r="K170" s="7"/>
      <c r="L170" s="22"/>
      <c r="M170" s="58" t="str">
        <f aca="false">IF(Tasks[[#This Row],[Task Name]]="","",IF(Tasks[[#This Row],[_IsSummary]],MIN(INDEX(Tasks[_ShownFcstStart],Tasks[[#This Row],[_Row]]+1):INDEX(Tasks[_ShownFcstStart],Tasks[[#This Row],[_Row]]+Tasks[[#This Row],[_Descendants]])),Tasks[[#This Row],[_ShownFcstStart]]))</f>
        <v/>
      </c>
      <c r="N170" s="58" t="str">
        <f aca="false">IF(Tasks[[#This Row],[Task Name]]="","",IF(Tasks[[#This Row],[_IsSummary]],MAX(INDEX(Tasks[_ShownFcstFinish],Tasks[[#This Row],[_Row]]+1):INDEX(Tasks[_ShownFcstFinish],Tasks[[#This Row],[_Row]]+Tasks[[#This Row],[_Descendants]])),Tasks[[#This Row],[_ShownFcstFinish]]))</f>
        <v/>
      </c>
      <c r="O170" s="20" t="str">
        <f aca="false">IF(Tasks[[#This Row],[Task Name]]="","",IF(Tasks[[#This Row],[Progress]]&gt;=1,"Complete",IF(OR(N(Tasks[[#This Row],[Actual Start]])&gt;0,Tasks[[#This Row],[Progress]]&gt;0),IF(Tasks[[#This Row],[Finish Var]]&gt;0,"Behind","In Progress"),IF(Tasks[[#This Row],[Planned Start]]&lt;StatusDate,"Late Start","Not Started"))))</f>
        <v/>
      </c>
      <c r="P170" s="20" t="str">
        <f aca="false">IF(Tasks[[#This Row],[Task Name]]="","",IF(IF(Tasks[[#This Row],[_IsSummary]],COUNTIF(INDEX(Tasks[_LeafCritical],Tasks[[#This Row],[_Row]]+1):INDEX(Tasks[_LeafCritical],Tasks[[#This Row],[_Row]]+Tasks[[#This Row],[_Descendants]]),TRUE())&gt;0,Tasks[[#This Row],[_LeafCritical]]),"Yes",""))</f>
        <v/>
      </c>
      <c r="Q17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70" s="67" t="str">
        <f aca="false">IF(Tasks[[#This Row],[Task Name]]="","",IF(Tasks[[#This Row],[_Level]]&lt;=OutlineShowLevel,"Yes","No"))</f>
        <v/>
      </c>
      <c r="S170" s="7"/>
      <c r="T170" s="21"/>
      <c r="U170" s="22"/>
      <c r="V170" s="7"/>
      <c r="W170" s="67" t="str">
        <f aca="false">IF(Tasks[[#This Row],[Task Name]]="","",IF(Tasks[[#This Row],[Finish]]&gt;=Tasks[[#This Row],[Planned Finish]],NETWORKDAYS.INTL(Tasks[[#This Row],[Planned Finish]],Tasks[[#This Row],[Finish]],WorkWeek,Holidays)-1,1-NETWORKDAYS.INTL(Tasks[[#This Row],[Finish]],Tasks[[#This Row],[Planned Finish]],WorkWeek,Holidays)))</f>
        <v/>
      </c>
      <c r="X170" s="58" t="str">
        <f aca="false">IF(Tasks[[#This Row],[Task Name]]="","",IF(N(Tasks[[#This Row],[Baseline Start]])&gt;0,Tasks[[#This Row],[Baseline Start]],Tasks[[#This Row],[_CalcStart]]))</f>
        <v/>
      </c>
      <c r="Y170" s="58" t="str">
        <f aca="false">IF(Tasks[[#This Row],[Task Name]]="","",IF(N(Tasks[[#This Row],[Baseline Finish]])&gt;0,Tasks[[#This Row],[Baseline Finish]],Tasks[[#This Row],[_CalcFinish]]))</f>
        <v/>
      </c>
      <c r="Z170" s="67" t="str">
        <f aca="false">IF(Tasks[[#This Row],[Task Name]]="","",IF(Tasks[[#This Row],[Start]]&gt;=Tasks[[#This Row],[Planned Start]],NETWORKDAYS.INTL(Tasks[[#This Row],[Planned Start]],Tasks[[#This Row],[Start]],WorkWeek,Holidays)-1,1-NETWORKDAYS.INTL(Tasks[[#This Row],[Start]],Tasks[[#This Row],[Planned Start]],WorkWeek,Holidays)))</f>
        <v/>
      </c>
      <c r="AA170" s="58" t="str">
        <f aca="false">IF(Tasks[[#This Row],[Task Name]]="","",IF(Tasks[[#This Row],[_IsSummary]],MIN(INDEX(Tasks[_LeafLateStart],Tasks[[#This Row],[_Row]]+1):INDEX(Tasks[_LeafLateStart],Tasks[[#This Row],[_Row]]+Tasks[[#This Row],[_Descendants]])),Tasks[[#This Row],[_LeafLateStart]]))</f>
        <v/>
      </c>
      <c r="AB170" s="58" t="str">
        <f aca="false">IF(Tasks[[#This Row],[Task Name]]="","",IF(Tasks[[#This Row],[_IsSummary]],MAX(INDEX(Tasks[_LeafLateFinish],Tasks[[#This Row],[_Row]]+1):INDEX(Tasks[_LeafLateFinish],Tasks[[#This Row],[_Row]]+Tasks[[#This Row],[_Descendants]])),Tasks[[#This Row],[_LeafLateFinish]]))</f>
        <v/>
      </c>
      <c r="AC170" s="67" t="str">
        <f aca="false">IF(Tasks[[#This Row],[Task Name]]="","",IF(Tasks[[#This Row],[_IsSummary]],MIN(INDEX(Tasks[_LeafTotalSlack],Tasks[[#This Row],[_Row]]+1):INDEX(Tasks[_LeafTotalSlack],Tasks[[#This Row],[_Row]]+Tasks[[#This Row],[_Descendants]])),Tasks[[#This Row],[_LeafTotalSlack]]))</f>
        <v/>
      </c>
      <c r="AD17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7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7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70" s="60"/>
      <c r="AH17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7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70" s="69" t="str">
        <f aca="false">IF(Tasks[[#This Row],[Task Name]]="","",IF(Tasks[[#This Row],[_IsSummary]],SUM(INDEX(Tasks[_LeafTotalWork],Tasks[[#This Row],[_Row]]+1):INDEX(Tasks[_LeafTotalWork],Tasks[[#This Row],[_Row]]+Tasks[[#This Row],[_Descendants]])),Tasks[[#This Row],[_LeafTotalWork]]))</f>
        <v/>
      </c>
      <c r="AK17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70" s="70" t="str">
        <f aca="false">IF(Tasks[[#This Row],[Task Name]]="","",IF(Tasks[[#This Row],[_IsSummary]],SUM(INDEX(Tasks[_LeafTotalCost],Tasks[[#This Row],[_Row]]+1):INDEX(Tasks[_LeafTotalCost],Tasks[[#This Row],[_Row]]+Tasks[[#This Row],[_Descendants]])),Tasks[[#This Row],[_LeafTotalCost]]))</f>
        <v/>
      </c>
      <c r="AM170" s="71"/>
      <c r="AN170" s="20" t="str">
        <f aca="false">IF(OR(Tasks[[#This Row],[Task Name]]="",Tasks[[#This Row],[Baseline Duration]]=""),"",Tasks[[#This Row],[BL Source Duration]]-N(Tasks[[#This Row],[Baseline Duration]]))</f>
        <v/>
      </c>
      <c r="AO170" s="69" t="str">
        <f aca="false">IF(OR(Tasks[[#This Row],[Task Name]]="",Tasks[[#This Row],[Baseline Work]]=""),"",Tasks[[#This Row],[Work]]-N(Tasks[[#This Row],[Baseline Work]]))</f>
        <v/>
      </c>
      <c r="AP170" s="70" t="str">
        <f aca="false">IF(OR(Tasks[[#This Row],[Task Name]]="",Tasks[[#This Row],[Baseline Cost]]=""),"",Tasks[[#This Row],[Cost]]-N(Tasks[[#This Row],[Baseline Cost]]))</f>
        <v/>
      </c>
      <c r="AQ170" s="58" t="str">
        <f aca="false">IF(Tasks[[#This Row],[Task Name]]="","",Tasks[[#This Row],[Start]])</f>
        <v/>
      </c>
      <c r="AR170" s="58" t="str">
        <f aca="false">IF(Tasks[[#This Row],[Task Name]]="","",Tasks[[#This Row],[Finish]])</f>
        <v/>
      </c>
      <c r="AS170" s="67" t="str">
        <f aca="false">IF(Tasks[[#This Row],[Task Name]]="","",IF(Tasks[[#This Row],[_IsSummary]],NETWORKDAYS.INTL(Tasks[[#This Row],[Start]],Tasks[[#This Row],[Finish]],WorkWeek,Holidays),N(Tasks[[#This Row],[Duration]])))</f>
        <v/>
      </c>
      <c r="AT170" s="69" t="str">
        <f aca="false">IF(Tasks[[#This Row],[Task Name]]="","",Tasks[[#This Row],[Work]])</f>
        <v/>
      </c>
      <c r="AU170" s="70" t="str">
        <f aca="false">IF(Tasks[[#This Row],[Task Name]]="","",Tasks[[#This Row],[Cost]])</f>
        <v/>
      </c>
      <c r="AV170" s="7"/>
      <c r="AW170" s="7"/>
      <c r="AX170" s="21"/>
      <c r="AY170" s="72"/>
      <c r="AZ170" s="71"/>
      <c r="BA170" s="70" t="str">
        <f aca="false">IF(Tasks[[#This Row],[Task Name]]="","",IF(Tasks[[#This Row],[_IsSummary]],SUM(INDEX(Tasks[_LeafEV],Tasks[[#This Row],[_Row]]+1):INDEX(Tasks[_LeafEV],Tasks[[#This Row],[_Row]]+Tasks[[#This Row],[_Descendants]])),Tasks[[#This Row],[_LeafEV]]))</f>
        <v/>
      </c>
      <c r="BB170" s="70" t="str">
        <f aca="false">IF(Tasks[[#This Row],[Task Name]]="","",IF(Tasks[[#This Row],[_IsSummary]],SUM(INDEX(Tasks[_LeafBudget],Tasks[[#This Row],[_Row]]+1):INDEX(Tasks[_LeafBudget],Tasks[[#This Row],[_Row]]+Tasks[[#This Row],[_Descendants]])),Tasks[[#This Row],[_LeafBudget]]))</f>
        <v/>
      </c>
      <c r="BC170" s="70" t="str">
        <f aca="false">IF(Tasks[[#This Row],[Task Name]]="","",IF(Tasks[[#This Row],[_IsSummary]],SUM(INDEX(Tasks[_LeafPV],Tasks[[#This Row],[_Row]]+1):INDEX(Tasks[_LeafPV],Tasks[[#This Row],[_Row]]+Tasks[[#This Row],[_Descendants]])),Tasks[[#This Row],[_LeafPV]]))</f>
        <v/>
      </c>
      <c r="BD170" s="70" t="str">
        <f aca="false">IF(Tasks[[#This Row],[Task Name]]="","",IF(Tasks[[#This Row],[_IsSummary]],SUM(INDEX(Tasks[_LeafAC],Tasks[[#This Row],[_Row]]+1):INDEX(Tasks[_LeafAC],Tasks[[#This Row],[_Row]]+Tasks[[#This Row],[_Descendants]])),Tasks[[#This Row],[_LeafAC]]))</f>
        <v/>
      </c>
      <c r="BE170" s="45" t="str">
        <f aca="false">IF(Tasks[[#This Row],[Task Name]]="","",MAX(1,N(Tasks[[#This Row],[Level]])))</f>
        <v/>
      </c>
      <c r="BF170" s="45" t="n">
        <f aca="false">ROW()-ROW(Tasks[[#Headers],[ID]])</f>
        <v>165</v>
      </c>
      <c r="BG170" s="45" t="n">
        <f aca="false">IF(OR(Tasks[[#This Row],[Task Name]]="",Tasks[[#This Row],[_Level]]&lt;=1),0,IFERROR(LOOKUP(2,1/(Tasks[[#Headers],[_Level]]:Tasks[[#This Row],[_Level]]=Tasks[[#This Row],[_Level]]-1),ROW(Tasks[[#Headers],[_Level]]:Tasks[[#This Row],[_Level]])),0))</f>
        <v>0</v>
      </c>
      <c r="BH170" s="45" t="n">
        <f aca="false">IFERROR(N(INDEX(Tasks[_Level],Tasks[[#This Row],[_Row]]+1)),0)</f>
        <v>0</v>
      </c>
      <c r="BI170" s="73" t="b">
        <f aca="false">AND(Tasks[[#This Row],[Task Name]]&lt;&gt;"",Tasks[[#This Row],[_NextLevel]]&gt;Tasks[[#This Row],[_Level]])</f>
        <v>0</v>
      </c>
      <c r="BJ170" s="45" t="n">
        <f aca="false">IF(Tasks[[#This Row],[_IsSummary]],COUNTIF(Tasks[WBS],Tasks[[#This Row],[WBS]]&amp;".*"),0)</f>
        <v>0</v>
      </c>
      <c r="BK170" s="45" t="n">
        <f aca="false">IF(AND(Tasks[[#This Row],[Task Name]]&lt;&gt;"",NOT(Tasks[[#This Row],[_IsSummary]])),1,0)</f>
        <v>0</v>
      </c>
      <c r="BL170" s="45" t="n">
        <f aca="false">IF(N(Tasks[[#This Row],[_Pred1UID]])=0,0,IFERROR(MATCH(Tasks[[#This Row],[_Pred1UID]],Tasks[UID],0),-1))</f>
        <v>0</v>
      </c>
      <c r="BM170" s="45" t="n">
        <f aca="false">IF(N(Tasks[[#This Row],[_Pred2UID]])=0,0,IFERROR(MATCH(Tasks[[#This Row],[_Pred2UID]],Tasks[UID],0),-1))</f>
        <v>0</v>
      </c>
      <c r="BN170" s="45" t="n">
        <f aca="false">IF(N(Tasks[[#This Row],[_Pred3UID]])=0,0,IFERROR(MATCH(Tasks[[#This Row],[_Pred3UID]],Tasks[UID],0),-1))</f>
        <v>0</v>
      </c>
      <c r="BO170" s="45" t="n">
        <f aca="false">IF(N(Tasks[[#This Row],[_Pred4UID]])=0,0,IFERROR(MATCH(Tasks[[#This Row],[_Pred4UID]],Tasks[UID],0),-1))</f>
        <v>0</v>
      </c>
      <c r="BP17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7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70" s="74" t="n">
        <f aca="false">IF(OR(Tasks[[#This Row],[_ConstraintCode]]=2,Tasks[[#This Row],[_ConstraintCode]]=3,Tasks[[#This Row],[_ConstraintCode]]=4,Tasks[[#This Row],[_ConstraintCode]]=6),Tasks[[#This Row],[_ConstraintStart]],0)</f>
        <v>0</v>
      </c>
      <c r="BS170" s="74" t="n">
        <f aca="false">IF(OR(Tasks[[#This Row],[_ConstraintCode]]=2,Tasks[[#This Row],[_ConstraintCode]]=3,Tasks[[#This Row],[_ConstraintCode]]=5,Tasks[[#This Row],[_ConstraintCode]]=7),Tasks[[#This Row],[_ConstraintStart]],2958465)</f>
        <v>2958465</v>
      </c>
      <c r="BT17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70" s="74" t="str">
        <f aca="false">IF(NOT(Tasks[[#This Row],[_IsLeaf]]=1),"",IF(N(Tasks[[#This Row],[Duration]])&lt;=0,Tasks[[#This Row],[_LeafCalcStart]],WORKDAY.INTL(Tasks[[#This Row],[_LeafCalcStart]],Tasks[[#This Row],[Duration]]-1,WorkWeek,Holidays)))</f>
        <v/>
      </c>
      <c r="BV17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7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70" s="45" t="str">
        <f aca="false">IF(Tasks[[#This Row],[Predecessors]]="","",TRIM(MID(SUBSTITUTE(SUBSTITUTE(SUBSTITUTE(UPPER(Tasks[[#This Row],[Predecessors]]),";",",")," ",""),",",REPT(" ",99)),1,99)))</f>
        <v/>
      </c>
      <c r="BY170" s="45" t="str">
        <f aca="false">IF(Tasks[[#This Row],[_Pred1Text]]="","",IFERROR(VALUE(LEFT(Tasks[[#This Row],[_Pred1Text]],MIN(FIND("F",Tasks[[#This Row],[_Pred1Text]]&amp;"F"),FIND("S",Tasks[[#This Row],[_Pred1Text]]&amp;"S"),FIND("+",Tasks[[#This Row],[_Pred1Text]]&amp;"+"),FIND("-",Tasks[[#This Row],[_Pred1Text]]&amp;"-"))-1)),""))</f>
        <v/>
      </c>
      <c r="BZ17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7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70" s="45" t="str">
        <f aca="false">IF(Tasks[[#This Row],[_Pred1Text]]="","",TRIM(MID(SUBSTITUTE(SUBSTITUTE(SUBSTITUTE(UPPER(Tasks[[#This Row],[Predecessors]]),";",",")," ",""),",",REPT(" ",99)),100,99)))</f>
        <v/>
      </c>
      <c r="CC170" s="45" t="str">
        <f aca="false">IF(Tasks[[#This Row],[_Pred2Text]]="","",IFERROR(VALUE(LEFT(Tasks[[#This Row],[_Pred2Text]],MIN(FIND("F",Tasks[[#This Row],[_Pred2Text]]&amp;"F"),FIND("S",Tasks[[#This Row],[_Pred2Text]]&amp;"S"),FIND("+",Tasks[[#This Row],[_Pred2Text]]&amp;"+"),FIND("-",Tasks[[#This Row],[_Pred2Text]]&amp;"-"))-1)),""))</f>
        <v/>
      </c>
      <c r="CD17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7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70" s="45" t="str">
        <f aca="false">IF(Tasks[[#This Row],[_Pred2Text]]="","",TRIM(MID(SUBSTITUTE(SUBSTITUTE(SUBSTITUTE(UPPER(Tasks[[#This Row],[Predecessors]]),";",",")," ",""),",",REPT(" ",99)),199,99)))</f>
        <v/>
      </c>
      <c r="CG170" s="45" t="str">
        <f aca="false">IF(Tasks[[#This Row],[_Pred3Text]]="","",IFERROR(VALUE(LEFT(Tasks[[#This Row],[_Pred3Text]],MIN(FIND("F",Tasks[[#This Row],[_Pred3Text]]&amp;"F"),FIND("S",Tasks[[#This Row],[_Pred3Text]]&amp;"S"),FIND("+",Tasks[[#This Row],[_Pred3Text]]&amp;"+"),FIND("-",Tasks[[#This Row],[_Pred3Text]]&amp;"-"))-1)),""))</f>
        <v/>
      </c>
      <c r="CH17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7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70" s="45" t="str">
        <f aca="false">IF(Tasks[[#This Row],[_Pred3Text]]="","",TRIM(MID(SUBSTITUTE(SUBSTITUTE(SUBSTITUTE(UPPER(Tasks[[#This Row],[Predecessors]]),";",",")," ",""),",",REPT(" ",99)),298,99)))</f>
        <v/>
      </c>
      <c r="CK170" s="45" t="str">
        <f aca="false">IF(Tasks[[#This Row],[_Pred4Text]]="","",IFERROR(VALUE(LEFT(Tasks[[#This Row],[_Pred4Text]],MIN(FIND("F",Tasks[[#This Row],[_Pred4Text]]&amp;"F"),FIND("S",Tasks[[#This Row],[_Pred4Text]]&amp;"S"),FIND("+",Tasks[[#This Row],[_Pred4Text]]&amp;"+"),FIND("-",Tasks[[#This Row],[_Pred4Text]]&amp;"-"))-1)),""))</f>
        <v/>
      </c>
      <c r="CL17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7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70" s="45" t="str">
        <f aca="false">IF(OR(Tasks[[#This Row],[Task Name]]="",Tasks[[#This Row],[Resources]]=""),"",TRIM(MID(SUBSTITUTE(Tasks[[#This Row],[Resources]],",",REPT(" ",99)),1,99)))</f>
        <v/>
      </c>
      <c r="CO170" s="45" t="str">
        <f aca="false">IF(Tasks[[#This Row],[_Res1Text]]="","",TRIM(MID(SUBSTITUTE(Tasks[[#This Row],[Resources]],",",REPT(" ",99)),100,99)))</f>
        <v/>
      </c>
      <c r="CP170" s="45" t="str">
        <f aca="false">IF(Tasks[[#This Row],[_Res2Text]]="","",TRIM(MID(SUBSTITUTE(Tasks[[#This Row],[Resources]],",",REPT(" ",99)),199,99)))</f>
        <v/>
      </c>
      <c r="CQ170" s="45" t="str">
        <f aca="false">IF(Tasks[[#This Row],[_Res3Text]]="","",TRIM(MID(SUBSTITUTE(Tasks[[#This Row],[Resources]],",",REPT(" ",99)),298,99)))</f>
        <v/>
      </c>
      <c r="CR17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7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0" s="45" t="n">
        <f aca="false">IF(NOT(Tasks[[#This Row],[_IsLeaf]]=1),0,(Tasks[[#This Row],[_Resource1]]&lt;&gt;"")+(Tasks[[#This Row],[_Res2]]&lt;&gt;"")+(Tasks[[#This Row],[_Res3]]&lt;&gt;"")+(Tasks[[#This Row],[_Res4]]&lt;&gt;""))</f>
        <v>0</v>
      </c>
      <c r="CU17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7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0" s="45" t="n">
        <f aca="false">IF(OR(NOT(Tasks[[#This Row],[_IsLeaf]]=1),Tasks[[#This Row],[_Res2]]=""),0,IF(ISNA(MATCH(Tasks[[#This Row],[_Res2]],res_Name,0)),0,N(Tasks[[#This Row],[Duration]])*HoursPerDay*IF(Tasks[[#This Row],[_Res2Units]]="",DefaultUnits,Tasks[[#This Row],[_Res2Units]])))</f>
        <v>0</v>
      </c>
      <c r="CX170" s="45" t="n">
        <f aca="false">IF(Tasks[[#This Row],[_Res2Work]]=0,0,Tasks[[#This Row],[_Res2Work]]*IFERROR(INDEX(res_Rate,MATCH(Tasks[[#This Row],[_Res2]],res_Name,0)),0))</f>
        <v>0</v>
      </c>
      <c r="CY170" s="45" t="n">
        <f aca="false">IF(AND(AND(Tasks[[#This Row],[_IsLeaf]]=1,Tasks[[#This Row],[_LeafTotalWork]]&gt;0),Tasks[[#This Row],[_Res2Work]]&gt;0),Tasks[[#This Row],[_Res2Work]]/(Tasks[[#This Row],[_FinishWorkday]]-Tasks[[#This Row],[_StartWorkday]]+1),0)</f>
        <v>0</v>
      </c>
      <c r="CZ170" s="45" t="n">
        <f aca="false">Tasks[[#This Row],[_Res2WorkPerWD]]*MAX(0,Tasks[[#This Row],[_StartWorkday]]-1)</f>
        <v>0</v>
      </c>
      <c r="DA170" s="45" t="n">
        <f aca="false">Tasks[[#This Row],[_Res2Work]]*Tasks[[#This Row],[_LeafProgress]]</f>
        <v>0</v>
      </c>
      <c r="DB170" s="45" t="n">
        <f aca="false">IF(Tasks[[#This Row],[_LeafTotalCost]]=0,0,Tasks[[#This Row],[_LeafAC]]*Tasks[[#This Row],[_Res2Cost]]/Tasks[[#This Row],[_LeafTotalCost]])</f>
        <v>0</v>
      </c>
      <c r="DC17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7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70" s="45" t="n">
        <f aca="false">IF(OR(NOT(Tasks[[#This Row],[_IsLeaf]]=1),Tasks[[#This Row],[_Res3]]=""),0,IF(ISNA(MATCH(Tasks[[#This Row],[_Res3]],res_Name,0)),0,N(Tasks[[#This Row],[Duration]])*HoursPerDay*IF(Tasks[[#This Row],[_Res3Units]]="",DefaultUnits,Tasks[[#This Row],[_Res3Units]])))</f>
        <v>0</v>
      </c>
      <c r="DF170" s="45" t="n">
        <f aca="false">IF(Tasks[[#This Row],[_Res3Work]]=0,0,Tasks[[#This Row],[_Res3Work]]*IFERROR(INDEX(res_Rate,MATCH(Tasks[[#This Row],[_Res3]],res_Name,0)),0))</f>
        <v>0</v>
      </c>
      <c r="DG170" s="45" t="n">
        <f aca="false">IF(AND(AND(Tasks[[#This Row],[_IsLeaf]]=1,Tasks[[#This Row],[_LeafTotalWork]]&gt;0),Tasks[[#This Row],[_Res3Work]]&gt;0),Tasks[[#This Row],[_Res3Work]]/(Tasks[[#This Row],[_FinishWorkday]]-Tasks[[#This Row],[_StartWorkday]]+1),0)</f>
        <v>0</v>
      </c>
      <c r="DH170" s="45" t="n">
        <f aca="false">Tasks[[#This Row],[_Res3WorkPerWD]]*MAX(0,Tasks[[#This Row],[_StartWorkday]]-1)</f>
        <v>0</v>
      </c>
      <c r="DI170" s="45" t="n">
        <f aca="false">Tasks[[#This Row],[_Res3Work]]*Tasks[[#This Row],[_LeafProgress]]</f>
        <v>0</v>
      </c>
      <c r="DJ170" s="45" t="n">
        <f aca="false">IF(Tasks[[#This Row],[_LeafTotalCost]]=0,0,Tasks[[#This Row],[_LeafAC]]*Tasks[[#This Row],[_Res3Cost]]/Tasks[[#This Row],[_LeafTotalCost]])</f>
        <v>0</v>
      </c>
      <c r="DK17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7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70" s="45" t="n">
        <f aca="false">IF(OR(NOT(Tasks[[#This Row],[_IsLeaf]]=1),Tasks[[#This Row],[_Res4]]=""),0,IF(ISNA(MATCH(Tasks[[#This Row],[_Res4]],res_Name,0)),0,N(Tasks[[#This Row],[Duration]])*HoursPerDay*IF(Tasks[[#This Row],[_Res4Units]]="",DefaultUnits,Tasks[[#This Row],[_Res4Units]])))</f>
        <v>0</v>
      </c>
      <c r="DN170" s="45" t="n">
        <f aca="false">IF(Tasks[[#This Row],[_Res4Work]]=0,0,Tasks[[#This Row],[_Res4Work]]*IFERROR(INDEX(res_Rate,MATCH(Tasks[[#This Row],[_Res4]],res_Name,0)),0))</f>
        <v>0</v>
      </c>
      <c r="DO170" s="45" t="n">
        <f aca="false">IF(AND(AND(Tasks[[#This Row],[_IsLeaf]]=1,Tasks[[#This Row],[_LeafTotalWork]]&gt;0),Tasks[[#This Row],[_Res4Work]]&gt;0),Tasks[[#This Row],[_Res4Work]]/(Tasks[[#This Row],[_FinishWorkday]]-Tasks[[#This Row],[_StartWorkday]]+1),0)</f>
        <v>0</v>
      </c>
      <c r="DP170" s="45" t="n">
        <f aca="false">Tasks[[#This Row],[_Res4WorkPerWD]]*MAX(0,Tasks[[#This Row],[_StartWorkday]]-1)</f>
        <v>0</v>
      </c>
      <c r="DQ170" s="45" t="n">
        <f aca="false">Tasks[[#This Row],[_Res4Work]]*Tasks[[#This Row],[_LeafProgress]]</f>
        <v>0</v>
      </c>
      <c r="DR170" s="45" t="n">
        <f aca="false">IF(Tasks[[#This Row],[_LeafTotalCost]]=0,0,Tasks[[#This Row],[_LeafAC]]*Tasks[[#This Row],[_Res4Cost]]/Tasks[[#This Row],[_LeafTotalCost]])</f>
        <v>0</v>
      </c>
      <c r="DS170" s="45" t="n">
        <f aca="false">IF(ISNUMBER(Tasks[[#This Row],[% Complete]]),Tasks[[#This Row],[% Complete]],IF(Tasks[[#This Row],[Stage]]="",0,IFERROR(INDEX(stg_Pct,MATCH(Tasks[[#This Row],[Stage]],stg_Name,0)),0)))</f>
        <v>0</v>
      </c>
      <c r="DT170" s="45" t="n">
        <f aca="false">IF(NOT(Tasks[[#This Row],[_IsLeaf]]=1),0,IF(N(Tasks[[#This Row],[Actual Finish]])&gt;0,1,MIN(1,Tasks[[#This Row],[_Pct]])))</f>
        <v>0</v>
      </c>
      <c r="DU170" s="45" t="n">
        <f aca="false">IF(OR(NOT(Tasks[[#This Row],[_IsLeaf]]=1),Tasks[[#This Row],[_Resource1]]=""),0,IF(ISNA(MATCH(Tasks[[#This Row],[_Resource1]],res_Name,0)),0,N(Tasks[[#This Row],[Duration]])*HoursPerDay*IF(Tasks[[#This Row],[_Units1]]="",DefaultUnits,Tasks[[#This Row],[_Units1]])))</f>
        <v>0</v>
      </c>
      <c r="DV170" s="45" t="n">
        <f aca="false">IF(Tasks[[#This Row],[_LeafWork]]=0,0,Tasks[[#This Row],[_LeafWork]]*IFERROR(INDEX(res_Rate,MATCH(Tasks[[#This Row],[_Resource1]],res_Name,0)),0))</f>
        <v>0</v>
      </c>
      <c r="DW170" s="45" t="n">
        <f aca="false">Tasks[[#This Row],[_LeafWork]]+Tasks[[#This Row],[_Res2Work]]+Tasks[[#This Row],[_Res3Work]]+Tasks[[#This Row],[_Res4Work]]</f>
        <v>0</v>
      </c>
      <c r="DX170" s="45" t="n">
        <f aca="false">Tasks[[#This Row],[_LeafCost]]+Tasks[[#This Row],[_Res2Cost]]+Tasks[[#This Row],[_Res3Cost]]+Tasks[[#This Row],[_Res4Cost]]</f>
        <v>0</v>
      </c>
      <c r="DY170" s="45" t="n">
        <f aca="false">IF(Tasks[[#This Row],[_LeafTotalCost]]=0,Tasks[[#This Row],[_LeafAC]],Tasks[[#This Row],[_LeafAC]]*Tasks[[#This Row],[_LeafCost]]/Tasks[[#This Row],[_LeafTotalCost]])</f>
        <v>0</v>
      </c>
      <c r="DZ17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7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7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7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7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7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7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7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70" s="45" t="n">
        <f aca="false">IF(NOT(Tasks[[#This Row],[_IsLeaf]]=1),0,MAX(_xlfn.MAXIFS(Tasks[_Row],Tasks[_Pred1UID],Tasks[[#This Row],[UID]]),_xlfn.MAXIFS(Tasks[_Row],Tasks[_Pred2UID],Tasks[[#This Row],[UID]]),_xlfn.MAXIFS(Tasks[_Row],Tasks[_Pred3UID],Tasks[[#This Row],[UID]]),_xlfn.MAXIFS(Tasks[_Row],Tasks[_Pred4UID],Tasks[[#This Row],[UID]])))</f>
        <v>0</v>
      </c>
      <c r="EI17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7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70" s="74" t="str">
        <f aca="false">IF(NOT(Tasks[[#This Row],[_IsLeaf]]=1),"",IF(N(Tasks[[#This Row],[Duration]])&lt;=0,Tasks[[#This Row],[_LeafLateFinish]],WORKDAY.INTL(Tasks[[#This Row],[_LeafLateFinish]],-(Tasks[[#This Row],[Duration]]-1),WorkWeek,Holidays)))</f>
        <v/>
      </c>
      <c r="EL17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70" s="73" t="b">
        <f aca="false">AND(Tasks[[#This Row],[_IsLeaf]]=1,Tasks[[#This Row],[_LeafProgress]]&lt;1,N(Tasks[[#This Row],[_LeafTotalSlack]])&lt;=CriticalSlackDays)</f>
        <v>0</v>
      </c>
      <c r="EN170" s="45" t="n">
        <f aca="false">IF(AND(Tasks[[#This Row],[_IsLeaf]]=1,Tasks[[#This Row],[_ConstraintCode]]=1,Tasks[[#This Row],[Mode]]&lt;&gt;"Manual",N(Tasks[[#This Row],[Actual Start]])=0),MAX(0,N(Tasks[[#This Row],[Free Slack]])),0)</f>
        <v>0</v>
      </c>
      <c r="EO170" s="74" t="str">
        <f aca="false">IF(NOT(Tasks[[#This Row],[_IsLeaf]]=1),"",IF(Tasks[[#This Row],[_AlapShift]]=0,Tasks[[#This Row],[_LeafCalcStart]],WORKDAY.INTL(Tasks[[#This Row],[_LeafCalcStart]],Tasks[[#This Row],[_AlapShift]],WorkWeek,Holidays)))</f>
        <v/>
      </c>
      <c r="EP170" s="74" t="str">
        <f aca="false">IF(NOT(Tasks[[#This Row],[_IsLeaf]]=1),"",IF(Tasks[[#This Row],[_AlapShift]]=0,Tasks[[#This Row],[_LeafCalcFinish]],WORKDAY.INTL(Tasks[[#This Row],[_LeafCalcFinish]],Tasks[[#This Row],[_AlapShift]],WorkWeek,Holidays)))</f>
        <v/>
      </c>
      <c r="EQ170" s="74" t="str">
        <f aca="false">IF(NOT(Tasks[[#This Row],[_IsLeaf]]=1),"",IF(Tasks[[#This Row],[_AlapShift]]=0,Tasks[[#This Row],[_LeafFcstStart]],WORKDAY.INTL(Tasks[[#This Row],[_LeafFcstStart]],Tasks[[#This Row],[_AlapShift]],WorkWeek,Holidays)))</f>
        <v/>
      </c>
      <c r="ER170" s="74" t="str">
        <f aca="false">IF(NOT(Tasks[[#This Row],[_IsLeaf]]=1),"",IF(Tasks[[#This Row],[_AlapShift]]=0,Tasks[[#This Row],[_LeafFcstFinish]],WORKDAY.INTL(Tasks[[#This Row],[_LeafFcstFinish]],Tasks[[#This Row],[_AlapShift]],WorkWeek,Holidays)))</f>
        <v/>
      </c>
      <c r="ES170" s="74" t="str">
        <f aca="false">IF(Tasks[[#This Row],[Task Name]]="","",IF(Tasks[[#This Row],[_IsSummary]],MIN(INDEX(Tasks[_ShownCalcStart],Tasks[[#This Row],[_Row]]+1):INDEX(Tasks[_ShownCalcStart],Tasks[[#This Row],[_Row]]+Tasks[[#This Row],[_Descendants]])),Tasks[[#This Row],[_ShownCalcStart]]))</f>
        <v/>
      </c>
      <c r="ET170" s="74" t="str">
        <f aca="false">IF(Tasks[[#This Row],[Task Name]]="","",IF(Tasks[[#This Row],[_IsSummary]],MAX(INDEX(Tasks[_ShownCalcFinish],Tasks[[#This Row],[_Row]]+1):INDEX(Tasks[_ShownCalcFinish],Tasks[[#This Row],[_Row]]+Tasks[[#This Row],[_Descendants]])),Tasks[[#This Row],[_ShownCalcFinish]]))</f>
        <v/>
      </c>
      <c r="EU17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7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7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7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7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7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7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7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7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7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7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7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70" s="45" t="n">
        <f aca="false">IF(AND(Tasks[[#This Row],[_IsLeaf]]=1,Tasks[[#This Row],[_LeafTotalWork]]&gt;0),NETWORKDAYS.INTL(ProjectStart,Tasks[[#This Row],[_ShownFcstStart]],WorkWeek,Holidays),0)</f>
        <v>0</v>
      </c>
      <c r="FH170" s="45" t="n">
        <f aca="false">IF(AND(Tasks[[#This Row],[_IsLeaf]]=1,Tasks[[#This Row],[_LeafTotalWork]]&gt;0),MAX(Tasks[[#This Row],[_StartWorkday]],NETWORKDAYS.INTL(ProjectStart,Tasks[[#This Row],[_ShownFcstFinish]],WorkWeek,Holidays)),0)</f>
        <v>0</v>
      </c>
      <c r="FI170" s="45" t="n">
        <f aca="false">IF(AND(Tasks[[#This Row],[_IsLeaf]]=1,Tasks[[#This Row],[_LeafTotalWork]]&gt;0),Tasks[[#This Row],[_LeafWork]]/(Tasks[[#This Row],[_FinishWorkday]]-Tasks[[#This Row],[_StartWorkday]]+1),0)</f>
        <v>0</v>
      </c>
      <c r="FJ170" s="45" t="n">
        <f aca="false">Tasks[[#This Row],[_WorkPerWorkday]]*(Tasks[[#This Row],[_StartWorkday]]-1)</f>
        <v>-0</v>
      </c>
      <c r="FK170" s="45" t="n">
        <f aca="false">IF(Tasks[[#This Row],[_IsLeaf]]=1,MAX(N(Tasks[[#This Row],[Duration]]),0.1),0)</f>
        <v>0</v>
      </c>
      <c r="FL170" s="45" t="n">
        <f aca="false">Tasks[[#This Row],[_WeightDur]]*Tasks[[#This Row],[_LeafProgress]]</f>
        <v>0</v>
      </c>
      <c r="FM17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70" s="45" t="str">
        <f aca="false">IF(AND(Tasks[[#This Row],[_IsLeaf]]=1,N(Tasks[[#This Row],[Duration]])=0,Tasks[[#This Row],[_LeafProgress]]&lt;1),Tasks[[#This Row],[_ShownFcstFinish]]+Tasks[[#This Row],[_Row]]/100000,"")</f>
        <v/>
      </c>
      <c r="FO17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70" s="45" t="n">
        <f aca="false">IF(NOT(Tasks[[#This Row],[_IsLeaf]]=1),0,IF(Tasks[[#This Row],[Baseline Cost]]="",Tasks[[#This Row],[_LeafTotalCost]],N(Tasks[[#This Row],[Baseline Cost]])))</f>
        <v>0</v>
      </c>
      <c r="FQ170" s="45" t="n">
        <f aca="false">Tasks[[#This Row],[_LeafBudget]]*Tasks[[#This Row],[_PlannedPct]]</f>
        <v>0</v>
      </c>
      <c r="FR170" s="45" t="n">
        <f aca="false">Tasks[[#This Row],[_LeafBudget]]*Tasks[[#This Row],[_LeafProgress]]</f>
        <v>0</v>
      </c>
      <c r="FS170" s="45" t="n">
        <f aca="false">IF(NOT(Tasks[[#This Row],[_IsLeaf]]=1),0,IF(Tasks[[#This Row],[Actual Cost]]="",Tasks[[#This Row],[_LeafTotalCost]]*Tasks[[#This Row],[_LeafProgress]],N(Tasks[[#This Row],[Actual Cost]])))</f>
        <v>0</v>
      </c>
      <c r="FT170" s="45" t="str">
        <f aca="false">IF(Tasks[[#This Row],[Task Name]]="","",LEFT(Tasks[[#This Row],[WBS]],FIND(".",Tasks[[#This Row],[WBS]]&amp;".")-1))</f>
        <v/>
      </c>
      <c r="FU170" s="45" t="str">
        <f aca="false">IF(AND(Tasks[[#This Row],[Task Name]]&lt;&gt;"",Tasks[[#This Row],[_Level]]=1),Tasks[[#This Row],[_Row]],"")</f>
        <v/>
      </c>
      <c r="FV170" s="45" t="str">
        <f aca="false">IF(AND(Tasks[[#This Row],[_IsLeaf]]=1,N(Tasks[[#This Row],[Duration]])=0),Tasks[[#This Row],[Planned Finish]]+Tasks[[#This Row],[_Row]]/100000,"")</f>
        <v/>
      </c>
      <c r="FW170" s="45" t="str">
        <f aca="false">IF(AND(Tasks[[#This Row],[_IsLeaf]]=1,Tasks[[#This Row],[_LeafProgress]]&lt;1,OR(N(Tasks[[#This Row],[Finish Var]])&gt;0,Tasks[[#This Row],[Status]]="Late Start")),MAX(0,Tasks[[#This Row],[Finish Var]])+1-Tasks[[#This Row],[_Row]]/1000000,"")</f>
        <v/>
      </c>
      <c r="FX170" s="45" t="str">
        <f aca="false">IF(AND(Tasks[[#This Row],[_IsLeaf]]=1,N(Tasks[[#This Row],[Actual Start]])=0,Tasks[[#This Row],[_ShownFcstStart]]&gt;=StatusDate,Tasks[[#This Row],[_ShownFcstStart]]&lt;=LookaheadEnd),Tasks[[#This Row],[_ShownFcstStart]]+Tasks[[#This Row],[_Row]]/100000,"")</f>
        <v/>
      </c>
      <c r="FY170" s="45" t="str">
        <f aca="false">IF(AND(Tasks[[#This Row],[_IsLeaf]]=1,Tasks[[#This Row],[_LeafProgress]]&lt;1,Tasks[[#This Row],[_ShownFcstFinish]]&gt;=StatusDate,Tasks[[#This Row],[_ShownFcstFinish]]&lt;=LookaheadEnd),Tasks[[#This Row],[_ShownFcstFinish]]+Tasks[[#This Row],[_Row]]/100000,"")</f>
        <v/>
      </c>
      <c r="FZ170" s="45" t="str">
        <f aca="false">IF(Tasks[[#This Row],[_LeafCritical]],Tasks[[#This Row],[_ShownFcstStart]]+Tasks[[#This Row],[_Row]]/100000,"")</f>
        <v/>
      </c>
      <c r="GA170" s="45" t="n">
        <f aca="false">Tasks[[#This Row],[_LeafWork]]*Tasks[[#This Row],[_LeafProgress]]</f>
        <v>0</v>
      </c>
      <c r="GB170" s="74" t="str">
        <f aca="false">IF(AND(Tasks[[#This Row],[_IsLeaf]]=1,Tasks[[#This Row],[_LeafProgress]]&gt;=1),IF(N(Tasks[[#This Row],[Actual Finish]])&gt;0,Tasks[[#This Row],[Actual Finish]],Tasks[[#This Row],[_ShownFcstFinish]]),"")</f>
        <v/>
      </c>
    </row>
    <row r="171" customFormat="false" ht="15" hidden="false" customHeight="false" outlineLevel="0" collapsed="false">
      <c r="A171" s="67" t="str">
        <f aca="false">IF(Tasks[[#This Row],[Task Name]]="","",COUNTA(Tasks[[#Headers],[Task Name]]:Tasks[[#This Row],[Task Name]])-1)</f>
        <v/>
      </c>
      <c r="B171" s="21" t="n">
        <v>166</v>
      </c>
      <c r="C17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21"/>
      <c r="E171" s="22"/>
      <c r="F171" s="21"/>
      <c r="G171" s="22"/>
      <c r="H171" s="22"/>
      <c r="I171" s="22"/>
      <c r="J171" s="7"/>
      <c r="K171" s="7"/>
      <c r="L171" s="22"/>
      <c r="M171" s="58" t="str">
        <f aca="false">IF(Tasks[[#This Row],[Task Name]]="","",IF(Tasks[[#This Row],[_IsSummary]],MIN(INDEX(Tasks[_ShownFcstStart],Tasks[[#This Row],[_Row]]+1):INDEX(Tasks[_ShownFcstStart],Tasks[[#This Row],[_Row]]+Tasks[[#This Row],[_Descendants]])),Tasks[[#This Row],[_ShownFcstStart]]))</f>
        <v/>
      </c>
      <c r="N171" s="58" t="str">
        <f aca="false">IF(Tasks[[#This Row],[Task Name]]="","",IF(Tasks[[#This Row],[_IsSummary]],MAX(INDEX(Tasks[_ShownFcstFinish],Tasks[[#This Row],[_Row]]+1):INDEX(Tasks[_ShownFcstFinish],Tasks[[#This Row],[_Row]]+Tasks[[#This Row],[_Descendants]])),Tasks[[#This Row],[_ShownFcstFinish]]))</f>
        <v/>
      </c>
      <c r="O171" s="20" t="str">
        <f aca="false">IF(Tasks[[#This Row],[Task Name]]="","",IF(Tasks[[#This Row],[Progress]]&gt;=1,"Complete",IF(OR(N(Tasks[[#This Row],[Actual Start]])&gt;0,Tasks[[#This Row],[Progress]]&gt;0),IF(Tasks[[#This Row],[Finish Var]]&gt;0,"Behind","In Progress"),IF(Tasks[[#This Row],[Planned Start]]&lt;StatusDate,"Late Start","Not Started"))))</f>
        <v/>
      </c>
      <c r="P171" s="20" t="str">
        <f aca="false">IF(Tasks[[#This Row],[Task Name]]="","",IF(IF(Tasks[[#This Row],[_IsSummary]],COUNTIF(INDEX(Tasks[_LeafCritical],Tasks[[#This Row],[_Row]]+1):INDEX(Tasks[_LeafCritical],Tasks[[#This Row],[_Row]]+Tasks[[#This Row],[_Descendants]]),TRUE())&gt;0,Tasks[[#This Row],[_LeafCritical]]),"Yes",""))</f>
        <v/>
      </c>
      <c r="Q17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71" s="67" t="str">
        <f aca="false">IF(Tasks[[#This Row],[Task Name]]="","",IF(Tasks[[#This Row],[_Level]]&lt;=OutlineShowLevel,"Yes","No"))</f>
        <v/>
      </c>
      <c r="S171" s="7"/>
      <c r="T171" s="21"/>
      <c r="U171" s="22"/>
      <c r="V171" s="7"/>
      <c r="W171" s="67" t="str">
        <f aca="false">IF(Tasks[[#This Row],[Task Name]]="","",IF(Tasks[[#This Row],[Finish]]&gt;=Tasks[[#This Row],[Planned Finish]],NETWORKDAYS.INTL(Tasks[[#This Row],[Planned Finish]],Tasks[[#This Row],[Finish]],WorkWeek,Holidays)-1,1-NETWORKDAYS.INTL(Tasks[[#This Row],[Finish]],Tasks[[#This Row],[Planned Finish]],WorkWeek,Holidays)))</f>
        <v/>
      </c>
      <c r="X171" s="58" t="str">
        <f aca="false">IF(Tasks[[#This Row],[Task Name]]="","",IF(N(Tasks[[#This Row],[Baseline Start]])&gt;0,Tasks[[#This Row],[Baseline Start]],Tasks[[#This Row],[_CalcStart]]))</f>
        <v/>
      </c>
      <c r="Y171" s="58" t="str">
        <f aca="false">IF(Tasks[[#This Row],[Task Name]]="","",IF(N(Tasks[[#This Row],[Baseline Finish]])&gt;0,Tasks[[#This Row],[Baseline Finish]],Tasks[[#This Row],[_CalcFinish]]))</f>
        <v/>
      </c>
      <c r="Z171" s="67" t="str">
        <f aca="false">IF(Tasks[[#This Row],[Task Name]]="","",IF(Tasks[[#This Row],[Start]]&gt;=Tasks[[#This Row],[Planned Start]],NETWORKDAYS.INTL(Tasks[[#This Row],[Planned Start]],Tasks[[#This Row],[Start]],WorkWeek,Holidays)-1,1-NETWORKDAYS.INTL(Tasks[[#This Row],[Start]],Tasks[[#This Row],[Planned Start]],WorkWeek,Holidays)))</f>
        <v/>
      </c>
      <c r="AA171" s="58" t="str">
        <f aca="false">IF(Tasks[[#This Row],[Task Name]]="","",IF(Tasks[[#This Row],[_IsSummary]],MIN(INDEX(Tasks[_LeafLateStart],Tasks[[#This Row],[_Row]]+1):INDEX(Tasks[_LeafLateStart],Tasks[[#This Row],[_Row]]+Tasks[[#This Row],[_Descendants]])),Tasks[[#This Row],[_LeafLateStart]]))</f>
        <v/>
      </c>
      <c r="AB171" s="58" t="str">
        <f aca="false">IF(Tasks[[#This Row],[Task Name]]="","",IF(Tasks[[#This Row],[_IsSummary]],MAX(INDEX(Tasks[_LeafLateFinish],Tasks[[#This Row],[_Row]]+1):INDEX(Tasks[_LeafLateFinish],Tasks[[#This Row],[_Row]]+Tasks[[#This Row],[_Descendants]])),Tasks[[#This Row],[_LeafLateFinish]]))</f>
        <v/>
      </c>
      <c r="AC171" s="67" t="str">
        <f aca="false">IF(Tasks[[#This Row],[Task Name]]="","",IF(Tasks[[#This Row],[_IsSummary]],MIN(INDEX(Tasks[_LeafTotalSlack],Tasks[[#This Row],[_Row]]+1):INDEX(Tasks[_LeafTotalSlack],Tasks[[#This Row],[_Row]]+Tasks[[#This Row],[_Descendants]])),Tasks[[#This Row],[_LeafTotalSlack]]))</f>
        <v/>
      </c>
      <c r="AD17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7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7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71" s="60"/>
      <c r="AH17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7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71" s="69" t="str">
        <f aca="false">IF(Tasks[[#This Row],[Task Name]]="","",IF(Tasks[[#This Row],[_IsSummary]],SUM(INDEX(Tasks[_LeafTotalWork],Tasks[[#This Row],[_Row]]+1):INDEX(Tasks[_LeafTotalWork],Tasks[[#This Row],[_Row]]+Tasks[[#This Row],[_Descendants]])),Tasks[[#This Row],[_LeafTotalWork]]))</f>
        <v/>
      </c>
      <c r="AK17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71" s="70" t="str">
        <f aca="false">IF(Tasks[[#This Row],[Task Name]]="","",IF(Tasks[[#This Row],[_IsSummary]],SUM(INDEX(Tasks[_LeafTotalCost],Tasks[[#This Row],[_Row]]+1):INDEX(Tasks[_LeafTotalCost],Tasks[[#This Row],[_Row]]+Tasks[[#This Row],[_Descendants]])),Tasks[[#This Row],[_LeafTotalCost]]))</f>
        <v/>
      </c>
      <c r="AM171" s="71"/>
      <c r="AN171" s="20" t="str">
        <f aca="false">IF(OR(Tasks[[#This Row],[Task Name]]="",Tasks[[#This Row],[Baseline Duration]]=""),"",Tasks[[#This Row],[BL Source Duration]]-N(Tasks[[#This Row],[Baseline Duration]]))</f>
        <v/>
      </c>
      <c r="AO171" s="69" t="str">
        <f aca="false">IF(OR(Tasks[[#This Row],[Task Name]]="",Tasks[[#This Row],[Baseline Work]]=""),"",Tasks[[#This Row],[Work]]-N(Tasks[[#This Row],[Baseline Work]]))</f>
        <v/>
      </c>
      <c r="AP171" s="70" t="str">
        <f aca="false">IF(OR(Tasks[[#This Row],[Task Name]]="",Tasks[[#This Row],[Baseline Cost]]=""),"",Tasks[[#This Row],[Cost]]-N(Tasks[[#This Row],[Baseline Cost]]))</f>
        <v/>
      </c>
      <c r="AQ171" s="58" t="str">
        <f aca="false">IF(Tasks[[#This Row],[Task Name]]="","",Tasks[[#This Row],[Start]])</f>
        <v/>
      </c>
      <c r="AR171" s="58" t="str">
        <f aca="false">IF(Tasks[[#This Row],[Task Name]]="","",Tasks[[#This Row],[Finish]])</f>
        <v/>
      </c>
      <c r="AS171" s="67" t="str">
        <f aca="false">IF(Tasks[[#This Row],[Task Name]]="","",IF(Tasks[[#This Row],[_IsSummary]],NETWORKDAYS.INTL(Tasks[[#This Row],[Start]],Tasks[[#This Row],[Finish]],WorkWeek,Holidays),N(Tasks[[#This Row],[Duration]])))</f>
        <v/>
      </c>
      <c r="AT171" s="69" t="str">
        <f aca="false">IF(Tasks[[#This Row],[Task Name]]="","",Tasks[[#This Row],[Work]])</f>
        <v/>
      </c>
      <c r="AU171" s="70" t="str">
        <f aca="false">IF(Tasks[[#This Row],[Task Name]]="","",Tasks[[#This Row],[Cost]])</f>
        <v/>
      </c>
      <c r="AV171" s="7"/>
      <c r="AW171" s="7"/>
      <c r="AX171" s="21"/>
      <c r="AY171" s="72"/>
      <c r="AZ171" s="71"/>
      <c r="BA171" s="70" t="str">
        <f aca="false">IF(Tasks[[#This Row],[Task Name]]="","",IF(Tasks[[#This Row],[_IsSummary]],SUM(INDEX(Tasks[_LeafEV],Tasks[[#This Row],[_Row]]+1):INDEX(Tasks[_LeafEV],Tasks[[#This Row],[_Row]]+Tasks[[#This Row],[_Descendants]])),Tasks[[#This Row],[_LeafEV]]))</f>
        <v/>
      </c>
      <c r="BB171" s="70" t="str">
        <f aca="false">IF(Tasks[[#This Row],[Task Name]]="","",IF(Tasks[[#This Row],[_IsSummary]],SUM(INDEX(Tasks[_LeafBudget],Tasks[[#This Row],[_Row]]+1):INDEX(Tasks[_LeafBudget],Tasks[[#This Row],[_Row]]+Tasks[[#This Row],[_Descendants]])),Tasks[[#This Row],[_LeafBudget]]))</f>
        <v/>
      </c>
      <c r="BC171" s="70" t="str">
        <f aca="false">IF(Tasks[[#This Row],[Task Name]]="","",IF(Tasks[[#This Row],[_IsSummary]],SUM(INDEX(Tasks[_LeafPV],Tasks[[#This Row],[_Row]]+1):INDEX(Tasks[_LeafPV],Tasks[[#This Row],[_Row]]+Tasks[[#This Row],[_Descendants]])),Tasks[[#This Row],[_LeafPV]]))</f>
        <v/>
      </c>
      <c r="BD171" s="70" t="str">
        <f aca="false">IF(Tasks[[#This Row],[Task Name]]="","",IF(Tasks[[#This Row],[_IsSummary]],SUM(INDEX(Tasks[_LeafAC],Tasks[[#This Row],[_Row]]+1):INDEX(Tasks[_LeafAC],Tasks[[#This Row],[_Row]]+Tasks[[#This Row],[_Descendants]])),Tasks[[#This Row],[_LeafAC]]))</f>
        <v/>
      </c>
      <c r="BE171" s="45" t="str">
        <f aca="false">IF(Tasks[[#This Row],[Task Name]]="","",MAX(1,N(Tasks[[#This Row],[Level]])))</f>
        <v/>
      </c>
      <c r="BF171" s="45" t="n">
        <f aca="false">ROW()-ROW(Tasks[[#Headers],[ID]])</f>
        <v>166</v>
      </c>
      <c r="BG171" s="45" t="n">
        <f aca="false">IF(OR(Tasks[[#This Row],[Task Name]]="",Tasks[[#This Row],[_Level]]&lt;=1),0,IFERROR(LOOKUP(2,1/(Tasks[[#Headers],[_Level]]:Tasks[[#This Row],[_Level]]=Tasks[[#This Row],[_Level]]-1),ROW(Tasks[[#Headers],[_Level]]:Tasks[[#This Row],[_Level]])),0))</f>
        <v>0</v>
      </c>
      <c r="BH171" s="45" t="n">
        <f aca="false">IFERROR(N(INDEX(Tasks[_Level],Tasks[[#This Row],[_Row]]+1)),0)</f>
        <v>0</v>
      </c>
      <c r="BI171" s="73" t="b">
        <f aca="false">AND(Tasks[[#This Row],[Task Name]]&lt;&gt;"",Tasks[[#This Row],[_NextLevel]]&gt;Tasks[[#This Row],[_Level]])</f>
        <v>0</v>
      </c>
      <c r="BJ171" s="45" t="n">
        <f aca="false">IF(Tasks[[#This Row],[_IsSummary]],COUNTIF(Tasks[WBS],Tasks[[#This Row],[WBS]]&amp;".*"),0)</f>
        <v>0</v>
      </c>
      <c r="BK171" s="45" t="n">
        <f aca="false">IF(AND(Tasks[[#This Row],[Task Name]]&lt;&gt;"",NOT(Tasks[[#This Row],[_IsSummary]])),1,0)</f>
        <v>0</v>
      </c>
      <c r="BL171" s="45" t="n">
        <f aca="false">IF(N(Tasks[[#This Row],[_Pred1UID]])=0,0,IFERROR(MATCH(Tasks[[#This Row],[_Pred1UID]],Tasks[UID],0),-1))</f>
        <v>0</v>
      </c>
      <c r="BM171" s="45" t="n">
        <f aca="false">IF(N(Tasks[[#This Row],[_Pred2UID]])=0,0,IFERROR(MATCH(Tasks[[#This Row],[_Pred2UID]],Tasks[UID],0),-1))</f>
        <v>0</v>
      </c>
      <c r="BN171" s="45" t="n">
        <f aca="false">IF(N(Tasks[[#This Row],[_Pred3UID]])=0,0,IFERROR(MATCH(Tasks[[#This Row],[_Pred3UID]],Tasks[UID],0),-1))</f>
        <v>0</v>
      </c>
      <c r="BO171" s="45" t="n">
        <f aca="false">IF(N(Tasks[[#This Row],[_Pred4UID]])=0,0,IFERROR(MATCH(Tasks[[#This Row],[_Pred4UID]],Tasks[UID],0),-1))</f>
        <v>0</v>
      </c>
      <c r="BP17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7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71" s="74" t="n">
        <f aca="false">IF(OR(Tasks[[#This Row],[_ConstraintCode]]=2,Tasks[[#This Row],[_ConstraintCode]]=3,Tasks[[#This Row],[_ConstraintCode]]=4,Tasks[[#This Row],[_ConstraintCode]]=6),Tasks[[#This Row],[_ConstraintStart]],0)</f>
        <v>0</v>
      </c>
      <c r="BS171" s="74" t="n">
        <f aca="false">IF(OR(Tasks[[#This Row],[_ConstraintCode]]=2,Tasks[[#This Row],[_ConstraintCode]]=3,Tasks[[#This Row],[_ConstraintCode]]=5,Tasks[[#This Row],[_ConstraintCode]]=7),Tasks[[#This Row],[_ConstraintStart]],2958465)</f>
        <v>2958465</v>
      </c>
      <c r="BT17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71" s="74" t="str">
        <f aca="false">IF(NOT(Tasks[[#This Row],[_IsLeaf]]=1),"",IF(N(Tasks[[#This Row],[Duration]])&lt;=0,Tasks[[#This Row],[_LeafCalcStart]],WORKDAY.INTL(Tasks[[#This Row],[_LeafCalcStart]],Tasks[[#This Row],[Duration]]-1,WorkWeek,Holidays)))</f>
        <v/>
      </c>
      <c r="BV17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7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71" s="45" t="str">
        <f aca="false">IF(Tasks[[#This Row],[Predecessors]]="","",TRIM(MID(SUBSTITUTE(SUBSTITUTE(SUBSTITUTE(UPPER(Tasks[[#This Row],[Predecessors]]),";",",")," ",""),",",REPT(" ",99)),1,99)))</f>
        <v/>
      </c>
      <c r="BY171" s="45" t="str">
        <f aca="false">IF(Tasks[[#This Row],[_Pred1Text]]="","",IFERROR(VALUE(LEFT(Tasks[[#This Row],[_Pred1Text]],MIN(FIND("F",Tasks[[#This Row],[_Pred1Text]]&amp;"F"),FIND("S",Tasks[[#This Row],[_Pred1Text]]&amp;"S"),FIND("+",Tasks[[#This Row],[_Pred1Text]]&amp;"+"),FIND("-",Tasks[[#This Row],[_Pred1Text]]&amp;"-"))-1)),""))</f>
        <v/>
      </c>
      <c r="BZ17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7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71" s="45" t="str">
        <f aca="false">IF(Tasks[[#This Row],[_Pred1Text]]="","",TRIM(MID(SUBSTITUTE(SUBSTITUTE(SUBSTITUTE(UPPER(Tasks[[#This Row],[Predecessors]]),";",",")," ",""),",",REPT(" ",99)),100,99)))</f>
        <v/>
      </c>
      <c r="CC171" s="45" t="str">
        <f aca="false">IF(Tasks[[#This Row],[_Pred2Text]]="","",IFERROR(VALUE(LEFT(Tasks[[#This Row],[_Pred2Text]],MIN(FIND("F",Tasks[[#This Row],[_Pred2Text]]&amp;"F"),FIND("S",Tasks[[#This Row],[_Pred2Text]]&amp;"S"),FIND("+",Tasks[[#This Row],[_Pred2Text]]&amp;"+"),FIND("-",Tasks[[#This Row],[_Pred2Text]]&amp;"-"))-1)),""))</f>
        <v/>
      </c>
      <c r="CD17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7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71" s="45" t="str">
        <f aca="false">IF(Tasks[[#This Row],[_Pred2Text]]="","",TRIM(MID(SUBSTITUTE(SUBSTITUTE(SUBSTITUTE(UPPER(Tasks[[#This Row],[Predecessors]]),";",",")," ",""),",",REPT(" ",99)),199,99)))</f>
        <v/>
      </c>
      <c r="CG171" s="45" t="str">
        <f aca="false">IF(Tasks[[#This Row],[_Pred3Text]]="","",IFERROR(VALUE(LEFT(Tasks[[#This Row],[_Pred3Text]],MIN(FIND("F",Tasks[[#This Row],[_Pred3Text]]&amp;"F"),FIND("S",Tasks[[#This Row],[_Pred3Text]]&amp;"S"),FIND("+",Tasks[[#This Row],[_Pred3Text]]&amp;"+"),FIND("-",Tasks[[#This Row],[_Pred3Text]]&amp;"-"))-1)),""))</f>
        <v/>
      </c>
      <c r="CH17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7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71" s="45" t="str">
        <f aca="false">IF(Tasks[[#This Row],[_Pred3Text]]="","",TRIM(MID(SUBSTITUTE(SUBSTITUTE(SUBSTITUTE(UPPER(Tasks[[#This Row],[Predecessors]]),";",",")," ",""),",",REPT(" ",99)),298,99)))</f>
        <v/>
      </c>
      <c r="CK171" s="45" t="str">
        <f aca="false">IF(Tasks[[#This Row],[_Pred4Text]]="","",IFERROR(VALUE(LEFT(Tasks[[#This Row],[_Pred4Text]],MIN(FIND("F",Tasks[[#This Row],[_Pred4Text]]&amp;"F"),FIND("S",Tasks[[#This Row],[_Pred4Text]]&amp;"S"),FIND("+",Tasks[[#This Row],[_Pred4Text]]&amp;"+"),FIND("-",Tasks[[#This Row],[_Pred4Text]]&amp;"-"))-1)),""))</f>
        <v/>
      </c>
      <c r="CL17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7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71" s="45" t="str">
        <f aca="false">IF(OR(Tasks[[#This Row],[Task Name]]="",Tasks[[#This Row],[Resources]]=""),"",TRIM(MID(SUBSTITUTE(Tasks[[#This Row],[Resources]],",",REPT(" ",99)),1,99)))</f>
        <v/>
      </c>
      <c r="CO171" s="45" t="str">
        <f aca="false">IF(Tasks[[#This Row],[_Res1Text]]="","",TRIM(MID(SUBSTITUTE(Tasks[[#This Row],[Resources]],",",REPT(" ",99)),100,99)))</f>
        <v/>
      </c>
      <c r="CP171" s="45" t="str">
        <f aca="false">IF(Tasks[[#This Row],[_Res2Text]]="","",TRIM(MID(SUBSTITUTE(Tasks[[#This Row],[Resources]],",",REPT(" ",99)),199,99)))</f>
        <v/>
      </c>
      <c r="CQ171" s="45" t="str">
        <f aca="false">IF(Tasks[[#This Row],[_Res3Text]]="","",TRIM(MID(SUBSTITUTE(Tasks[[#This Row],[Resources]],",",REPT(" ",99)),298,99)))</f>
        <v/>
      </c>
      <c r="CR17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7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1" s="45" t="n">
        <f aca="false">IF(NOT(Tasks[[#This Row],[_IsLeaf]]=1),0,(Tasks[[#This Row],[_Resource1]]&lt;&gt;"")+(Tasks[[#This Row],[_Res2]]&lt;&gt;"")+(Tasks[[#This Row],[_Res3]]&lt;&gt;"")+(Tasks[[#This Row],[_Res4]]&lt;&gt;""))</f>
        <v>0</v>
      </c>
      <c r="CU17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7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1" s="45" t="n">
        <f aca="false">IF(OR(NOT(Tasks[[#This Row],[_IsLeaf]]=1),Tasks[[#This Row],[_Res2]]=""),0,IF(ISNA(MATCH(Tasks[[#This Row],[_Res2]],res_Name,0)),0,N(Tasks[[#This Row],[Duration]])*HoursPerDay*IF(Tasks[[#This Row],[_Res2Units]]="",DefaultUnits,Tasks[[#This Row],[_Res2Units]])))</f>
        <v>0</v>
      </c>
      <c r="CX171" s="45" t="n">
        <f aca="false">IF(Tasks[[#This Row],[_Res2Work]]=0,0,Tasks[[#This Row],[_Res2Work]]*IFERROR(INDEX(res_Rate,MATCH(Tasks[[#This Row],[_Res2]],res_Name,0)),0))</f>
        <v>0</v>
      </c>
      <c r="CY171" s="45" t="n">
        <f aca="false">IF(AND(AND(Tasks[[#This Row],[_IsLeaf]]=1,Tasks[[#This Row],[_LeafTotalWork]]&gt;0),Tasks[[#This Row],[_Res2Work]]&gt;0),Tasks[[#This Row],[_Res2Work]]/(Tasks[[#This Row],[_FinishWorkday]]-Tasks[[#This Row],[_StartWorkday]]+1),0)</f>
        <v>0</v>
      </c>
      <c r="CZ171" s="45" t="n">
        <f aca="false">Tasks[[#This Row],[_Res2WorkPerWD]]*MAX(0,Tasks[[#This Row],[_StartWorkday]]-1)</f>
        <v>0</v>
      </c>
      <c r="DA171" s="45" t="n">
        <f aca="false">Tasks[[#This Row],[_Res2Work]]*Tasks[[#This Row],[_LeafProgress]]</f>
        <v>0</v>
      </c>
      <c r="DB171" s="45" t="n">
        <f aca="false">IF(Tasks[[#This Row],[_LeafTotalCost]]=0,0,Tasks[[#This Row],[_LeafAC]]*Tasks[[#This Row],[_Res2Cost]]/Tasks[[#This Row],[_LeafTotalCost]])</f>
        <v>0</v>
      </c>
      <c r="DC17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7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71" s="45" t="n">
        <f aca="false">IF(OR(NOT(Tasks[[#This Row],[_IsLeaf]]=1),Tasks[[#This Row],[_Res3]]=""),0,IF(ISNA(MATCH(Tasks[[#This Row],[_Res3]],res_Name,0)),0,N(Tasks[[#This Row],[Duration]])*HoursPerDay*IF(Tasks[[#This Row],[_Res3Units]]="",DefaultUnits,Tasks[[#This Row],[_Res3Units]])))</f>
        <v>0</v>
      </c>
      <c r="DF171" s="45" t="n">
        <f aca="false">IF(Tasks[[#This Row],[_Res3Work]]=0,0,Tasks[[#This Row],[_Res3Work]]*IFERROR(INDEX(res_Rate,MATCH(Tasks[[#This Row],[_Res3]],res_Name,0)),0))</f>
        <v>0</v>
      </c>
      <c r="DG171" s="45" t="n">
        <f aca="false">IF(AND(AND(Tasks[[#This Row],[_IsLeaf]]=1,Tasks[[#This Row],[_LeafTotalWork]]&gt;0),Tasks[[#This Row],[_Res3Work]]&gt;0),Tasks[[#This Row],[_Res3Work]]/(Tasks[[#This Row],[_FinishWorkday]]-Tasks[[#This Row],[_StartWorkday]]+1),0)</f>
        <v>0</v>
      </c>
      <c r="DH171" s="45" t="n">
        <f aca="false">Tasks[[#This Row],[_Res3WorkPerWD]]*MAX(0,Tasks[[#This Row],[_StartWorkday]]-1)</f>
        <v>0</v>
      </c>
      <c r="DI171" s="45" t="n">
        <f aca="false">Tasks[[#This Row],[_Res3Work]]*Tasks[[#This Row],[_LeafProgress]]</f>
        <v>0</v>
      </c>
      <c r="DJ171" s="45" t="n">
        <f aca="false">IF(Tasks[[#This Row],[_LeafTotalCost]]=0,0,Tasks[[#This Row],[_LeafAC]]*Tasks[[#This Row],[_Res3Cost]]/Tasks[[#This Row],[_LeafTotalCost]])</f>
        <v>0</v>
      </c>
      <c r="DK17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7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71" s="45" t="n">
        <f aca="false">IF(OR(NOT(Tasks[[#This Row],[_IsLeaf]]=1),Tasks[[#This Row],[_Res4]]=""),0,IF(ISNA(MATCH(Tasks[[#This Row],[_Res4]],res_Name,0)),0,N(Tasks[[#This Row],[Duration]])*HoursPerDay*IF(Tasks[[#This Row],[_Res4Units]]="",DefaultUnits,Tasks[[#This Row],[_Res4Units]])))</f>
        <v>0</v>
      </c>
      <c r="DN171" s="45" t="n">
        <f aca="false">IF(Tasks[[#This Row],[_Res4Work]]=0,0,Tasks[[#This Row],[_Res4Work]]*IFERROR(INDEX(res_Rate,MATCH(Tasks[[#This Row],[_Res4]],res_Name,0)),0))</f>
        <v>0</v>
      </c>
      <c r="DO171" s="45" t="n">
        <f aca="false">IF(AND(AND(Tasks[[#This Row],[_IsLeaf]]=1,Tasks[[#This Row],[_LeafTotalWork]]&gt;0),Tasks[[#This Row],[_Res4Work]]&gt;0),Tasks[[#This Row],[_Res4Work]]/(Tasks[[#This Row],[_FinishWorkday]]-Tasks[[#This Row],[_StartWorkday]]+1),0)</f>
        <v>0</v>
      </c>
      <c r="DP171" s="45" t="n">
        <f aca="false">Tasks[[#This Row],[_Res4WorkPerWD]]*MAX(0,Tasks[[#This Row],[_StartWorkday]]-1)</f>
        <v>0</v>
      </c>
      <c r="DQ171" s="45" t="n">
        <f aca="false">Tasks[[#This Row],[_Res4Work]]*Tasks[[#This Row],[_LeafProgress]]</f>
        <v>0</v>
      </c>
      <c r="DR171" s="45" t="n">
        <f aca="false">IF(Tasks[[#This Row],[_LeafTotalCost]]=0,0,Tasks[[#This Row],[_LeafAC]]*Tasks[[#This Row],[_Res4Cost]]/Tasks[[#This Row],[_LeafTotalCost]])</f>
        <v>0</v>
      </c>
      <c r="DS171" s="45" t="n">
        <f aca="false">IF(ISNUMBER(Tasks[[#This Row],[% Complete]]),Tasks[[#This Row],[% Complete]],IF(Tasks[[#This Row],[Stage]]="",0,IFERROR(INDEX(stg_Pct,MATCH(Tasks[[#This Row],[Stage]],stg_Name,0)),0)))</f>
        <v>0</v>
      </c>
      <c r="DT171" s="45" t="n">
        <f aca="false">IF(NOT(Tasks[[#This Row],[_IsLeaf]]=1),0,IF(N(Tasks[[#This Row],[Actual Finish]])&gt;0,1,MIN(1,Tasks[[#This Row],[_Pct]])))</f>
        <v>0</v>
      </c>
      <c r="DU171" s="45" t="n">
        <f aca="false">IF(OR(NOT(Tasks[[#This Row],[_IsLeaf]]=1),Tasks[[#This Row],[_Resource1]]=""),0,IF(ISNA(MATCH(Tasks[[#This Row],[_Resource1]],res_Name,0)),0,N(Tasks[[#This Row],[Duration]])*HoursPerDay*IF(Tasks[[#This Row],[_Units1]]="",DefaultUnits,Tasks[[#This Row],[_Units1]])))</f>
        <v>0</v>
      </c>
      <c r="DV171" s="45" t="n">
        <f aca="false">IF(Tasks[[#This Row],[_LeafWork]]=0,0,Tasks[[#This Row],[_LeafWork]]*IFERROR(INDEX(res_Rate,MATCH(Tasks[[#This Row],[_Resource1]],res_Name,0)),0))</f>
        <v>0</v>
      </c>
      <c r="DW171" s="45" t="n">
        <f aca="false">Tasks[[#This Row],[_LeafWork]]+Tasks[[#This Row],[_Res2Work]]+Tasks[[#This Row],[_Res3Work]]+Tasks[[#This Row],[_Res4Work]]</f>
        <v>0</v>
      </c>
      <c r="DX171" s="45" t="n">
        <f aca="false">Tasks[[#This Row],[_LeafCost]]+Tasks[[#This Row],[_Res2Cost]]+Tasks[[#This Row],[_Res3Cost]]+Tasks[[#This Row],[_Res4Cost]]</f>
        <v>0</v>
      </c>
      <c r="DY171" s="45" t="n">
        <f aca="false">IF(Tasks[[#This Row],[_LeafTotalCost]]=0,Tasks[[#This Row],[_LeafAC]],Tasks[[#This Row],[_LeafAC]]*Tasks[[#This Row],[_LeafCost]]/Tasks[[#This Row],[_LeafTotalCost]])</f>
        <v>0</v>
      </c>
      <c r="DZ17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7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7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7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7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7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7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7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71" s="45" t="n">
        <f aca="false">IF(NOT(Tasks[[#This Row],[_IsLeaf]]=1),0,MAX(_xlfn.MAXIFS(Tasks[_Row],Tasks[_Pred1UID],Tasks[[#This Row],[UID]]),_xlfn.MAXIFS(Tasks[_Row],Tasks[_Pred2UID],Tasks[[#This Row],[UID]]),_xlfn.MAXIFS(Tasks[_Row],Tasks[_Pred3UID],Tasks[[#This Row],[UID]]),_xlfn.MAXIFS(Tasks[_Row],Tasks[_Pred4UID],Tasks[[#This Row],[UID]])))</f>
        <v>0</v>
      </c>
      <c r="EI17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7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71" s="74" t="str">
        <f aca="false">IF(NOT(Tasks[[#This Row],[_IsLeaf]]=1),"",IF(N(Tasks[[#This Row],[Duration]])&lt;=0,Tasks[[#This Row],[_LeafLateFinish]],WORKDAY.INTL(Tasks[[#This Row],[_LeafLateFinish]],-(Tasks[[#This Row],[Duration]]-1),WorkWeek,Holidays)))</f>
        <v/>
      </c>
      <c r="EL17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71" s="73" t="b">
        <f aca="false">AND(Tasks[[#This Row],[_IsLeaf]]=1,Tasks[[#This Row],[_LeafProgress]]&lt;1,N(Tasks[[#This Row],[_LeafTotalSlack]])&lt;=CriticalSlackDays)</f>
        <v>0</v>
      </c>
      <c r="EN171" s="45" t="n">
        <f aca="false">IF(AND(Tasks[[#This Row],[_IsLeaf]]=1,Tasks[[#This Row],[_ConstraintCode]]=1,Tasks[[#This Row],[Mode]]&lt;&gt;"Manual",N(Tasks[[#This Row],[Actual Start]])=0),MAX(0,N(Tasks[[#This Row],[Free Slack]])),0)</f>
        <v>0</v>
      </c>
      <c r="EO171" s="74" t="str">
        <f aca="false">IF(NOT(Tasks[[#This Row],[_IsLeaf]]=1),"",IF(Tasks[[#This Row],[_AlapShift]]=0,Tasks[[#This Row],[_LeafCalcStart]],WORKDAY.INTL(Tasks[[#This Row],[_LeafCalcStart]],Tasks[[#This Row],[_AlapShift]],WorkWeek,Holidays)))</f>
        <v/>
      </c>
      <c r="EP171" s="74" t="str">
        <f aca="false">IF(NOT(Tasks[[#This Row],[_IsLeaf]]=1),"",IF(Tasks[[#This Row],[_AlapShift]]=0,Tasks[[#This Row],[_LeafCalcFinish]],WORKDAY.INTL(Tasks[[#This Row],[_LeafCalcFinish]],Tasks[[#This Row],[_AlapShift]],WorkWeek,Holidays)))</f>
        <v/>
      </c>
      <c r="EQ171" s="74" t="str">
        <f aca="false">IF(NOT(Tasks[[#This Row],[_IsLeaf]]=1),"",IF(Tasks[[#This Row],[_AlapShift]]=0,Tasks[[#This Row],[_LeafFcstStart]],WORKDAY.INTL(Tasks[[#This Row],[_LeafFcstStart]],Tasks[[#This Row],[_AlapShift]],WorkWeek,Holidays)))</f>
        <v/>
      </c>
      <c r="ER171" s="74" t="str">
        <f aca="false">IF(NOT(Tasks[[#This Row],[_IsLeaf]]=1),"",IF(Tasks[[#This Row],[_AlapShift]]=0,Tasks[[#This Row],[_LeafFcstFinish]],WORKDAY.INTL(Tasks[[#This Row],[_LeafFcstFinish]],Tasks[[#This Row],[_AlapShift]],WorkWeek,Holidays)))</f>
        <v/>
      </c>
      <c r="ES171" s="74" t="str">
        <f aca="false">IF(Tasks[[#This Row],[Task Name]]="","",IF(Tasks[[#This Row],[_IsSummary]],MIN(INDEX(Tasks[_ShownCalcStart],Tasks[[#This Row],[_Row]]+1):INDEX(Tasks[_ShownCalcStart],Tasks[[#This Row],[_Row]]+Tasks[[#This Row],[_Descendants]])),Tasks[[#This Row],[_ShownCalcStart]]))</f>
        <v/>
      </c>
      <c r="ET171" s="74" t="str">
        <f aca="false">IF(Tasks[[#This Row],[Task Name]]="","",IF(Tasks[[#This Row],[_IsSummary]],MAX(INDEX(Tasks[_ShownCalcFinish],Tasks[[#This Row],[_Row]]+1):INDEX(Tasks[_ShownCalcFinish],Tasks[[#This Row],[_Row]]+Tasks[[#This Row],[_Descendants]])),Tasks[[#This Row],[_ShownCalcFinish]]))</f>
        <v/>
      </c>
      <c r="EU17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7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7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7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7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7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7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7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7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7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7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7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71" s="45" t="n">
        <f aca="false">IF(AND(Tasks[[#This Row],[_IsLeaf]]=1,Tasks[[#This Row],[_LeafTotalWork]]&gt;0),NETWORKDAYS.INTL(ProjectStart,Tasks[[#This Row],[_ShownFcstStart]],WorkWeek,Holidays),0)</f>
        <v>0</v>
      </c>
      <c r="FH171" s="45" t="n">
        <f aca="false">IF(AND(Tasks[[#This Row],[_IsLeaf]]=1,Tasks[[#This Row],[_LeafTotalWork]]&gt;0),MAX(Tasks[[#This Row],[_StartWorkday]],NETWORKDAYS.INTL(ProjectStart,Tasks[[#This Row],[_ShownFcstFinish]],WorkWeek,Holidays)),0)</f>
        <v>0</v>
      </c>
      <c r="FI171" s="45" t="n">
        <f aca="false">IF(AND(Tasks[[#This Row],[_IsLeaf]]=1,Tasks[[#This Row],[_LeafTotalWork]]&gt;0),Tasks[[#This Row],[_LeafWork]]/(Tasks[[#This Row],[_FinishWorkday]]-Tasks[[#This Row],[_StartWorkday]]+1),0)</f>
        <v>0</v>
      </c>
      <c r="FJ171" s="45" t="n">
        <f aca="false">Tasks[[#This Row],[_WorkPerWorkday]]*(Tasks[[#This Row],[_StartWorkday]]-1)</f>
        <v>-0</v>
      </c>
      <c r="FK171" s="45" t="n">
        <f aca="false">IF(Tasks[[#This Row],[_IsLeaf]]=1,MAX(N(Tasks[[#This Row],[Duration]]),0.1),0)</f>
        <v>0</v>
      </c>
      <c r="FL171" s="45" t="n">
        <f aca="false">Tasks[[#This Row],[_WeightDur]]*Tasks[[#This Row],[_LeafProgress]]</f>
        <v>0</v>
      </c>
      <c r="FM17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71" s="45" t="str">
        <f aca="false">IF(AND(Tasks[[#This Row],[_IsLeaf]]=1,N(Tasks[[#This Row],[Duration]])=0,Tasks[[#This Row],[_LeafProgress]]&lt;1),Tasks[[#This Row],[_ShownFcstFinish]]+Tasks[[#This Row],[_Row]]/100000,"")</f>
        <v/>
      </c>
      <c r="FO17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71" s="45" t="n">
        <f aca="false">IF(NOT(Tasks[[#This Row],[_IsLeaf]]=1),0,IF(Tasks[[#This Row],[Baseline Cost]]="",Tasks[[#This Row],[_LeafTotalCost]],N(Tasks[[#This Row],[Baseline Cost]])))</f>
        <v>0</v>
      </c>
      <c r="FQ171" s="45" t="n">
        <f aca="false">Tasks[[#This Row],[_LeafBudget]]*Tasks[[#This Row],[_PlannedPct]]</f>
        <v>0</v>
      </c>
      <c r="FR171" s="45" t="n">
        <f aca="false">Tasks[[#This Row],[_LeafBudget]]*Tasks[[#This Row],[_LeafProgress]]</f>
        <v>0</v>
      </c>
      <c r="FS171" s="45" t="n">
        <f aca="false">IF(NOT(Tasks[[#This Row],[_IsLeaf]]=1),0,IF(Tasks[[#This Row],[Actual Cost]]="",Tasks[[#This Row],[_LeafTotalCost]]*Tasks[[#This Row],[_LeafProgress]],N(Tasks[[#This Row],[Actual Cost]])))</f>
        <v>0</v>
      </c>
      <c r="FT171" s="45" t="str">
        <f aca="false">IF(Tasks[[#This Row],[Task Name]]="","",LEFT(Tasks[[#This Row],[WBS]],FIND(".",Tasks[[#This Row],[WBS]]&amp;".")-1))</f>
        <v/>
      </c>
      <c r="FU171" s="45" t="str">
        <f aca="false">IF(AND(Tasks[[#This Row],[Task Name]]&lt;&gt;"",Tasks[[#This Row],[_Level]]=1),Tasks[[#This Row],[_Row]],"")</f>
        <v/>
      </c>
      <c r="FV171" s="45" t="str">
        <f aca="false">IF(AND(Tasks[[#This Row],[_IsLeaf]]=1,N(Tasks[[#This Row],[Duration]])=0),Tasks[[#This Row],[Planned Finish]]+Tasks[[#This Row],[_Row]]/100000,"")</f>
        <v/>
      </c>
      <c r="FW171" s="45" t="str">
        <f aca="false">IF(AND(Tasks[[#This Row],[_IsLeaf]]=1,Tasks[[#This Row],[_LeafProgress]]&lt;1,OR(N(Tasks[[#This Row],[Finish Var]])&gt;0,Tasks[[#This Row],[Status]]="Late Start")),MAX(0,Tasks[[#This Row],[Finish Var]])+1-Tasks[[#This Row],[_Row]]/1000000,"")</f>
        <v/>
      </c>
      <c r="FX171" s="45" t="str">
        <f aca="false">IF(AND(Tasks[[#This Row],[_IsLeaf]]=1,N(Tasks[[#This Row],[Actual Start]])=0,Tasks[[#This Row],[_ShownFcstStart]]&gt;=StatusDate,Tasks[[#This Row],[_ShownFcstStart]]&lt;=LookaheadEnd),Tasks[[#This Row],[_ShownFcstStart]]+Tasks[[#This Row],[_Row]]/100000,"")</f>
        <v/>
      </c>
      <c r="FY171" s="45" t="str">
        <f aca="false">IF(AND(Tasks[[#This Row],[_IsLeaf]]=1,Tasks[[#This Row],[_LeafProgress]]&lt;1,Tasks[[#This Row],[_ShownFcstFinish]]&gt;=StatusDate,Tasks[[#This Row],[_ShownFcstFinish]]&lt;=LookaheadEnd),Tasks[[#This Row],[_ShownFcstFinish]]+Tasks[[#This Row],[_Row]]/100000,"")</f>
        <v/>
      </c>
      <c r="FZ171" s="45" t="str">
        <f aca="false">IF(Tasks[[#This Row],[_LeafCritical]],Tasks[[#This Row],[_ShownFcstStart]]+Tasks[[#This Row],[_Row]]/100000,"")</f>
        <v/>
      </c>
      <c r="GA171" s="45" t="n">
        <f aca="false">Tasks[[#This Row],[_LeafWork]]*Tasks[[#This Row],[_LeafProgress]]</f>
        <v>0</v>
      </c>
      <c r="GB171" s="74" t="str">
        <f aca="false">IF(AND(Tasks[[#This Row],[_IsLeaf]]=1,Tasks[[#This Row],[_LeafProgress]]&gt;=1),IF(N(Tasks[[#This Row],[Actual Finish]])&gt;0,Tasks[[#This Row],[Actual Finish]],Tasks[[#This Row],[_ShownFcstFinish]]),"")</f>
        <v/>
      </c>
    </row>
    <row r="172" customFormat="false" ht="15" hidden="false" customHeight="false" outlineLevel="0" collapsed="false">
      <c r="A172" s="67" t="str">
        <f aca="false">IF(Tasks[[#This Row],[Task Name]]="","",COUNTA(Tasks[[#Headers],[Task Name]]:Tasks[[#This Row],[Task Name]])-1)</f>
        <v/>
      </c>
      <c r="B172" s="21" t="n">
        <v>167</v>
      </c>
      <c r="C17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21"/>
      <c r="E172" s="22"/>
      <c r="F172" s="21"/>
      <c r="G172" s="22"/>
      <c r="H172" s="22"/>
      <c r="I172" s="22"/>
      <c r="J172" s="7"/>
      <c r="K172" s="7"/>
      <c r="L172" s="22"/>
      <c r="M172" s="58" t="str">
        <f aca="false">IF(Tasks[[#This Row],[Task Name]]="","",IF(Tasks[[#This Row],[_IsSummary]],MIN(INDEX(Tasks[_ShownFcstStart],Tasks[[#This Row],[_Row]]+1):INDEX(Tasks[_ShownFcstStart],Tasks[[#This Row],[_Row]]+Tasks[[#This Row],[_Descendants]])),Tasks[[#This Row],[_ShownFcstStart]]))</f>
        <v/>
      </c>
      <c r="N172" s="58" t="str">
        <f aca="false">IF(Tasks[[#This Row],[Task Name]]="","",IF(Tasks[[#This Row],[_IsSummary]],MAX(INDEX(Tasks[_ShownFcstFinish],Tasks[[#This Row],[_Row]]+1):INDEX(Tasks[_ShownFcstFinish],Tasks[[#This Row],[_Row]]+Tasks[[#This Row],[_Descendants]])),Tasks[[#This Row],[_ShownFcstFinish]]))</f>
        <v/>
      </c>
      <c r="O172" s="20" t="str">
        <f aca="false">IF(Tasks[[#This Row],[Task Name]]="","",IF(Tasks[[#This Row],[Progress]]&gt;=1,"Complete",IF(OR(N(Tasks[[#This Row],[Actual Start]])&gt;0,Tasks[[#This Row],[Progress]]&gt;0),IF(Tasks[[#This Row],[Finish Var]]&gt;0,"Behind","In Progress"),IF(Tasks[[#This Row],[Planned Start]]&lt;StatusDate,"Late Start","Not Started"))))</f>
        <v/>
      </c>
      <c r="P172" s="20" t="str">
        <f aca="false">IF(Tasks[[#This Row],[Task Name]]="","",IF(IF(Tasks[[#This Row],[_IsSummary]],COUNTIF(INDEX(Tasks[_LeafCritical],Tasks[[#This Row],[_Row]]+1):INDEX(Tasks[_LeafCritical],Tasks[[#This Row],[_Row]]+Tasks[[#This Row],[_Descendants]]),TRUE())&gt;0,Tasks[[#This Row],[_LeafCritical]]),"Yes",""))</f>
        <v/>
      </c>
      <c r="Q17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72" s="67" t="str">
        <f aca="false">IF(Tasks[[#This Row],[Task Name]]="","",IF(Tasks[[#This Row],[_Level]]&lt;=OutlineShowLevel,"Yes","No"))</f>
        <v/>
      </c>
      <c r="S172" s="7"/>
      <c r="T172" s="21"/>
      <c r="U172" s="22"/>
      <c r="V172" s="7"/>
      <c r="W172" s="67" t="str">
        <f aca="false">IF(Tasks[[#This Row],[Task Name]]="","",IF(Tasks[[#This Row],[Finish]]&gt;=Tasks[[#This Row],[Planned Finish]],NETWORKDAYS.INTL(Tasks[[#This Row],[Planned Finish]],Tasks[[#This Row],[Finish]],WorkWeek,Holidays)-1,1-NETWORKDAYS.INTL(Tasks[[#This Row],[Finish]],Tasks[[#This Row],[Planned Finish]],WorkWeek,Holidays)))</f>
        <v/>
      </c>
      <c r="X172" s="58" t="str">
        <f aca="false">IF(Tasks[[#This Row],[Task Name]]="","",IF(N(Tasks[[#This Row],[Baseline Start]])&gt;0,Tasks[[#This Row],[Baseline Start]],Tasks[[#This Row],[_CalcStart]]))</f>
        <v/>
      </c>
      <c r="Y172" s="58" t="str">
        <f aca="false">IF(Tasks[[#This Row],[Task Name]]="","",IF(N(Tasks[[#This Row],[Baseline Finish]])&gt;0,Tasks[[#This Row],[Baseline Finish]],Tasks[[#This Row],[_CalcFinish]]))</f>
        <v/>
      </c>
      <c r="Z172" s="67" t="str">
        <f aca="false">IF(Tasks[[#This Row],[Task Name]]="","",IF(Tasks[[#This Row],[Start]]&gt;=Tasks[[#This Row],[Planned Start]],NETWORKDAYS.INTL(Tasks[[#This Row],[Planned Start]],Tasks[[#This Row],[Start]],WorkWeek,Holidays)-1,1-NETWORKDAYS.INTL(Tasks[[#This Row],[Start]],Tasks[[#This Row],[Planned Start]],WorkWeek,Holidays)))</f>
        <v/>
      </c>
      <c r="AA172" s="58" t="str">
        <f aca="false">IF(Tasks[[#This Row],[Task Name]]="","",IF(Tasks[[#This Row],[_IsSummary]],MIN(INDEX(Tasks[_LeafLateStart],Tasks[[#This Row],[_Row]]+1):INDEX(Tasks[_LeafLateStart],Tasks[[#This Row],[_Row]]+Tasks[[#This Row],[_Descendants]])),Tasks[[#This Row],[_LeafLateStart]]))</f>
        <v/>
      </c>
      <c r="AB172" s="58" t="str">
        <f aca="false">IF(Tasks[[#This Row],[Task Name]]="","",IF(Tasks[[#This Row],[_IsSummary]],MAX(INDEX(Tasks[_LeafLateFinish],Tasks[[#This Row],[_Row]]+1):INDEX(Tasks[_LeafLateFinish],Tasks[[#This Row],[_Row]]+Tasks[[#This Row],[_Descendants]])),Tasks[[#This Row],[_LeafLateFinish]]))</f>
        <v/>
      </c>
      <c r="AC172" s="67" t="str">
        <f aca="false">IF(Tasks[[#This Row],[Task Name]]="","",IF(Tasks[[#This Row],[_IsSummary]],MIN(INDEX(Tasks[_LeafTotalSlack],Tasks[[#This Row],[_Row]]+1):INDEX(Tasks[_LeafTotalSlack],Tasks[[#This Row],[_Row]]+Tasks[[#This Row],[_Descendants]])),Tasks[[#This Row],[_LeafTotalSlack]]))</f>
        <v/>
      </c>
      <c r="AD17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7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7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72" s="60"/>
      <c r="AH17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7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72" s="69" t="str">
        <f aca="false">IF(Tasks[[#This Row],[Task Name]]="","",IF(Tasks[[#This Row],[_IsSummary]],SUM(INDEX(Tasks[_LeafTotalWork],Tasks[[#This Row],[_Row]]+1):INDEX(Tasks[_LeafTotalWork],Tasks[[#This Row],[_Row]]+Tasks[[#This Row],[_Descendants]])),Tasks[[#This Row],[_LeafTotalWork]]))</f>
        <v/>
      </c>
      <c r="AK17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72" s="70" t="str">
        <f aca="false">IF(Tasks[[#This Row],[Task Name]]="","",IF(Tasks[[#This Row],[_IsSummary]],SUM(INDEX(Tasks[_LeafTotalCost],Tasks[[#This Row],[_Row]]+1):INDEX(Tasks[_LeafTotalCost],Tasks[[#This Row],[_Row]]+Tasks[[#This Row],[_Descendants]])),Tasks[[#This Row],[_LeafTotalCost]]))</f>
        <v/>
      </c>
      <c r="AM172" s="71"/>
      <c r="AN172" s="20" t="str">
        <f aca="false">IF(OR(Tasks[[#This Row],[Task Name]]="",Tasks[[#This Row],[Baseline Duration]]=""),"",Tasks[[#This Row],[BL Source Duration]]-N(Tasks[[#This Row],[Baseline Duration]]))</f>
        <v/>
      </c>
      <c r="AO172" s="69" t="str">
        <f aca="false">IF(OR(Tasks[[#This Row],[Task Name]]="",Tasks[[#This Row],[Baseline Work]]=""),"",Tasks[[#This Row],[Work]]-N(Tasks[[#This Row],[Baseline Work]]))</f>
        <v/>
      </c>
      <c r="AP172" s="70" t="str">
        <f aca="false">IF(OR(Tasks[[#This Row],[Task Name]]="",Tasks[[#This Row],[Baseline Cost]]=""),"",Tasks[[#This Row],[Cost]]-N(Tasks[[#This Row],[Baseline Cost]]))</f>
        <v/>
      </c>
      <c r="AQ172" s="58" t="str">
        <f aca="false">IF(Tasks[[#This Row],[Task Name]]="","",Tasks[[#This Row],[Start]])</f>
        <v/>
      </c>
      <c r="AR172" s="58" t="str">
        <f aca="false">IF(Tasks[[#This Row],[Task Name]]="","",Tasks[[#This Row],[Finish]])</f>
        <v/>
      </c>
      <c r="AS172" s="67" t="str">
        <f aca="false">IF(Tasks[[#This Row],[Task Name]]="","",IF(Tasks[[#This Row],[_IsSummary]],NETWORKDAYS.INTL(Tasks[[#This Row],[Start]],Tasks[[#This Row],[Finish]],WorkWeek,Holidays),N(Tasks[[#This Row],[Duration]])))</f>
        <v/>
      </c>
      <c r="AT172" s="69" t="str">
        <f aca="false">IF(Tasks[[#This Row],[Task Name]]="","",Tasks[[#This Row],[Work]])</f>
        <v/>
      </c>
      <c r="AU172" s="70" t="str">
        <f aca="false">IF(Tasks[[#This Row],[Task Name]]="","",Tasks[[#This Row],[Cost]])</f>
        <v/>
      </c>
      <c r="AV172" s="7"/>
      <c r="AW172" s="7"/>
      <c r="AX172" s="21"/>
      <c r="AY172" s="72"/>
      <c r="AZ172" s="71"/>
      <c r="BA172" s="70" t="str">
        <f aca="false">IF(Tasks[[#This Row],[Task Name]]="","",IF(Tasks[[#This Row],[_IsSummary]],SUM(INDEX(Tasks[_LeafEV],Tasks[[#This Row],[_Row]]+1):INDEX(Tasks[_LeafEV],Tasks[[#This Row],[_Row]]+Tasks[[#This Row],[_Descendants]])),Tasks[[#This Row],[_LeafEV]]))</f>
        <v/>
      </c>
      <c r="BB172" s="70" t="str">
        <f aca="false">IF(Tasks[[#This Row],[Task Name]]="","",IF(Tasks[[#This Row],[_IsSummary]],SUM(INDEX(Tasks[_LeafBudget],Tasks[[#This Row],[_Row]]+1):INDEX(Tasks[_LeafBudget],Tasks[[#This Row],[_Row]]+Tasks[[#This Row],[_Descendants]])),Tasks[[#This Row],[_LeafBudget]]))</f>
        <v/>
      </c>
      <c r="BC172" s="70" t="str">
        <f aca="false">IF(Tasks[[#This Row],[Task Name]]="","",IF(Tasks[[#This Row],[_IsSummary]],SUM(INDEX(Tasks[_LeafPV],Tasks[[#This Row],[_Row]]+1):INDEX(Tasks[_LeafPV],Tasks[[#This Row],[_Row]]+Tasks[[#This Row],[_Descendants]])),Tasks[[#This Row],[_LeafPV]]))</f>
        <v/>
      </c>
      <c r="BD172" s="70" t="str">
        <f aca="false">IF(Tasks[[#This Row],[Task Name]]="","",IF(Tasks[[#This Row],[_IsSummary]],SUM(INDEX(Tasks[_LeafAC],Tasks[[#This Row],[_Row]]+1):INDEX(Tasks[_LeafAC],Tasks[[#This Row],[_Row]]+Tasks[[#This Row],[_Descendants]])),Tasks[[#This Row],[_LeafAC]]))</f>
        <v/>
      </c>
      <c r="BE172" s="45" t="str">
        <f aca="false">IF(Tasks[[#This Row],[Task Name]]="","",MAX(1,N(Tasks[[#This Row],[Level]])))</f>
        <v/>
      </c>
      <c r="BF172" s="45" t="n">
        <f aca="false">ROW()-ROW(Tasks[[#Headers],[ID]])</f>
        <v>167</v>
      </c>
      <c r="BG172" s="45" t="n">
        <f aca="false">IF(OR(Tasks[[#This Row],[Task Name]]="",Tasks[[#This Row],[_Level]]&lt;=1),0,IFERROR(LOOKUP(2,1/(Tasks[[#Headers],[_Level]]:Tasks[[#This Row],[_Level]]=Tasks[[#This Row],[_Level]]-1),ROW(Tasks[[#Headers],[_Level]]:Tasks[[#This Row],[_Level]])),0))</f>
        <v>0</v>
      </c>
      <c r="BH172" s="45" t="n">
        <f aca="false">IFERROR(N(INDEX(Tasks[_Level],Tasks[[#This Row],[_Row]]+1)),0)</f>
        <v>0</v>
      </c>
      <c r="BI172" s="73" t="b">
        <f aca="false">AND(Tasks[[#This Row],[Task Name]]&lt;&gt;"",Tasks[[#This Row],[_NextLevel]]&gt;Tasks[[#This Row],[_Level]])</f>
        <v>0</v>
      </c>
      <c r="BJ172" s="45" t="n">
        <f aca="false">IF(Tasks[[#This Row],[_IsSummary]],COUNTIF(Tasks[WBS],Tasks[[#This Row],[WBS]]&amp;".*"),0)</f>
        <v>0</v>
      </c>
      <c r="BK172" s="45" t="n">
        <f aca="false">IF(AND(Tasks[[#This Row],[Task Name]]&lt;&gt;"",NOT(Tasks[[#This Row],[_IsSummary]])),1,0)</f>
        <v>0</v>
      </c>
      <c r="BL172" s="45" t="n">
        <f aca="false">IF(N(Tasks[[#This Row],[_Pred1UID]])=0,0,IFERROR(MATCH(Tasks[[#This Row],[_Pred1UID]],Tasks[UID],0),-1))</f>
        <v>0</v>
      </c>
      <c r="BM172" s="45" t="n">
        <f aca="false">IF(N(Tasks[[#This Row],[_Pred2UID]])=0,0,IFERROR(MATCH(Tasks[[#This Row],[_Pred2UID]],Tasks[UID],0),-1))</f>
        <v>0</v>
      </c>
      <c r="BN172" s="45" t="n">
        <f aca="false">IF(N(Tasks[[#This Row],[_Pred3UID]])=0,0,IFERROR(MATCH(Tasks[[#This Row],[_Pred3UID]],Tasks[UID],0),-1))</f>
        <v>0</v>
      </c>
      <c r="BO172" s="45" t="n">
        <f aca="false">IF(N(Tasks[[#This Row],[_Pred4UID]])=0,0,IFERROR(MATCH(Tasks[[#This Row],[_Pred4UID]],Tasks[UID],0),-1))</f>
        <v>0</v>
      </c>
      <c r="BP17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7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72" s="74" t="n">
        <f aca="false">IF(OR(Tasks[[#This Row],[_ConstraintCode]]=2,Tasks[[#This Row],[_ConstraintCode]]=3,Tasks[[#This Row],[_ConstraintCode]]=4,Tasks[[#This Row],[_ConstraintCode]]=6),Tasks[[#This Row],[_ConstraintStart]],0)</f>
        <v>0</v>
      </c>
      <c r="BS172" s="74" t="n">
        <f aca="false">IF(OR(Tasks[[#This Row],[_ConstraintCode]]=2,Tasks[[#This Row],[_ConstraintCode]]=3,Tasks[[#This Row],[_ConstraintCode]]=5,Tasks[[#This Row],[_ConstraintCode]]=7),Tasks[[#This Row],[_ConstraintStart]],2958465)</f>
        <v>2958465</v>
      </c>
      <c r="BT17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72" s="74" t="str">
        <f aca="false">IF(NOT(Tasks[[#This Row],[_IsLeaf]]=1),"",IF(N(Tasks[[#This Row],[Duration]])&lt;=0,Tasks[[#This Row],[_LeafCalcStart]],WORKDAY.INTL(Tasks[[#This Row],[_LeafCalcStart]],Tasks[[#This Row],[Duration]]-1,WorkWeek,Holidays)))</f>
        <v/>
      </c>
      <c r="BV17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7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72" s="45" t="str">
        <f aca="false">IF(Tasks[[#This Row],[Predecessors]]="","",TRIM(MID(SUBSTITUTE(SUBSTITUTE(SUBSTITUTE(UPPER(Tasks[[#This Row],[Predecessors]]),";",",")," ",""),",",REPT(" ",99)),1,99)))</f>
        <v/>
      </c>
      <c r="BY172" s="45" t="str">
        <f aca="false">IF(Tasks[[#This Row],[_Pred1Text]]="","",IFERROR(VALUE(LEFT(Tasks[[#This Row],[_Pred1Text]],MIN(FIND("F",Tasks[[#This Row],[_Pred1Text]]&amp;"F"),FIND("S",Tasks[[#This Row],[_Pred1Text]]&amp;"S"),FIND("+",Tasks[[#This Row],[_Pred1Text]]&amp;"+"),FIND("-",Tasks[[#This Row],[_Pred1Text]]&amp;"-"))-1)),""))</f>
        <v/>
      </c>
      <c r="BZ17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7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72" s="45" t="str">
        <f aca="false">IF(Tasks[[#This Row],[_Pred1Text]]="","",TRIM(MID(SUBSTITUTE(SUBSTITUTE(SUBSTITUTE(UPPER(Tasks[[#This Row],[Predecessors]]),";",",")," ",""),",",REPT(" ",99)),100,99)))</f>
        <v/>
      </c>
      <c r="CC172" s="45" t="str">
        <f aca="false">IF(Tasks[[#This Row],[_Pred2Text]]="","",IFERROR(VALUE(LEFT(Tasks[[#This Row],[_Pred2Text]],MIN(FIND("F",Tasks[[#This Row],[_Pred2Text]]&amp;"F"),FIND("S",Tasks[[#This Row],[_Pred2Text]]&amp;"S"),FIND("+",Tasks[[#This Row],[_Pred2Text]]&amp;"+"),FIND("-",Tasks[[#This Row],[_Pred2Text]]&amp;"-"))-1)),""))</f>
        <v/>
      </c>
      <c r="CD17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7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72" s="45" t="str">
        <f aca="false">IF(Tasks[[#This Row],[_Pred2Text]]="","",TRIM(MID(SUBSTITUTE(SUBSTITUTE(SUBSTITUTE(UPPER(Tasks[[#This Row],[Predecessors]]),";",",")," ",""),",",REPT(" ",99)),199,99)))</f>
        <v/>
      </c>
      <c r="CG172" s="45" t="str">
        <f aca="false">IF(Tasks[[#This Row],[_Pred3Text]]="","",IFERROR(VALUE(LEFT(Tasks[[#This Row],[_Pred3Text]],MIN(FIND("F",Tasks[[#This Row],[_Pred3Text]]&amp;"F"),FIND("S",Tasks[[#This Row],[_Pred3Text]]&amp;"S"),FIND("+",Tasks[[#This Row],[_Pred3Text]]&amp;"+"),FIND("-",Tasks[[#This Row],[_Pred3Text]]&amp;"-"))-1)),""))</f>
        <v/>
      </c>
      <c r="CH17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7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72" s="45" t="str">
        <f aca="false">IF(Tasks[[#This Row],[_Pred3Text]]="","",TRIM(MID(SUBSTITUTE(SUBSTITUTE(SUBSTITUTE(UPPER(Tasks[[#This Row],[Predecessors]]),";",",")," ",""),",",REPT(" ",99)),298,99)))</f>
        <v/>
      </c>
      <c r="CK172" s="45" t="str">
        <f aca="false">IF(Tasks[[#This Row],[_Pred4Text]]="","",IFERROR(VALUE(LEFT(Tasks[[#This Row],[_Pred4Text]],MIN(FIND("F",Tasks[[#This Row],[_Pred4Text]]&amp;"F"),FIND("S",Tasks[[#This Row],[_Pred4Text]]&amp;"S"),FIND("+",Tasks[[#This Row],[_Pred4Text]]&amp;"+"),FIND("-",Tasks[[#This Row],[_Pred4Text]]&amp;"-"))-1)),""))</f>
        <v/>
      </c>
      <c r="CL17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7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72" s="45" t="str">
        <f aca="false">IF(OR(Tasks[[#This Row],[Task Name]]="",Tasks[[#This Row],[Resources]]=""),"",TRIM(MID(SUBSTITUTE(Tasks[[#This Row],[Resources]],",",REPT(" ",99)),1,99)))</f>
        <v/>
      </c>
      <c r="CO172" s="45" t="str">
        <f aca="false">IF(Tasks[[#This Row],[_Res1Text]]="","",TRIM(MID(SUBSTITUTE(Tasks[[#This Row],[Resources]],",",REPT(" ",99)),100,99)))</f>
        <v/>
      </c>
      <c r="CP172" s="45" t="str">
        <f aca="false">IF(Tasks[[#This Row],[_Res2Text]]="","",TRIM(MID(SUBSTITUTE(Tasks[[#This Row],[Resources]],",",REPT(" ",99)),199,99)))</f>
        <v/>
      </c>
      <c r="CQ172" s="45" t="str">
        <f aca="false">IF(Tasks[[#This Row],[_Res3Text]]="","",TRIM(MID(SUBSTITUTE(Tasks[[#This Row],[Resources]],",",REPT(" ",99)),298,99)))</f>
        <v/>
      </c>
      <c r="CR17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7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2" s="45" t="n">
        <f aca="false">IF(NOT(Tasks[[#This Row],[_IsLeaf]]=1),0,(Tasks[[#This Row],[_Resource1]]&lt;&gt;"")+(Tasks[[#This Row],[_Res2]]&lt;&gt;"")+(Tasks[[#This Row],[_Res3]]&lt;&gt;"")+(Tasks[[#This Row],[_Res4]]&lt;&gt;""))</f>
        <v>0</v>
      </c>
      <c r="CU17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7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2" s="45" t="n">
        <f aca="false">IF(OR(NOT(Tasks[[#This Row],[_IsLeaf]]=1),Tasks[[#This Row],[_Res2]]=""),0,IF(ISNA(MATCH(Tasks[[#This Row],[_Res2]],res_Name,0)),0,N(Tasks[[#This Row],[Duration]])*HoursPerDay*IF(Tasks[[#This Row],[_Res2Units]]="",DefaultUnits,Tasks[[#This Row],[_Res2Units]])))</f>
        <v>0</v>
      </c>
      <c r="CX172" s="45" t="n">
        <f aca="false">IF(Tasks[[#This Row],[_Res2Work]]=0,0,Tasks[[#This Row],[_Res2Work]]*IFERROR(INDEX(res_Rate,MATCH(Tasks[[#This Row],[_Res2]],res_Name,0)),0))</f>
        <v>0</v>
      </c>
      <c r="CY172" s="45" t="n">
        <f aca="false">IF(AND(AND(Tasks[[#This Row],[_IsLeaf]]=1,Tasks[[#This Row],[_LeafTotalWork]]&gt;0),Tasks[[#This Row],[_Res2Work]]&gt;0),Tasks[[#This Row],[_Res2Work]]/(Tasks[[#This Row],[_FinishWorkday]]-Tasks[[#This Row],[_StartWorkday]]+1),0)</f>
        <v>0</v>
      </c>
      <c r="CZ172" s="45" t="n">
        <f aca="false">Tasks[[#This Row],[_Res2WorkPerWD]]*MAX(0,Tasks[[#This Row],[_StartWorkday]]-1)</f>
        <v>0</v>
      </c>
      <c r="DA172" s="45" t="n">
        <f aca="false">Tasks[[#This Row],[_Res2Work]]*Tasks[[#This Row],[_LeafProgress]]</f>
        <v>0</v>
      </c>
      <c r="DB172" s="45" t="n">
        <f aca="false">IF(Tasks[[#This Row],[_LeafTotalCost]]=0,0,Tasks[[#This Row],[_LeafAC]]*Tasks[[#This Row],[_Res2Cost]]/Tasks[[#This Row],[_LeafTotalCost]])</f>
        <v>0</v>
      </c>
      <c r="DC17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7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72" s="45" t="n">
        <f aca="false">IF(OR(NOT(Tasks[[#This Row],[_IsLeaf]]=1),Tasks[[#This Row],[_Res3]]=""),0,IF(ISNA(MATCH(Tasks[[#This Row],[_Res3]],res_Name,0)),0,N(Tasks[[#This Row],[Duration]])*HoursPerDay*IF(Tasks[[#This Row],[_Res3Units]]="",DefaultUnits,Tasks[[#This Row],[_Res3Units]])))</f>
        <v>0</v>
      </c>
      <c r="DF172" s="45" t="n">
        <f aca="false">IF(Tasks[[#This Row],[_Res3Work]]=0,0,Tasks[[#This Row],[_Res3Work]]*IFERROR(INDEX(res_Rate,MATCH(Tasks[[#This Row],[_Res3]],res_Name,0)),0))</f>
        <v>0</v>
      </c>
      <c r="DG172" s="45" t="n">
        <f aca="false">IF(AND(AND(Tasks[[#This Row],[_IsLeaf]]=1,Tasks[[#This Row],[_LeafTotalWork]]&gt;0),Tasks[[#This Row],[_Res3Work]]&gt;0),Tasks[[#This Row],[_Res3Work]]/(Tasks[[#This Row],[_FinishWorkday]]-Tasks[[#This Row],[_StartWorkday]]+1),0)</f>
        <v>0</v>
      </c>
      <c r="DH172" s="45" t="n">
        <f aca="false">Tasks[[#This Row],[_Res3WorkPerWD]]*MAX(0,Tasks[[#This Row],[_StartWorkday]]-1)</f>
        <v>0</v>
      </c>
      <c r="DI172" s="45" t="n">
        <f aca="false">Tasks[[#This Row],[_Res3Work]]*Tasks[[#This Row],[_LeafProgress]]</f>
        <v>0</v>
      </c>
      <c r="DJ172" s="45" t="n">
        <f aca="false">IF(Tasks[[#This Row],[_LeafTotalCost]]=0,0,Tasks[[#This Row],[_LeafAC]]*Tasks[[#This Row],[_Res3Cost]]/Tasks[[#This Row],[_LeafTotalCost]])</f>
        <v>0</v>
      </c>
      <c r="DK17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7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72" s="45" t="n">
        <f aca="false">IF(OR(NOT(Tasks[[#This Row],[_IsLeaf]]=1),Tasks[[#This Row],[_Res4]]=""),0,IF(ISNA(MATCH(Tasks[[#This Row],[_Res4]],res_Name,0)),0,N(Tasks[[#This Row],[Duration]])*HoursPerDay*IF(Tasks[[#This Row],[_Res4Units]]="",DefaultUnits,Tasks[[#This Row],[_Res4Units]])))</f>
        <v>0</v>
      </c>
      <c r="DN172" s="45" t="n">
        <f aca="false">IF(Tasks[[#This Row],[_Res4Work]]=0,0,Tasks[[#This Row],[_Res4Work]]*IFERROR(INDEX(res_Rate,MATCH(Tasks[[#This Row],[_Res4]],res_Name,0)),0))</f>
        <v>0</v>
      </c>
      <c r="DO172" s="45" t="n">
        <f aca="false">IF(AND(AND(Tasks[[#This Row],[_IsLeaf]]=1,Tasks[[#This Row],[_LeafTotalWork]]&gt;0),Tasks[[#This Row],[_Res4Work]]&gt;0),Tasks[[#This Row],[_Res4Work]]/(Tasks[[#This Row],[_FinishWorkday]]-Tasks[[#This Row],[_StartWorkday]]+1),0)</f>
        <v>0</v>
      </c>
      <c r="DP172" s="45" t="n">
        <f aca="false">Tasks[[#This Row],[_Res4WorkPerWD]]*MAX(0,Tasks[[#This Row],[_StartWorkday]]-1)</f>
        <v>0</v>
      </c>
      <c r="DQ172" s="45" t="n">
        <f aca="false">Tasks[[#This Row],[_Res4Work]]*Tasks[[#This Row],[_LeafProgress]]</f>
        <v>0</v>
      </c>
      <c r="DR172" s="45" t="n">
        <f aca="false">IF(Tasks[[#This Row],[_LeafTotalCost]]=0,0,Tasks[[#This Row],[_LeafAC]]*Tasks[[#This Row],[_Res4Cost]]/Tasks[[#This Row],[_LeafTotalCost]])</f>
        <v>0</v>
      </c>
      <c r="DS172" s="45" t="n">
        <f aca="false">IF(ISNUMBER(Tasks[[#This Row],[% Complete]]),Tasks[[#This Row],[% Complete]],IF(Tasks[[#This Row],[Stage]]="",0,IFERROR(INDEX(stg_Pct,MATCH(Tasks[[#This Row],[Stage]],stg_Name,0)),0)))</f>
        <v>0</v>
      </c>
      <c r="DT172" s="45" t="n">
        <f aca="false">IF(NOT(Tasks[[#This Row],[_IsLeaf]]=1),0,IF(N(Tasks[[#This Row],[Actual Finish]])&gt;0,1,MIN(1,Tasks[[#This Row],[_Pct]])))</f>
        <v>0</v>
      </c>
      <c r="DU172" s="45" t="n">
        <f aca="false">IF(OR(NOT(Tasks[[#This Row],[_IsLeaf]]=1),Tasks[[#This Row],[_Resource1]]=""),0,IF(ISNA(MATCH(Tasks[[#This Row],[_Resource1]],res_Name,0)),0,N(Tasks[[#This Row],[Duration]])*HoursPerDay*IF(Tasks[[#This Row],[_Units1]]="",DefaultUnits,Tasks[[#This Row],[_Units1]])))</f>
        <v>0</v>
      </c>
      <c r="DV172" s="45" t="n">
        <f aca="false">IF(Tasks[[#This Row],[_LeafWork]]=0,0,Tasks[[#This Row],[_LeafWork]]*IFERROR(INDEX(res_Rate,MATCH(Tasks[[#This Row],[_Resource1]],res_Name,0)),0))</f>
        <v>0</v>
      </c>
      <c r="DW172" s="45" t="n">
        <f aca="false">Tasks[[#This Row],[_LeafWork]]+Tasks[[#This Row],[_Res2Work]]+Tasks[[#This Row],[_Res3Work]]+Tasks[[#This Row],[_Res4Work]]</f>
        <v>0</v>
      </c>
      <c r="DX172" s="45" t="n">
        <f aca="false">Tasks[[#This Row],[_LeafCost]]+Tasks[[#This Row],[_Res2Cost]]+Tasks[[#This Row],[_Res3Cost]]+Tasks[[#This Row],[_Res4Cost]]</f>
        <v>0</v>
      </c>
      <c r="DY172" s="45" t="n">
        <f aca="false">IF(Tasks[[#This Row],[_LeafTotalCost]]=0,Tasks[[#This Row],[_LeafAC]],Tasks[[#This Row],[_LeafAC]]*Tasks[[#This Row],[_LeafCost]]/Tasks[[#This Row],[_LeafTotalCost]])</f>
        <v>0</v>
      </c>
      <c r="DZ17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7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7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7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7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7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7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7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72" s="45" t="n">
        <f aca="false">IF(NOT(Tasks[[#This Row],[_IsLeaf]]=1),0,MAX(_xlfn.MAXIFS(Tasks[_Row],Tasks[_Pred1UID],Tasks[[#This Row],[UID]]),_xlfn.MAXIFS(Tasks[_Row],Tasks[_Pred2UID],Tasks[[#This Row],[UID]]),_xlfn.MAXIFS(Tasks[_Row],Tasks[_Pred3UID],Tasks[[#This Row],[UID]]),_xlfn.MAXIFS(Tasks[_Row],Tasks[_Pred4UID],Tasks[[#This Row],[UID]])))</f>
        <v>0</v>
      </c>
      <c r="EI17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7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72" s="74" t="str">
        <f aca="false">IF(NOT(Tasks[[#This Row],[_IsLeaf]]=1),"",IF(N(Tasks[[#This Row],[Duration]])&lt;=0,Tasks[[#This Row],[_LeafLateFinish]],WORKDAY.INTL(Tasks[[#This Row],[_LeafLateFinish]],-(Tasks[[#This Row],[Duration]]-1),WorkWeek,Holidays)))</f>
        <v/>
      </c>
      <c r="EL17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72" s="73" t="b">
        <f aca="false">AND(Tasks[[#This Row],[_IsLeaf]]=1,Tasks[[#This Row],[_LeafProgress]]&lt;1,N(Tasks[[#This Row],[_LeafTotalSlack]])&lt;=CriticalSlackDays)</f>
        <v>0</v>
      </c>
      <c r="EN172" s="45" t="n">
        <f aca="false">IF(AND(Tasks[[#This Row],[_IsLeaf]]=1,Tasks[[#This Row],[_ConstraintCode]]=1,Tasks[[#This Row],[Mode]]&lt;&gt;"Manual",N(Tasks[[#This Row],[Actual Start]])=0),MAX(0,N(Tasks[[#This Row],[Free Slack]])),0)</f>
        <v>0</v>
      </c>
      <c r="EO172" s="74" t="str">
        <f aca="false">IF(NOT(Tasks[[#This Row],[_IsLeaf]]=1),"",IF(Tasks[[#This Row],[_AlapShift]]=0,Tasks[[#This Row],[_LeafCalcStart]],WORKDAY.INTL(Tasks[[#This Row],[_LeafCalcStart]],Tasks[[#This Row],[_AlapShift]],WorkWeek,Holidays)))</f>
        <v/>
      </c>
      <c r="EP172" s="74" t="str">
        <f aca="false">IF(NOT(Tasks[[#This Row],[_IsLeaf]]=1),"",IF(Tasks[[#This Row],[_AlapShift]]=0,Tasks[[#This Row],[_LeafCalcFinish]],WORKDAY.INTL(Tasks[[#This Row],[_LeafCalcFinish]],Tasks[[#This Row],[_AlapShift]],WorkWeek,Holidays)))</f>
        <v/>
      </c>
      <c r="EQ172" s="74" t="str">
        <f aca="false">IF(NOT(Tasks[[#This Row],[_IsLeaf]]=1),"",IF(Tasks[[#This Row],[_AlapShift]]=0,Tasks[[#This Row],[_LeafFcstStart]],WORKDAY.INTL(Tasks[[#This Row],[_LeafFcstStart]],Tasks[[#This Row],[_AlapShift]],WorkWeek,Holidays)))</f>
        <v/>
      </c>
      <c r="ER172" s="74" t="str">
        <f aca="false">IF(NOT(Tasks[[#This Row],[_IsLeaf]]=1),"",IF(Tasks[[#This Row],[_AlapShift]]=0,Tasks[[#This Row],[_LeafFcstFinish]],WORKDAY.INTL(Tasks[[#This Row],[_LeafFcstFinish]],Tasks[[#This Row],[_AlapShift]],WorkWeek,Holidays)))</f>
        <v/>
      </c>
      <c r="ES172" s="74" t="str">
        <f aca="false">IF(Tasks[[#This Row],[Task Name]]="","",IF(Tasks[[#This Row],[_IsSummary]],MIN(INDEX(Tasks[_ShownCalcStart],Tasks[[#This Row],[_Row]]+1):INDEX(Tasks[_ShownCalcStart],Tasks[[#This Row],[_Row]]+Tasks[[#This Row],[_Descendants]])),Tasks[[#This Row],[_ShownCalcStart]]))</f>
        <v/>
      </c>
      <c r="ET172" s="74" t="str">
        <f aca="false">IF(Tasks[[#This Row],[Task Name]]="","",IF(Tasks[[#This Row],[_IsSummary]],MAX(INDEX(Tasks[_ShownCalcFinish],Tasks[[#This Row],[_Row]]+1):INDEX(Tasks[_ShownCalcFinish],Tasks[[#This Row],[_Row]]+Tasks[[#This Row],[_Descendants]])),Tasks[[#This Row],[_ShownCalcFinish]]))</f>
        <v/>
      </c>
      <c r="EU17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7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7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7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7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7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7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7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7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7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7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7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72" s="45" t="n">
        <f aca="false">IF(AND(Tasks[[#This Row],[_IsLeaf]]=1,Tasks[[#This Row],[_LeafTotalWork]]&gt;0),NETWORKDAYS.INTL(ProjectStart,Tasks[[#This Row],[_ShownFcstStart]],WorkWeek,Holidays),0)</f>
        <v>0</v>
      </c>
      <c r="FH172" s="45" t="n">
        <f aca="false">IF(AND(Tasks[[#This Row],[_IsLeaf]]=1,Tasks[[#This Row],[_LeafTotalWork]]&gt;0),MAX(Tasks[[#This Row],[_StartWorkday]],NETWORKDAYS.INTL(ProjectStart,Tasks[[#This Row],[_ShownFcstFinish]],WorkWeek,Holidays)),0)</f>
        <v>0</v>
      </c>
      <c r="FI172" s="45" t="n">
        <f aca="false">IF(AND(Tasks[[#This Row],[_IsLeaf]]=1,Tasks[[#This Row],[_LeafTotalWork]]&gt;0),Tasks[[#This Row],[_LeafWork]]/(Tasks[[#This Row],[_FinishWorkday]]-Tasks[[#This Row],[_StartWorkday]]+1),0)</f>
        <v>0</v>
      </c>
      <c r="FJ172" s="45" t="n">
        <f aca="false">Tasks[[#This Row],[_WorkPerWorkday]]*(Tasks[[#This Row],[_StartWorkday]]-1)</f>
        <v>-0</v>
      </c>
      <c r="FK172" s="45" t="n">
        <f aca="false">IF(Tasks[[#This Row],[_IsLeaf]]=1,MAX(N(Tasks[[#This Row],[Duration]]),0.1),0)</f>
        <v>0</v>
      </c>
      <c r="FL172" s="45" t="n">
        <f aca="false">Tasks[[#This Row],[_WeightDur]]*Tasks[[#This Row],[_LeafProgress]]</f>
        <v>0</v>
      </c>
      <c r="FM17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72" s="45" t="str">
        <f aca="false">IF(AND(Tasks[[#This Row],[_IsLeaf]]=1,N(Tasks[[#This Row],[Duration]])=0,Tasks[[#This Row],[_LeafProgress]]&lt;1),Tasks[[#This Row],[_ShownFcstFinish]]+Tasks[[#This Row],[_Row]]/100000,"")</f>
        <v/>
      </c>
      <c r="FO17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72" s="45" t="n">
        <f aca="false">IF(NOT(Tasks[[#This Row],[_IsLeaf]]=1),0,IF(Tasks[[#This Row],[Baseline Cost]]="",Tasks[[#This Row],[_LeafTotalCost]],N(Tasks[[#This Row],[Baseline Cost]])))</f>
        <v>0</v>
      </c>
      <c r="FQ172" s="45" t="n">
        <f aca="false">Tasks[[#This Row],[_LeafBudget]]*Tasks[[#This Row],[_PlannedPct]]</f>
        <v>0</v>
      </c>
      <c r="FR172" s="45" t="n">
        <f aca="false">Tasks[[#This Row],[_LeafBudget]]*Tasks[[#This Row],[_LeafProgress]]</f>
        <v>0</v>
      </c>
      <c r="FS172" s="45" t="n">
        <f aca="false">IF(NOT(Tasks[[#This Row],[_IsLeaf]]=1),0,IF(Tasks[[#This Row],[Actual Cost]]="",Tasks[[#This Row],[_LeafTotalCost]]*Tasks[[#This Row],[_LeafProgress]],N(Tasks[[#This Row],[Actual Cost]])))</f>
        <v>0</v>
      </c>
      <c r="FT172" s="45" t="str">
        <f aca="false">IF(Tasks[[#This Row],[Task Name]]="","",LEFT(Tasks[[#This Row],[WBS]],FIND(".",Tasks[[#This Row],[WBS]]&amp;".")-1))</f>
        <v/>
      </c>
      <c r="FU172" s="45" t="str">
        <f aca="false">IF(AND(Tasks[[#This Row],[Task Name]]&lt;&gt;"",Tasks[[#This Row],[_Level]]=1),Tasks[[#This Row],[_Row]],"")</f>
        <v/>
      </c>
      <c r="FV172" s="45" t="str">
        <f aca="false">IF(AND(Tasks[[#This Row],[_IsLeaf]]=1,N(Tasks[[#This Row],[Duration]])=0),Tasks[[#This Row],[Planned Finish]]+Tasks[[#This Row],[_Row]]/100000,"")</f>
        <v/>
      </c>
      <c r="FW172" s="45" t="str">
        <f aca="false">IF(AND(Tasks[[#This Row],[_IsLeaf]]=1,Tasks[[#This Row],[_LeafProgress]]&lt;1,OR(N(Tasks[[#This Row],[Finish Var]])&gt;0,Tasks[[#This Row],[Status]]="Late Start")),MAX(0,Tasks[[#This Row],[Finish Var]])+1-Tasks[[#This Row],[_Row]]/1000000,"")</f>
        <v/>
      </c>
      <c r="FX172" s="45" t="str">
        <f aca="false">IF(AND(Tasks[[#This Row],[_IsLeaf]]=1,N(Tasks[[#This Row],[Actual Start]])=0,Tasks[[#This Row],[_ShownFcstStart]]&gt;=StatusDate,Tasks[[#This Row],[_ShownFcstStart]]&lt;=LookaheadEnd),Tasks[[#This Row],[_ShownFcstStart]]+Tasks[[#This Row],[_Row]]/100000,"")</f>
        <v/>
      </c>
      <c r="FY172" s="45" t="str">
        <f aca="false">IF(AND(Tasks[[#This Row],[_IsLeaf]]=1,Tasks[[#This Row],[_LeafProgress]]&lt;1,Tasks[[#This Row],[_ShownFcstFinish]]&gt;=StatusDate,Tasks[[#This Row],[_ShownFcstFinish]]&lt;=LookaheadEnd),Tasks[[#This Row],[_ShownFcstFinish]]+Tasks[[#This Row],[_Row]]/100000,"")</f>
        <v/>
      </c>
      <c r="FZ172" s="45" t="str">
        <f aca="false">IF(Tasks[[#This Row],[_LeafCritical]],Tasks[[#This Row],[_ShownFcstStart]]+Tasks[[#This Row],[_Row]]/100000,"")</f>
        <v/>
      </c>
      <c r="GA172" s="45" t="n">
        <f aca="false">Tasks[[#This Row],[_LeafWork]]*Tasks[[#This Row],[_LeafProgress]]</f>
        <v>0</v>
      </c>
      <c r="GB172" s="74" t="str">
        <f aca="false">IF(AND(Tasks[[#This Row],[_IsLeaf]]=1,Tasks[[#This Row],[_LeafProgress]]&gt;=1),IF(N(Tasks[[#This Row],[Actual Finish]])&gt;0,Tasks[[#This Row],[Actual Finish]],Tasks[[#This Row],[_ShownFcstFinish]]),"")</f>
        <v/>
      </c>
    </row>
    <row r="173" customFormat="false" ht="15" hidden="false" customHeight="false" outlineLevel="0" collapsed="false">
      <c r="A173" s="67" t="str">
        <f aca="false">IF(Tasks[[#This Row],[Task Name]]="","",COUNTA(Tasks[[#Headers],[Task Name]]:Tasks[[#This Row],[Task Name]])-1)</f>
        <v/>
      </c>
      <c r="B173" s="21" t="n">
        <v>168</v>
      </c>
      <c r="C17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21"/>
      <c r="E173" s="22"/>
      <c r="F173" s="21"/>
      <c r="G173" s="22"/>
      <c r="H173" s="22"/>
      <c r="I173" s="22"/>
      <c r="J173" s="7"/>
      <c r="K173" s="7"/>
      <c r="L173" s="22"/>
      <c r="M173" s="58" t="str">
        <f aca="false">IF(Tasks[[#This Row],[Task Name]]="","",IF(Tasks[[#This Row],[_IsSummary]],MIN(INDEX(Tasks[_ShownFcstStart],Tasks[[#This Row],[_Row]]+1):INDEX(Tasks[_ShownFcstStart],Tasks[[#This Row],[_Row]]+Tasks[[#This Row],[_Descendants]])),Tasks[[#This Row],[_ShownFcstStart]]))</f>
        <v/>
      </c>
      <c r="N173" s="58" t="str">
        <f aca="false">IF(Tasks[[#This Row],[Task Name]]="","",IF(Tasks[[#This Row],[_IsSummary]],MAX(INDEX(Tasks[_ShownFcstFinish],Tasks[[#This Row],[_Row]]+1):INDEX(Tasks[_ShownFcstFinish],Tasks[[#This Row],[_Row]]+Tasks[[#This Row],[_Descendants]])),Tasks[[#This Row],[_ShownFcstFinish]]))</f>
        <v/>
      </c>
      <c r="O173" s="20" t="str">
        <f aca="false">IF(Tasks[[#This Row],[Task Name]]="","",IF(Tasks[[#This Row],[Progress]]&gt;=1,"Complete",IF(OR(N(Tasks[[#This Row],[Actual Start]])&gt;0,Tasks[[#This Row],[Progress]]&gt;0),IF(Tasks[[#This Row],[Finish Var]]&gt;0,"Behind","In Progress"),IF(Tasks[[#This Row],[Planned Start]]&lt;StatusDate,"Late Start","Not Started"))))</f>
        <v/>
      </c>
      <c r="P173" s="20" t="str">
        <f aca="false">IF(Tasks[[#This Row],[Task Name]]="","",IF(IF(Tasks[[#This Row],[_IsSummary]],COUNTIF(INDEX(Tasks[_LeafCritical],Tasks[[#This Row],[_Row]]+1):INDEX(Tasks[_LeafCritical],Tasks[[#This Row],[_Row]]+Tasks[[#This Row],[_Descendants]]),TRUE())&gt;0,Tasks[[#This Row],[_LeafCritical]]),"Yes",""))</f>
        <v/>
      </c>
      <c r="Q17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73" s="67" t="str">
        <f aca="false">IF(Tasks[[#This Row],[Task Name]]="","",IF(Tasks[[#This Row],[_Level]]&lt;=OutlineShowLevel,"Yes","No"))</f>
        <v/>
      </c>
      <c r="S173" s="7"/>
      <c r="T173" s="21"/>
      <c r="U173" s="22"/>
      <c r="V173" s="7"/>
      <c r="W173" s="67" t="str">
        <f aca="false">IF(Tasks[[#This Row],[Task Name]]="","",IF(Tasks[[#This Row],[Finish]]&gt;=Tasks[[#This Row],[Planned Finish]],NETWORKDAYS.INTL(Tasks[[#This Row],[Planned Finish]],Tasks[[#This Row],[Finish]],WorkWeek,Holidays)-1,1-NETWORKDAYS.INTL(Tasks[[#This Row],[Finish]],Tasks[[#This Row],[Planned Finish]],WorkWeek,Holidays)))</f>
        <v/>
      </c>
      <c r="X173" s="58" t="str">
        <f aca="false">IF(Tasks[[#This Row],[Task Name]]="","",IF(N(Tasks[[#This Row],[Baseline Start]])&gt;0,Tasks[[#This Row],[Baseline Start]],Tasks[[#This Row],[_CalcStart]]))</f>
        <v/>
      </c>
      <c r="Y173" s="58" t="str">
        <f aca="false">IF(Tasks[[#This Row],[Task Name]]="","",IF(N(Tasks[[#This Row],[Baseline Finish]])&gt;0,Tasks[[#This Row],[Baseline Finish]],Tasks[[#This Row],[_CalcFinish]]))</f>
        <v/>
      </c>
      <c r="Z173" s="67" t="str">
        <f aca="false">IF(Tasks[[#This Row],[Task Name]]="","",IF(Tasks[[#This Row],[Start]]&gt;=Tasks[[#This Row],[Planned Start]],NETWORKDAYS.INTL(Tasks[[#This Row],[Planned Start]],Tasks[[#This Row],[Start]],WorkWeek,Holidays)-1,1-NETWORKDAYS.INTL(Tasks[[#This Row],[Start]],Tasks[[#This Row],[Planned Start]],WorkWeek,Holidays)))</f>
        <v/>
      </c>
      <c r="AA173" s="58" t="str">
        <f aca="false">IF(Tasks[[#This Row],[Task Name]]="","",IF(Tasks[[#This Row],[_IsSummary]],MIN(INDEX(Tasks[_LeafLateStart],Tasks[[#This Row],[_Row]]+1):INDEX(Tasks[_LeafLateStart],Tasks[[#This Row],[_Row]]+Tasks[[#This Row],[_Descendants]])),Tasks[[#This Row],[_LeafLateStart]]))</f>
        <v/>
      </c>
      <c r="AB173" s="58" t="str">
        <f aca="false">IF(Tasks[[#This Row],[Task Name]]="","",IF(Tasks[[#This Row],[_IsSummary]],MAX(INDEX(Tasks[_LeafLateFinish],Tasks[[#This Row],[_Row]]+1):INDEX(Tasks[_LeafLateFinish],Tasks[[#This Row],[_Row]]+Tasks[[#This Row],[_Descendants]])),Tasks[[#This Row],[_LeafLateFinish]]))</f>
        <v/>
      </c>
      <c r="AC173" s="67" t="str">
        <f aca="false">IF(Tasks[[#This Row],[Task Name]]="","",IF(Tasks[[#This Row],[_IsSummary]],MIN(INDEX(Tasks[_LeafTotalSlack],Tasks[[#This Row],[_Row]]+1):INDEX(Tasks[_LeafTotalSlack],Tasks[[#This Row],[_Row]]+Tasks[[#This Row],[_Descendants]])),Tasks[[#This Row],[_LeafTotalSlack]]))</f>
        <v/>
      </c>
      <c r="AD17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7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7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73" s="60"/>
      <c r="AH17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7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73" s="69" t="str">
        <f aca="false">IF(Tasks[[#This Row],[Task Name]]="","",IF(Tasks[[#This Row],[_IsSummary]],SUM(INDEX(Tasks[_LeafTotalWork],Tasks[[#This Row],[_Row]]+1):INDEX(Tasks[_LeafTotalWork],Tasks[[#This Row],[_Row]]+Tasks[[#This Row],[_Descendants]])),Tasks[[#This Row],[_LeafTotalWork]]))</f>
        <v/>
      </c>
      <c r="AK17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73" s="70" t="str">
        <f aca="false">IF(Tasks[[#This Row],[Task Name]]="","",IF(Tasks[[#This Row],[_IsSummary]],SUM(INDEX(Tasks[_LeafTotalCost],Tasks[[#This Row],[_Row]]+1):INDEX(Tasks[_LeafTotalCost],Tasks[[#This Row],[_Row]]+Tasks[[#This Row],[_Descendants]])),Tasks[[#This Row],[_LeafTotalCost]]))</f>
        <v/>
      </c>
      <c r="AM173" s="71"/>
      <c r="AN173" s="20" t="str">
        <f aca="false">IF(OR(Tasks[[#This Row],[Task Name]]="",Tasks[[#This Row],[Baseline Duration]]=""),"",Tasks[[#This Row],[BL Source Duration]]-N(Tasks[[#This Row],[Baseline Duration]]))</f>
        <v/>
      </c>
      <c r="AO173" s="69" t="str">
        <f aca="false">IF(OR(Tasks[[#This Row],[Task Name]]="",Tasks[[#This Row],[Baseline Work]]=""),"",Tasks[[#This Row],[Work]]-N(Tasks[[#This Row],[Baseline Work]]))</f>
        <v/>
      </c>
      <c r="AP173" s="70" t="str">
        <f aca="false">IF(OR(Tasks[[#This Row],[Task Name]]="",Tasks[[#This Row],[Baseline Cost]]=""),"",Tasks[[#This Row],[Cost]]-N(Tasks[[#This Row],[Baseline Cost]]))</f>
        <v/>
      </c>
      <c r="AQ173" s="58" t="str">
        <f aca="false">IF(Tasks[[#This Row],[Task Name]]="","",Tasks[[#This Row],[Start]])</f>
        <v/>
      </c>
      <c r="AR173" s="58" t="str">
        <f aca="false">IF(Tasks[[#This Row],[Task Name]]="","",Tasks[[#This Row],[Finish]])</f>
        <v/>
      </c>
      <c r="AS173" s="67" t="str">
        <f aca="false">IF(Tasks[[#This Row],[Task Name]]="","",IF(Tasks[[#This Row],[_IsSummary]],NETWORKDAYS.INTL(Tasks[[#This Row],[Start]],Tasks[[#This Row],[Finish]],WorkWeek,Holidays),N(Tasks[[#This Row],[Duration]])))</f>
        <v/>
      </c>
      <c r="AT173" s="69" t="str">
        <f aca="false">IF(Tasks[[#This Row],[Task Name]]="","",Tasks[[#This Row],[Work]])</f>
        <v/>
      </c>
      <c r="AU173" s="70" t="str">
        <f aca="false">IF(Tasks[[#This Row],[Task Name]]="","",Tasks[[#This Row],[Cost]])</f>
        <v/>
      </c>
      <c r="AV173" s="7"/>
      <c r="AW173" s="7"/>
      <c r="AX173" s="21"/>
      <c r="AY173" s="72"/>
      <c r="AZ173" s="71"/>
      <c r="BA173" s="70" t="str">
        <f aca="false">IF(Tasks[[#This Row],[Task Name]]="","",IF(Tasks[[#This Row],[_IsSummary]],SUM(INDEX(Tasks[_LeafEV],Tasks[[#This Row],[_Row]]+1):INDEX(Tasks[_LeafEV],Tasks[[#This Row],[_Row]]+Tasks[[#This Row],[_Descendants]])),Tasks[[#This Row],[_LeafEV]]))</f>
        <v/>
      </c>
      <c r="BB173" s="70" t="str">
        <f aca="false">IF(Tasks[[#This Row],[Task Name]]="","",IF(Tasks[[#This Row],[_IsSummary]],SUM(INDEX(Tasks[_LeafBudget],Tasks[[#This Row],[_Row]]+1):INDEX(Tasks[_LeafBudget],Tasks[[#This Row],[_Row]]+Tasks[[#This Row],[_Descendants]])),Tasks[[#This Row],[_LeafBudget]]))</f>
        <v/>
      </c>
      <c r="BC173" s="70" t="str">
        <f aca="false">IF(Tasks[[#This Row],[Task Name]]="","",IF(Tasks[[#This Row],[_IsSummary]],SUM(INDEX(Tasks[_LeafPV],Tasks[[#This Row],[_Row]]+1):INDEX(Tasks[_LeafPV],Tasks[[#This Row],[_Row]]+Tasks[[#This Row],[_Descendants]])),Tasks[[#This Row],[_LeafPV]]))</f>
        <v/>
      </c>
      <c r="BD173" s="70" t="str">
        <f aca="false">IF(Tasks[[#This Row],[Task Name]]="","",IF(Tasks[[#This Row],[_IsSummary]],SUM(INDEX(Tasks[_LeafAC],Tasks[[#This Row],[_Row]]+1):INDEX(Tasks[_LeafAC],Tasks[[#This Row],[_Row]]+Tasks[[#This Row],[_Descendants]])),Tasks[[#This Row],[_LeafAC]]))</f>
        <v/>
      </c>
      <c r="BE173" s="45" t="str">
        <f aca="false">IF(Tasks[[#This Row],[Task Name]]="","",MAX(1,N(Tasks[[#This Row],[Level]])))</f>
        <v/>
      </c>
      <c r="BF173" s="45" t="n">
        <f aca="false">ROW()-ROW(Tasks[[#Headers],[ID]])</f>
        <v>168</v>
      </c>
      <c r="BG173" s="45" t="n">
        <f aca="false">IF(OR(Tasks[[#This Row],[Task Name]]="",Tasks[[#This Row],[_Level]]&lt;=1),0,IFERROR(LOOKUP(2,1/(Tasks[[#Headers],[_Level]]:Tasks[[#This Row],[_Level]]=Tasks[[#This Row],[_Level]]-1),ROW(Tasks[[#Headers],[_Level]]:Tasks[[#This Row],[_Level]])),0))</f>
        <v>0</v>
      </c>
      <c r="BH173" s="45" t="n">
        <f aca="false">IFERROR(N(INDEX(Tasks[_Level],Tasks[[#This Row],[_Row]]+1)),0)</f>
        <v>0</v>
      </c>
      <c r="BI173" s="73" t="b">
        <f aca="false">AND(Tasks[[#This Row],[Task Name]]&lt;&gt;"",Tasks[[#This Row],[_NextLevel]]&gt;Tasks[[#This Row],[_Level]])</f>
        <v>0</v>
      </c>
      <c r="BJ173" s="45" t="n">
        <f aca="false">IF(Tasks[[#This Row],[_IsSummary]],COUNTIF(Tasks[WBS],Tasks[[#This Row],[WBS]]&amp;".*"),0)</f>
        <v>0</v>
      </c>
      <c r="BK173" s="45" t="n">
        <f aca="false">IF(AND(Tasks[[#This Row],[Task Name]]&lt;&gt;"",NOT(Tasks[[#This Row],[_IsSummary]])),1,0)</f>
        <v>0</v>
      </c>
      <c r="BL173" s="45" t="n">
        <f aca="false">IF(N(Tasks[[#This Row],[_Pred1UID]])=0,0,IFERROR(MATCH(Tasks[[#This Row],[_Pred1UID]],Tasks[UID],0),-1))</f>
        <v>0</v>
      </c>
      <c r="BM173" s="45" t="n">
        <f aca="false">IF(N(Tasks[[#This Row],[_Pred2UID]])=0,0,IFERROR(MATCH(Tasks[[#This Row],[_Pred2UID]],Tasks[UID],0),-1))</f>
        <v>0</v>
      </c>
      <c r="BN173" s="45" t="n">
        <f aca="false">IF(N(Tasks[[#This Row],[_Pred3UID]])=0,0,IFERROR(MATCH(Tasks[[#This Row],[_Pred3UID]],Tasks[UID],0),-1))</f>
        <v>0</v>
      </c>
      <c r="BO173" s="45" t="n">
        <f aca="false">IF(N(Tasks[[#This Row],[_Pred4UID]])=0,0,IFERROR(MATCH(Tasks[[#This Row],[_Pred4UID]],Tasks[UID],0),-1))</f>
        <v>0</v>
      </c>
      <c r="BP17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7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73" s="74" t="n">
        <f aca="false">IF(OR(Tasks[[#This Row],[_ConstraintCode]]=2,Tasks[[#This Row],[_ConstraintCode]]=3,Tasks[[#This Row],[_ConstraintCode]]=4,Tasks[[#This Row],[_ConstraintCode]]=6),Tasks[[#This Row],[_ConstraintStart]],0)</f>
        <v>0</v>
      </c>
      <c r="BS173" s="74" t="n">
        <f aca="false">IF(OR(Tasks[[#This Row],[_ConstraintCode]]=2,Tasks[[#This Row],[_ConstraintCode]]=3,Tasks[[#This Row],[_ConstraintCode]]=5,Tasks[[#This Row],[_ConstraintCode]]=7),Tasks[[#This Row],[_ConstraintStart]],2958465)</f>
        <v>2958465</v>
      </c>
      <c r="BT17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73" s="74" t="str">
        <f aca="false">IF(NOT(Tasks[[#This Row],[_IsLeaf]]=1),"",IF(N(Tasks[[#This Row],[Duration]])&lt;=0,Tasks[[#This Row],[_LeafCalcStart]],WORKDAY.INTL(Tasks[[#This Row],[_LeafCalcStart]],Tasks[[#This Row],[Duration]]-1,WorkWeek,Holidays)))</f>
        <v/>
      </c>
      <c r="BV17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7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73" s="45" t="str">
        <f aca="false">IF(Tasks[[#This Row],[Predecessors]]="","",TRIM(MID(SUBSTITUTE(SUBSTITUTE(SUBSTITUTE(UPPER(Tasks[[#This Row],[Predecessors]]),";",",")," ",""),",",REPT(" ",99)),1,99)))</f>
        <v/>
      </c>
      <c r="BY173" s="45" t="str">
        <f aca="false">IF(Tasks[[#This Row],[_Pred1Text]]="","",IFERROR(VALUE(LEFT(Tasks[[#This Row],[_Pred1Text]],MIN(FIND("F",Tasks[[#This Row],[_Pred1Text]]&amp;"F"),FIND("S",Tasks[[#This Row],[_Pred1Text]]&amp;"S"),FIND("+",Tasks[[#This Row],[_Pred1Text]]&amp;"+"),FIND("-",Tasks[[#This Row],[_Pred1Text]]&amp;"-"))-1)),""))</f>
        <v/>
      </c>
      <c r="BZ17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7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73" s="45" t="str">
        <f aca="false">IF(Tasks[[#This Row],[_Pred1Text]]="","",TRIM(MID(SUBSTITUTE(SUBSTITUTE(SUBSTITUTE(UPPER(Tasks[[#This Row],[Predecessors]]),";",",")," ",""),",",REPT(" ",99)),100,99)))</f>
        <v/>
      </c>
      <c r="CC173" s="45" t="str">
        <f aca="false">IF(Tasks[[#This Row],[_Pred2Text]]="","",IFERROR(VALUE(LEFT(Tasks[[#This Row],[_Pred2Text]],MIN(FIND("F",Tasks[[#This Row],[_Pred2Text]]&amp;"F"),FIND("S",Tasks[[#This Row],[_Pred2Text]]&amp;"S"),FIND("+",Tasks[[#This Row],[_Pred2Text]]&amp;"+"),FIND("-",Tasks[[#This Row],[_Pred2Text]]&amp;"-"))-1)),""))</f>
        <v/>
      </c>
      <c r="CD17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7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73" s="45" t="str">
        <f aca="false">IF(Tasks[[#This Row],[_Pred2Text]]="","",TRIM(MID(SUBSTITUTE(SUBSTITUTE(SUBSTITUTE(UPPER(Tasks[[#This Row],[Predecessors]]),";",",")," ",""),",",REPT(" ",99)),199,99)))</f>
        <v/>
      </c>
      <c r="CG173" s="45" t="str">
        <f aca="false">IF(Tasks[[#This Row],[_Pred3Text]]="","",IFERROR(VALUE(LEFT(Tasks[[#This Row],[_Pred3Text]],MIN(FIND("F",Tasks[[#This Row],[_Pred3Text]]&amp;"F"),FIND("S",Tasks[[#This Row],[_Pred3Text]]&amp;"S"),FIND("+",Tasks[[#This Row],[_Pred3Text]]&amp;"+"),FIND("-",Tasks[[#This Row],[_Pred3Text]]&amp;"-"))-1)),""))</f>
        <v/>
      </c>
      <c r="CH17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7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73" s="45" t="str">
        <f aca="false">IF(Tasks[[#This Row],[_Pred3Text]]="","",TRIM(MID(SUBSTITUTE(SUBSTITUTE(SUBSTITUTE(UPPER(Tasks[[#This Row],[Predecessors]]),";",",")," ",""),",",REPT(" ",99)),298,99)))</f>
        <v/>
      </c>
      <c r="CK173" s="45" t="str">
        <f aca="false">IF(Tasks[[#This Row],[_Pred4Text]]="","",IFERROR(VALUE(LEFT(Tasks[[#This Row],[_Pred4Text]],MIN(FIND("F",Tasks[[#This Row],[_Pred4Text]]&amp;"F"),FIND("S",Tasks[[#This Row],[_Pred4Text]]&amp;"S"),FIND("+",Tasks[[#This Row],[_Pred4Text]]&amp;"+"),FIND("-",Tasks[[#This Row],[_Pred4Text]]&amp;"-"))-1)),""))</f>
        <v/>
      </c>
      <c r="CL17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7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73" s="45" t="str">
        <f aca="false">IF(OR(Tasks[[#This Row],[Task Name]]="",Tasks[[#This Row],[Resources]]=""),"",TRIM(MID(SUBSTITUTE(Tasks[[#This Row],[Resources]],",",REPT(" ",99)),1,99)))</f>
        <v/>
      </c>
      <c r="CO173" s="45" t="str">
        <f aca="false">IF(Tasks[[#This Row],[_Res1Text]]="","",TRIM(MID(SUBSTITUTE(Tasks[[#This Row],[Resources]],",",REPT(" ",99)),100,99)))</f>
        <v/>
      </c>
      <c r="CP173" s="45" t="str">
        <f aca="false">IF(Tasks[[#This Row],[_Res2Text]]="","",TRIM(MID(SUBSTITUTE(Tasks[[#This Row],[Resources]],",",REPT(" ",99)),199,99)))</f>
        <v/>
      </c>
      <c r="CQ173" s="45" t="str">
        <f aca="false">IF(Tasks[[#This Row],[_Res3Text]]="","",TRIM(MID(SUBSTITUTE(Tasks[[#This Row],[Resources]],",",REPT(" ",99)),298,99)))</f>
        <v/>
      </c>
      <c r="CR17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7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3" s="45" t="n">
        <f aca="false">IF(NOT(Tasks[[#This Row],[_IsLeaf]]=1),0,(Tasks[[#This Row],[_Resource1]]&lt;&gt;"")+(Tasks[[#This Row],[_Res2]]&lt;&gt;"")+(Tasks[[#This Row],[_Res3]]&lt;&gt;"")+(Tasks[[#This Row],[_Res4]]&lt;&gt;""))</f>
        <v>0</v>
      </c>
      <c r="CU17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7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3" s="45" t="n">
        <f aca="false">IF(OR(NOT(Tasks[[#This Row],[_IsLeaf]]=1),Tasks[[#This Row],[_Res2]]=""),0,IF(ISNA(MATCH(Tasks[[#This Row],[_Res2]],res_Name,0)),0,N(Tasks[[#This Row],[Duration]])*HoursPerDay*IF(Tasks[[#This Row],[_Res2Units]]="",DefaultUnits,Tasks[[#This Row],[_Res2Units]])))</f>
        <v>0</v>
      </c>
      <c r="CX173" s="45" t="n">
        <f aca="false">IF(Tasks[[#This Row],[_Res2Work]]=0,0,Tasks[[#This Row],[_Res2Work]]*IFERROR(INDEX(res_Rate,MATCH(Tasks[[#This Row],[_Res2]],res_Name,0)),0))</f>
        <v>0</v>
      </c>
      <c r="CY173" s="45" t="n">
        <f aca="false">IF(AND(AND(Tasks[[#This Row],[_IsLeaf]]=1,Tasks[[#This Row],[_LeafTotalWork]]&gt;0),Tasks[[#This Row],[_Res2Work]]&gt;0),Tasks[[#This Row],[_Res2Work]]/(Tasks[[#This Row],[_FinishWorkday]]-Tasks[[#This Row],[_StartWorkday]]+1),0)</f>
        <v>0</v>
      </c>
      <c r="CZ173" s="45" t="n">
        <f aca="false">Tasks[[#This Row],[_Res2WorkPerWD]]*MAX(0,Tasks[[#This Row],[_StartWorkday]]-1)</f>
        <v>0</v>
      </c>
      <c r="DA173" s="45" t="n">
        <f aca="false">Tasks[[#This Row],[_Res2Work]]*Tasks[[#This Row],[_LeafProgress]]</f>
        <v>0</v>
      </c>
      <c r="DB173" s="45" t="n">
        <f aca="false">IF(Tasks[[#This Row],[_LeafTotalCost]]=0,0,Tasks[[#This Row],[_LeafAC]]*Tasks[[#This Row],[_Res2Cost]]/Tasks[[#This Row],[_LeafTotalCost]])</f>
        <v>0</v>
      </c>
      <c r="DC17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7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73" s="45" t="n">
        <f aca="false">IF(OR(NOT(Tasks[[#This Row],[_IsLeaf]]=1),Tasks[[#This Row],[_Res3]]=""),0,IF(ISNA(MATCH(Tasks[[#This Row],[_Res3]],res_Name,0)),0,N(Tasks[[#This Row],[Duration]])*HoursPerDay*IF(Tasks[[#This Row],[_Res3Units]]="",DefaultUnits,Tasks[[#This Row],[_Res3Units]])))</f>
        <v>0</v>
      </c>
      <c r="DF173" s="45" t="n">
        <f aca="false">IF(Tasks[[#This Row],[_Res3Work]]=0,0,Tasks[[#This Row],[_Res3Work]]*IFERROR(INDEX(res_Rate,MATCH(Tasks[[#This Row],[_Res3]],res_Name,0)),0))</f>
        <v>0</v>
      </c>
      <c r="DG173" s="45" t="n">
        <f aca="false">IF(AND(AND(Tasks[[#This Row],[_IsLeaf]]=1,Tasks[[#This Row],[_LeafTotalWork]]&gt;0),Tasks[[#This Row],[_Res3Work]]&gt;0),Tasks[[#This Row],[_Res3Work]]/(Tasks[[#This Row],[_FinishWorkday]]-Tasks[[#This Row],[_StartWorkday]]+1),0)</f>
        <v>0</v>
      </c>
      <c r="DH173" s="45" t="n">
        <f aca="false">Tasks[[#This Row],[_Res3WorkPerWD]]*MAX(0,Tasks[[#This Row],[_StartWorkday]]-1)</f>
        <v>0</v>
      </c>
      <c r="DI173" s="45" t="n">
        <f aca="false">Tasks[[#This Row],[_Res3Work]]*Tasks[[#This Row],[_LeafProgress]]</f>
        <v>0</v>
      </c>
      <c r="DJ173" s="45" t="n">
        <f aca="false">IF(Tasks[[#This Row],[_LeafTotalCost]]=0,0,Tasks[[#This Row],[_LeafAC]]*Tasks[[#This Row],[_Res3Cost]]/Tasks[[#This Row],[_LeafTotalCost]])</f>
        <v>0</v>
      </c>
      <c r="DK17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7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73" s="45" t="n">
        <f aca="false">IF(OR(NOT(Tasks[[#This Row],[_IsLeaf]]=1),Tasks[[#This Row],[_Res4]]=""),0,IF(ISNA(MATCH(Tasks[[#This Row],[_Res4]],res_Name,0)),0,N(Tasks[[#This Row],[Duration]])*HoursPerDay*IF(Tasks[[#This Row],[_Res4Units]]="",DefaultUnits,Tasks[[#This Row],[_Res4Units]])))</f>
        <v>0</v>
      </c>
      <c r="DN173" s="45" t="n">
        <f aca="false">IF(Tasks[[#This Row],[_Res4Work]]=0,0,Tasks[[#This Row],[_Res4Work]]*IFERROR(INDEX(res_Rate,MATCH(Tasks[[#This Row],[_Res4]],res_Name,0)),0))</f>
        <v>0</v>
      </c>
      <c r="DO173" s="45" t="n">
        <f aca="false">IF(AND(AND(Tasks[[#This Row],[_IsLeaf]]=1,Tasks[[#This Row],[_LeafTotalWork]]&gt;0),Tasks[[#This Row],[_Res4Work]]&gt;0),Tasks[[#This Row],[_Res4Work]]/(Tasks[[#This Row],[_FinishWorkday]]-Tasks[[#This Row],[_StartWorkday]]+1),0)</f>
        <v>0</v>
      </c>
      <c r="DP173" s="45" t="n">
        <f aca="false">Tasks[[#This Row],[_Res4WorkPerWD]]*MAX(0,Tasks[[#This Row],[_StartWorkday]]-1)</f>
        <v>0</v>
      </c>
      <c r="DQ173" s="45" t="n">
        <f aca="false">Tasks[[#This Row],[_Res4Work]]*Tasks[[#This Row],[_LeafProgress]]</f>
        <v>0</v>
      </c>
      <c r="DR173" s="45" t="n">
        <f aca="false">IF(Tasks[[#This Row],[_LeafTotalCost]]=0,0,Tasks[[#This Row],[_LeafAC]]*Tasks[[#This Row],[_Res4Cost]]/Tasks[[#This Row],[_LeafTotalCost]])</f>
        <v>0</v>
      </c>
      <c r="DS173" s="45" t="n">
        <f aca="false">IF(ISNUMBER(Tasks[[#This Row],[% Complete]]),Tasks[[#This Row],[% Complete]],IF(Tasks[[#This Row],[Stage]]="",0,IFERROR(INDEX(stg_Pct,MATCH(Tasks[[#This Row],[Stage]],stg_Name,0)),0)))</f>
        <v>0</v>
      </c>
      <c r="DT173" s="45" t="n">
        <f aca="false">IF(NOT(Tasks[[#This Row],[_IsLeaf]]=1),0,IF(N(Tasks[[#This Row],[Actual Finish]])&gt;0,1,MIN(1,Tasks[[#This Row],[_Pct]])))</f>
        <v>0</v>
      </c>
      <c r="DU173" s="45" t="n">
        <f aca="false">IF(OR(NOT(Tasks[[#This Row],[_IsLeaf]]=1),Tasks[[#This Row],[_Resource1]]=""),0,IF(ISNA(MATCH(Tasks[[#This Row],[_Resource1]],res_Name,0)),0,N(Tasks[[#This Row],[Duration]])*HoursPerDay*IF(Tasks[[#This Row],[_Units1]]="",DefaultUnits,Tasks[[#This Row],[_Units1]])))</f>
        <v>0</v>
      </c>
      <c r="DV173" s="45" t="n">
        <f aca="false">IF(Tasks[[#This Row],[_LeafWork]]=0,0,Tasks[[#This Row],[_LeafWork]]*IFERROR(INDEX(res_Rate,MATCH(Tasks[[#This Row],[_Resource1]],res_Name,0)),0))</f>
        <v>0</v>
      </c>
      <c r="DW173" s="45" t="n">
        <f aca="false">Tasks[[#This Row],[_LeafWork]]+Tasks[[#This Row],[_Res2Work]]+Tasks[[#This Row],[_Res3Work]]+Tasks[[#This Row],[_Res4Work]]</f>
        <v>0</v>
      </c>
      <c r="DX173" s="45" t="n">
        <f aca="false">Tasks[[#This Row],[_LeafCost]]+Tasks[[#This Row],[_Res2Cost]]+Tasks[[#This Row],[_Res3Cost]]+Tasks[[#This Row],[_Res4Cost]]</f>
        <v>0</v>
      </c>
      <c r="DY173" s="45" t="n">
        <f aca="false">IF(Tasks[[#This Row],[_LeafTotalCost]]=0,Tasks[[#This Row],[_LeafAC]],Tasks[[#This Row],[_LeafAC]]*Tasks[[#This Row],[_LeafCost]]/Tasks[[#This Row],[_LeafTotalCost]])</f>
        <v>0</v>
      </c>
      <c r="DZ17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7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7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7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7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7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7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7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73" s="45" t="n">
        <f aca="false">IF(NOT(Tasks[[#This Row],[_IsLeaf]]=1),0,MAX(_xlfn.MAXIFS(Tasks[_Row],Tasks[_Pred1UID],Tasks[[#This Row],[UID]]),_xlfn.MAXIFS(Tasks[_Row],Tasks[_Pred2UID],Tasks[[#This Row],[UID]]),_xlfn.MAXIFS(Tasks[_Row],Tasks[_Pred3UID],Tasks[[#This Row],[UID]]),_xlfn.MAXIFS(Tasks[_Row],Tasks[_Pred4UID],Tasks[[#This Row],[UID]])))</f>
        <v>0</v>
      </c>
      <c r="EI17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7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73" s="74" t="str">
        <f aca="false">IF(NOT(Tasks[[#This Row],[_IsLeaf]]=1),"",IF(N(Tasks[[#This Row],[Duration]])&lt;=0,Tasks[[#This Row],[_LeafLateFinish]],WORKDAY.INTL(Tasks[[#This Row],[_LeafLateFinish]],-(Tasks[[#This Row],[Duration]]-1),WorkWeek,Holidays)))</f>
        <v/>
      </c>
      <c r="EL17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73" s="73" t="b">
        <f aca="false">AND(Tasks[[#This Row],[_IsLeaf]]=1,Tasks[[#This Row],[_LeafProgress]]&lt;1,N(Tasks[[#This Row],[_LeafTotalSlack]])&lt;=CriticalSlackDays)</f>
        <v>0</v>
      </c>
      <c r="EN173" s="45" t="n">
        <f aca="false">IF(AND(Tasks[[#This Row],[_IsLeaf]]=1,Tasks[[#This Row],[_ConstraintCode]]=1,Tasks[[#This Row],[Mode]]&lt;&gt;"Manual",N(Tasks[[#This Row],[Actual Start]])=0),MAX(0,N(Tasks[[#This Row],[Free Slack]])),0)</f>
        <v>0</v>
      </c>
      <c r="EO173" s="74" t="str">
        <f aca="false">IF(NOT(Tasks[[#This Row],[_IsLeaf]]=1),"",IF(Tasks[[#This Row],[_AlapShift]]=0,Tasks[[#This Row],[_LeafCalcStart]],WORKDAY.INTL(Tasks[[#This Row],[_LeafCalcStart]],Tasks[[#This Row],[_AlapShift]],WorkWeek,Holidays)))</f>
        <v/>
      </c>
      <c r="EP173" s="74" t="str">
        <f aca="false">IF(NOT(Tasks[[#This Row],[_IsLeaf]]=1),"",IF(Tasks[[#This Row],[_AlapShift]]=0,Tasks[[#This Row],[_LeafCalcFinish]],WORKDAY.INTL(Tasks[[#This Row],[_LeafCalcFinish]],Tasks[[#This Row],[_AlapShift]],WorkWeek,Holidays)))</f>
        <v/>
      </c>
      <c r="EQ173" s="74" t="str">
        <f aca="false">IF(NOT(Tasks[[#This Row],[_IsLeaf]]=1),"",IF(Tasks[[#This Row],[_AlapShift]]=0,Tasks[[#This Row],[_LeafFcstStart]],WORKDAY.INTL(Tasks[[#This Row],[_LeafFcstStart]],Tasks[[#This Row],[_AlapShift]],WorkWeek,Holidays)))</f>
        <v/>
      </c>
      <c r="ER173" s="74" t="str">
        <f aca="false">IF(NOT(Tasks[[#This Row],[_IsLeaf]]=1),"",IF(Tasks[[#This Row],[_AlapShift]]=0,Tasks[[#This Row],[_LeafFcstFinish]],WORKDAY.INTL(Tasks[[#This Row],[_LeafFcstFinish]],Tasks[[#This Row],[_AlapShift]],WorkWeek,Holidays)))</f>
        <v/>
      </c>
      <c r="ES173" s="74" t="str">
        <f aca="false">IF(Tasks[[#This Row],[Task Name]]="","",IF(Tasks[[#This Row],[_IsSummary]],MIN(INDEX(Tasks[_ShownCalcStart],Tasks[[#This Row],[_Row]]+1):INDEX(Tasks[_ShownCalcStart],Tasks[[#This Row],[_Row]]+Tasks[[#This Row],[_Descendants]])),Tasks[[#This Row],[_ShownCalcStart]]))</f>
        <v/>
      </c>
      <c r="ET173" s="74" t="str">
        <f aca="false">IF(Tasks[[#This Row],[Task Name]]="","",IF(Tasks[[#This Row],[_IsSummary]],MAX(INDEX(Tasks[_ShownCalcFinish],Tasks[[#This Row],[_Row]]+1):INDEX(Tasks[_ShownCalcFinish],Tasks[[#This Row],[_Row]]+Tasks[[#This Row],[_Descendants]])),Tasks[[#This Row],[_ShownCalcFinish]]))</f>
        <v/>
      </c>
      <c r="EU17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7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7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7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7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7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7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7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7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7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7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7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73" s="45" t="n">
        <f aca="false">IF(AND(Tasks[[#This Row],[_IsLeaf]]=1,Tasks[[#This Row],[_LeafTotalWork]]&gt;0),NETWORKDAYS.INTL(ProjectStart,Tasks[[#This Row],[_ShownFcstStart]],WorkWeek,Holidays),0)</f>
        <v>0</v>
      </c>
      <c r="FH173" s="45" t="n">
        <f aca="false">IF(AND(Tasks[[#This Row],[_IsLeaf]]=1,Tasks[[#This Row],[_LeafTotalWork]]&gt;0),MAX(Tasks[[#This Row],[_StartWorkday]],NETWORKDAYS.INTL(ProjectStart,Tasks[[#This Row],[_ShownFcstFinish]],WorkWeek,Holidays)),0)</f>
        <v>0</v>
      </c>
      <c r="FI173" s="45" t="n">
        <f aca="false">IF(AND(Tasks[[#This Row],[_IsLeaf]]=1,Tasks[[#This Row],[_LeafTotalWork]]&gt;0),Tasks[[#This Row],[_LeafWork]]/(Tasks[[#This Row],[_FinishWorkday]]-Tasks[[#This Row],[_StartWorkday]]+1),0)</f>
        <v>0</v>
      </c>
      <c r="FJ173" s="45" t="n">
        <f aca="false">Tasks[[#This Row],[_WorkPerWorkday]]*(Tasks[[#This Row],[_StartWorkday]]-1)</f>
        <v>-0</v>
      </c>
      <c r="FK173" s="45" t="n">
        <f aca="false">IF(Tasks[[#This Row],[_IsLeaf]]=1,MAX(N(Tasks[[#This Row],[Duration]]),0.1),0)</f>
        <v>0</v>
      </c>
      <c r="FL173" s="45" t="n">
        <f aca="false">Tasks[[#This Row],[_WeightDur]]*Tasks[[#This Row],[_LeafProgress]]</f>
        <v>0</v>
      </c>
      <c r="FM17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73" s="45" t="str">
        <f aca="false">IF(AND(Tasks[[#This Row],[_IsLeaf]]=1,N(Tasks[[#This Row],[Duration]])=0,Tasks[[#This Row],[_LeafProgress]]&lt;1),Tasks[[#This Row],[_ShownFcstFinish]]+Tasks[[#This Row],[_Row]]/100000,"")</f>
        <v/>
      </c>
      <c r="FO17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73" s="45" t="n">
        <f aca="false">IF(NOT(Tasks[[#This Row],[_IsLeaf]]=1),0,IF(Tasks[[#This Row],[Baseline Cost]]="",Tasks[[#This Row],[_LeafTotalCost]],N(Tasks[[#This Row],[Baseline Cost]])))</f>
        <v>0</v>
      </c>
      <c r="FQ173" s="45" t="n">
        <f aca="false">Tasks[[#This Row],[_LeafBudget]]*Tasks[[#This Row],[_PlannedPct]]</f>
        <v>0</v>
      </c>
      <c r="FR173" s="45" t="n">
        <f aca="false">Tasks[[#This Row],[_LeafBudget]]*Tasks[[#This Row],[_LeafProgress]]</f>
        <v>0</v>
      </c>
      <c r="FS173" s="45" t="n">
        <f aca="false">IF(NOT(Tasks[[#This Row],[_IsLeaf]]=1),0,IF(Tasks[[#This Row],[Actual Cost]]="",Tasks[[#This Row],[_LeafTotalCost]]*Tasks[[#This Row],[_LeafProgress]],N(Tasks[[#This Row],[Actual Cost]])))</f>
        <v>0</v>
      </c>
      <c r="FT173" s="45" t="str">
        <f aca="false">IF(Tasks[[#This Row],[Task Name]]="","",LEFT(Tasks[[#This Row],[WBS]],FIND(".",Tasks[[#This Row],[WBS]]&amp;".")-1))</f>
        <v/>
      </c>
      <c r="FU173" s="45" t="str">
        <f aca="false">IF(AND(Tasks[[#This Row],[Task Name]]&lt;&gt;"",Tasks[[#This Row],[_Level]]=1),Tasks[[#This Row],[_Row]],"")</f>
        <v/>
      </c>
      <c r="FV173" s="45" t="str">
        <f aca="false">IF(AND(Tasks[[#This Row],[_IsLeaf]]=1,N(Tasks[[#This Row],[Duration]])=0),Tasks[[#This Row],[Planned Finish]]+Tasks[[#This Row],[_Row]]/100000,"")</f>
        <v/>
      </c>
      <c r="FW173" s="45" t="str">
        <f aca="false">IF(AND(Tasks[[#This Row],[_IsLeaf]]=1,Tasks[[#This Row],[_LeafProgress]]&lt;1,OR(N(Tasks[[#This Row],[Finish Var]])&gt;0,Tasks[[#This Row],[Status]]="Late Start")),MAX(0,Tasks[[#This Row],[Finish Var]])+1-Tasks[[#This Row],[_Row]]/1000000,"")</f>
        <v/>
      </c>
      <c r="FX173" s="45" t="str">
        <f aca="false">IF(AND(Tasks[[#This Row],[_IsLeaf]]=1,N(Tasks[[#This Row],[Actual Start]])=0,Tasks[[#This Row],[_ShownFcstStart]]&gt;=StatusDate,Tasks[[#This Row],[_ShownFcstStart]]&lt;=LookaheadEnd),Tasks[[#This Row],[_ShownFcstStart]]+Tasks[[#This Row],[_Row]]/100000,"")</f>
        <v/>
      </c>
      <c r="FY173" s="45" t="str">
        <f aca="false">IF(AND(Tasks[[#This Row],[_IsLeaf]]=1,Tasks[[#This Row],[_LeafProgress]]&lt;1,Tasks[[#This Row],[_ShownFcstFinish]]&gt;=StatusDate,Tasks[[#This Row],[_ShownFcstFinish]]&lt;=LookaheadEnd),Tasks[[#This Row],[_ShownFcstFinish]]+Tasks[[#This Row],[_Row]]/100000,"")</f>
        <v/>
      </c>
      <c r="FZ173" s="45" t="str">
        <f aca="false">IF(Tasks[[#This Row],[_LeafCritical]],Tasks[[#This Row],[_ShownFcstStart]]+Tasks[[#This Row],[_Row]]/100000,"")</f>
        <v/>
      </c>
      <c r="GA173" s="45" t="n">
        <f aca="false">Tasks[[#This Row],[_LeafWork]]*Tasks[[#This Row],[_LeafProgress]]</f>
        <v>0</v>
      </c>
      <c r="GB173" s="74" t="str">
        <f aca="false">IF(AND(Tasks[[#This Row],[_IsLeaf]]=1,Tasks[[#This Row],[_LeafProgress]]&gt;=1),IF(N(Tasks[[#This Row],[Actual Finish]])&gt;0,Tasks[[#This Row],[Actual Finish]],Tasks[[#This Row],[_ShownFcstFinish]]),"")</f>
        <v/>
      </c>
    </row>
    <row r="174" customFormat="false" ht="15" hidden="false" customHeight="false" outlineLevel="0" collapsed="false">
      <c r="A174" s="67" t="str">
        <f aca="false">IF(Tasks[[#This Row],[Task Name]]="","",COUNTA(Tasks[[#Headers],[Task Name]]:Tasks[[#This Row],[Task Name]])-1)</f>
        <v/>
      </c>
      <c r="B174" s="21" t="n">
        <v>169</v>
      </c>
      <c r="C17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21"/>
      <c r="E174" s="22"/>
      <c r="F174" s="21"/>
      <c r="G174" s="22"/>
      <c r="H174" s="22"/>
      <c r="I174" s="22"/>
      <c r="J174" s="7"/>
      <c r="K174" s="7"/>
      <c r="L174" s="22"/>
      <c r="M174" s="58" t="str">
        <f aca="false">IF(Tasks[[#This Row],[Task Name]]="","",IF(Tasks[[#This Row],[_IsSummary]],MIN(INDEX(Tasks[_ShownFcstStart],Tasks[[#This Row],[_Row]]+1):INDEX(Tasks[_ShownFcstStart],Tasks[[#This Row],[_Row]]+Tasks[[#This Row],[_Descendants]])),Tasks[[#This Row],[_ShownFcstStart]]))</f>
        <v/>
      </c>
      <c r="N174" s="58" t="str">
        <f aca="false">IF(Tasks[[#This Row],[Task Name]]="","",IF(Tasks[[#This Row],[_IsSummary]],MAX(INDEX(Tasks[_ShownFcstFinish],Tasks[[#This Row],[_Row]]+1):INDEX(Tasks[_ShownFcstFinish],Tasks[[#This Row],[_Row]]+Tasks[[#This Row],[_Descendants]])),Tasks[[#This Row],[_ShownFcstFinish]]))</f>
        <v/>
      </c>
      <c r="O174" s="20" t="str">
        <f aca="false">IF(Tasks[[#This Row],[Task Name]]="","",IF(Tasks[[#This Row],[Progress]]&gt;=1,"Complete",IF(OR(N(Tasks[[#This Row],[Actual Start]])&gt;0,Tasks[[#This Row],[Progress]]&gt;0),IF(Tasks[[#This Row],[Finish Var]]&gt;0,"Behind","In Progress"),IF(Tasks[[#This Row],[Planned Start]]&lt;StatusDate,"Late Start","Not Started"))))</f>
        <v/>
      </c>
      <c r="P174" s="20" t="str">
        <f aca="false">IF(Tasks[[#This Row],[Task Name]]="","",IF(IF(Tasks[[#This Row],[_IsSummary]],COUNTIF(INDEX(Tasks[_LeafCritical],Tasks[[#This Row],[_Row]]+1):INDEX(Tasks[_LeafCritical],Tasks[[#This Row],[_Row]]+Tasks[[#This Row],[_Descendants]]),TRUE())&gt;0,Tasks[[#This Row],[_LeafCritical]]),"Yes",""))</f>
        <v/>
      </c>
      <c r="Q17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74" s="67" t="str">
        <f aca="false">IF(Tasks[[#This Row],[Task Name]]="","",IF(Tasks[[#This Row],[_Level]]&lt;=OutlineShowLevel,"Yes","No"))</f>
        <v/>
      </c>
      <c r="S174" s="7"/>
      <c r="T174" s="21"/>
      <c r="U174" s="22"/>
      <c r="V174" s="7"/>
      <c r="W174" s="67" t="str">
        <f aca="false">IF(Tasks[[#This Row],[Task Name]]="","",IF(Tasks[[#This Row],[Finish]]&gt;=Tasks[[#This Row],[Planned Finish]],NETWORKDAYS.INTL(Tasks[[#This Row],[Planned Finish]],Tasks[[#This Row],[Finish]],WorkWeek,Holidays)-1,1-NETWORKDAYS.INTL(Tasks[[#This Row],[Finish]],Tasks[[#This Row],[Planned Finish]],WorkWeek,Holidays)))</f>
        <v/>
      </c>
      <c r="X174" s="58" t="str">
        <f aca="false">IF(Tasks[[#This Row],[Task Name]]="","",IF(N(Tasks[[#This Row],[Baseline Start]])&gt;0,Tasks[[#This Row],[Baseline Start]],Tasks[[#This Row],[_CalcStart]]))</f>
        <v/>
      </c>
      <c r="Y174" s="58" t="str">
        <f aca="false">IF(Tasks[[#This Row],[Task Name]]="","",IF(N(Tasks[[#This Row],[Baseline Finish]])&gt;0,Tasks[[#This Row],[Baseline Finish]],Tasks[[#This Row],[_CalcFinish]]))</f>
        <v/>
      </c>
      <c r="Z174" s="67" t="str">
        <f aca="false">IF(Tasks[[#This Row],[Task Name]]="","",IF(Tasks[[#This Row],[Start]]&gt;=Tasks[[#This Row],[Planned Start]],NETWORKDAYS.INTL(Tasks[[#This Row],[Planned Start]],Tasks[[#This Row],[Start]],WorkWeek,Holidays)-1,1-NETWORKDAYS.INTL(Tasks[[#This Row],[Start]],Tasks[[#This Row],[Planned Start]],WorkWeek,Holidays)))</f>
        <v/>
      </c>
      <c r="AA174" s="58" t="str">
        <f aca="false">IF(Tasks[[#This Row],[Task Name]]="","",IF(Tasks[[#This Row],[_IsSummary]],MIN(INDEX(Tasks[_LeafLateStart],Tasks[[#This Row],[_Row]]+1):INDEX(Tasks[_LeafLateStart],Tasks[[#This Row],[_Row]]+Tasks[[#This Row],[_Descendants]])),Tasks[[#This Row],[_LeafLateStart]]))</f>
        <v/>
      </c>
      <c r="AB174" s="58" t="str">
        <f aca="false">IF(Tasks[[#This Row],[Task Name]]="","",IF(Tasks[[#This Row],[_IsSummary]],MAX(INDEX(Tasks[_LeafLateFinish],Tasks[[#This Row],[_Row]]+1):INDEX(Tasks[_LeafLateFinish],Tasks[[#This Row],[_Row]]+Tasks[[#This Row],[_Descendants]])),Tasks[[#This Row],[_LeafLateFinish]]))</f>
        <v/>
      </c>
      <c r="AC174" s="67" t="str">
        <f aca="false">IF(Tasks[[#This Row],[Task Name]]="","",IF(Tasks[[#This Row],[_IsSummary]],MIN(INDEX(Tasks[_LeafTotalSlack],Tasks[[#This Row],[_Row]]+1):INDEX(Tasks[_LeafTotalSlack],Tasks[[#This Row],[_Row]]+Tasks[[#This Row],[_Descendants]])),Tasks[[#This Row],[_LeafTotalSlack]]))</f>
        <v/>
      </c>
      <c r="AD17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7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7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74" s="60"/>
      <c r="AH17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7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74" s="69" t="str">
        <f aca="false">IF(Tasks[[#This Row],[Task Name]]="","",IF(Tasks[[#This Row],[_IsSummary]],SUM(INDEX(Tasks[_LeafTotalWork],Tasks[[#This Row],[_Row]]+1):INDEX(Tasks[_LeafTotalWork],Tasks[[#This Row],[_Row]]+Tasks[[#This Row],[_Descendants]])),Tasks[[#This Row],[_LeafTotalWork]]))</f>
        <v/>
      </c>
      <c r="AK17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74" s="70" t="str">
        <f aca="false">IF(Tasks[[#This Row],[Task Name]]="","",IF(Tasks[[#This Row],[_IsSummary]],SUM(INDEX(Tasks[_LeafTotalCost],Tasks[[#This Row],[_Row]]+1):INDEX(Tasks[_LeafTotalCost],Tasks[[#This Row],[_Row]]+Tasks[[#This Row],[_Descendants]])),Tasks[[#This Row],[_LeafTotalCost]]))</f>
        <v/>
      </c>
      <c r="AM174" s="71"/>
      <c r="AN174" s="20" t="str">
        <f aca="false">IF(OR(Tasks[[#This Row],[Task Name]]="",Tasks[[#This Row],[Baseline Duration]]=""),"",Tasks[[#This Row],[BL Source Duration]]-N(Tasks[[#This Row],[Baseline Duration]]))</f>
        <v/>
      </c>
      <c r="AO174" s="69" t="str">
        <f aca="false">IF(OR(Tasks[[#This Row],[Task Name]]="",Tasks[[#This Row],[Baseline Work]]=""),"",Tasks[[#This Row],[Work]]-N(Tasks[[#This Row],[Baseline Work]]))</f>
        <v/>
      </c>
      <c r="AP174" s="70" t="str">
        <f aca="false">IF(OR(Tasks[[#This Row],[Task Name]]="",Tasks[[#This Row],[Baseline Cost]]=""),"",Tasks[[#This Row],[Cost]]-N(Tasks[[#This Row],[Baseline Cost]]))</f>
        <v/>
      </c>
      <c r="AQ174" s="58" t="str">
        <f aca="false">IF(Tasks[[#This Row],[Task Name]]="","",Tasks[[#This Row],[Start]])</f>
        <v/>
      </c>
      <c r="AR174" s="58" t="str">
        <f aca="false">IF(Tasks[[#This Row],[Task Name]]="","",Tasks[[#This Row],[Finish]])</f>
        <v/>
      </c>
      <c r="AS174" s="67" t="str">
        <f aca="false">IF(Tasks[[#This Row],[Task Name]]="","",IF(Tasks[[#This Row],[_IsSummary]],NETWORKDAYS.INTL(Tasks[[#This Row],[Start]],Tasks[[#This Row],[Finish]],WorkWeek,Holidays),N(Tasks[[#This Row],[Duration]])))</f>
        <v/>
      </c>
      <c r="AT174" s="69" t="str">
        <f aca="false">IF(Tasks[[#This Row],[Task Name]]="","",Tasks[[#This Row],[Work]])</f>
        <v/>
      </c>
      <c r="AU174" s="70" t="str">
        <f aca="false">IF(Tasks[[#This Row],[Task Name]]="","",Tasks[[#This Row],[Cost]])</f>
        <v/>
      </c>
      <c r="AV174" s="7"/>
      <c r="AW174" s="7"/>
      <c r="AX174" s="21"/>
      <c r="AY174" s="72"/>
      <c r="AZ174" s="71"/>
      <c r="BA174" s="70" t="str">
        <f aca="false">IF(Tasks[[#This Row],[Task Name]]="","",IF(Tasks[[#This Row],[_IsSummary]],SUM(INDEX(Tasks[_LeafEV],Tasks[[#This Row],[_Row]]+1):INDEX(Tasks[_LeafEV],Tasks[[#This Row],[_Row]]+Tasks[[#This Row],[_Descendants]])),Tasks[[#This Row],[_LeafEV]]))</f>
        <v/>
      </c>
      <c r="BB174" s="70" t="str">
        <f aca="false">IF(Tasks[[#This Row],[Task Name]]="","",IF(Tasks[[#This Row],[_IsSummary]],SUM(INDEX(Tasks[_LeafBudget],Tasks[[#This Row],[_Row]]+1):INDEX(Tasks[_LeafBudget],Tasks[[#This Row],[_Row]]+Tasks[[#This Row],[_Descendants]])),Tasks[[#This Row],[_LeafBudget]]))</f>
        <v/>
      </c>
      <c r="BC174" s="70" t="str">
        <f aca="false">IF(Tasks[[#This Row],[Task Name]]="","",IF(Tasks[[#This Row],[_IsSummary]],SUM(INDEX(Tasks[_LeafPV],Tasks[[#This Row],[_Row]]+1):INDEX(Tasks[_LeafPV],Tasks[[#This Row],[_Row]]+Tasks[[#This Row],[_Descendants]])),Tasks[[#This Row],[_LeafPV]]))</f>
        <v/>
      </c>
      <c r="BD174" s="70" t="str">
        <f aca="false">IF(Tasks[[#This Row],[Task Name]]="","",IF(Tasks[[#This Row],[_IsSummary]],SUM(INDEX(Tasks[_LeafAC],Tasks[[#This Row],[_Row]]+1):INDEX(Tasks[_LeafAC],Tasks[[#This Row],[_Row]]+Tasks[[#This Row],[_Descendants]])),Tasks[[#This Row],[_LeafAC]]))</f>
        <v/>
      </c>
      <c r="BE174" s="45" t="str">
        <f aca="false">IF(Tasks[[#This Row],[Task Name]]="","",MAX(1,N(Tasks[[#This Row],[Level]])))</f>
        <v/>
      </c>
      <c r="BF174" s="45" t="n">
        <f aca="false">ROW()-ROW(Tasks[[#Headers],[ID]])</f>
        <v>169</v>
      </c>
      <c r="BG174" s="45" t="n">
        <f aca="false">IF(OR(Tasks[[#This Row],[Task Name]]="",Tasks[[#This Row],[_Level]]&lt;=1),0,IFERROR(LOOKUP(2,1/(Tasks[[#Headers],[_Level]]:Tasks[[#This Row],[_Level]]=Tasks[[#This Row],[_Level]]-1),ROW(Tasks[[#Headers],[_Level]]:Tasks[[#This Row],[_Level]])),0))</f>
        <v>0</v>
      </c>
      <c r="BH174" s="45" t="n">
        <f aca="false">IFERROR(N(INDEX(Tasks[_Level],Tasks[[#This Row],[_Row]]+1)),0)</f>
        <v>0</v>
      </c>
      <c r="BI174" s="73" t="b">
        <f aca="false">AND(Tasks[[#This Row],[Task Name]]&lt;&gt;"",Tasks[[#This Row],[_NextLevel]]&gt;Tasks[[#This Row],[_Level]])</f>
        <v>0</v>
      </c>
      <c r="BJ174" s="45" t="n">
        <f aca="false">IF(Tasks[[#This Row],[_IsSummary]],COUNTIF(Tasks[WBS],Tasks[[#This Row],[WBS]]&amp;".*"),0)</f>
        <v>0</v>
      </c>
      <c r="BK174" s="45" t="n">
        <f aca="false">IF(AND(Tasks[[#This Row],[Task Name]]&lt;&gt;"",NOT(Tasks[[#This Row],[_IsSummary]])),1,0)</f>
        <v>0</v>
      </c>
      <c r="BL174" s="45" t="n">
        <f aca="false">IF(N(Tasks[[#This Row],[_Pred1UID]])=0,0,IFERROR(MATCH(Tasks[[#This Row],[_Pred1UID]],Tasks[UID],0),-1))</f>
        <v>0</v>
      </c>
      <c r="BM174" s="45" t="n">
        <f aca="false">IF(N(Tasks[[#This Row],[_Pred2UID]])=0,0,IFERROR(MATCH(Tasks[[#This Row],[_Pred2UID]],Tasks[UID],0),-1))</f>
        <v>0</v>
      </c>
      <c r="BN174" s="45" t="n">
        <f aca="false">IF(N(Tasks[[#This Row],[_Pred3UID]])=0,0,IFERROR(MATCH(Tasks[[#This Row],[_Pred3UID]],Tasks[UID],0),-1))</f>
        <v>0</v>
      </c>
      <c r="BO174" s="45" t="n">
        <f aca="false">IF(N(Tasks[[#This Row],[_Pred4UID]])=0,0,IFERROR(MATCH(Tasks[[#This Row],[_Pred4UID]],Tasks[UID],0),-1))</f>
        <v>0</v>
      </c>
      <c r="BP17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7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74" s="74" t="n">
        <f aca="false">IF(OR(Tasks[[#This Row],[_ConstraintCode]]=2,Tasks[[#This Row],[_ConstraintCode]]=3,Tasks[[#This Row],[_ConstraintCode]]=4,Tasks[[#This Row],[_ConstraintCode]]=6),Tasks[[#This Row],[_ConstraintStart]],0)</f>
        <v>0</v>
      </c>
      <c r="BS174" s="74" t="n">
        <f aca="false">IF(OR(Tasks[[#This Row],[_ConstraintCode]]=2,Tasks[[#This Row],[_ConstraintCode]]=3,Tasks[[#This Row],[_ConstraintCode]]=5,Tasks[[#This Row],[_ConstraintCode]]=7),Tasks[[#This Row],[_ConstraintStart]],2958465)</f>
        <v>2958465</v>
      </c>
      <c r="BT17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74" s="74" t="str">
        <f aca="false">IF(NOT(Tasks[[#This Row],[_IsLeaf]]=1),"",IF(N(Tasks[[#This Row],[Duration]])&lt;=0,Tasks[[#This Row],[_LeafCalcStart]],WORKDAY.INTL(Tasks[[#This Row],[_LeafCalcStart]],Tasks[[#This Row],[Duration]]-1,WorkWeek,Holidays)))</f>
        <v/>
      </c>
      <c r="BV17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7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74" s="45" t="str">
        <f aca="false">IF(Tasks[[#This Row],[Predecessors]]="","",TRIM(MID(SUBSTITUTE(SUBSTITUTE(SUBSTITUTE(UPPER(Tasks[[#This Row],[Predecessors]]),";",",")," ",""),",",REPT(" ",99)),1,99)))</f>
        <v/>
      </c>
      <c r="BY174" s="45" t="str">
        <f aca="false">IF(Tasks[[#This Row],[_Pred1Text]]="","",IFERROR(VALUE(LEFT(Tasks[[#This Row],[_Pred1Text]],MIN(FIND("F",Tasks[[#This Row],[_Pred1Text]]&amp;"F"),FIND("S",Tasks[[#This Row],[_Pred1Text]]&amp;"S"),FIND("+",Tasks[[#This Row],[_Pred1Text]]&amp;"+"),FIND("-",Tasks[[#This Row],[_Pred1Text]]&amp;"-"))-1)),""))</f>
        <v/>
      </c>
      <c r="BZ17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7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74" s="45" t="str">
        <f aca="false">IF(Tasks[[#This Row],[_Pred1Text]]="","",TRIM(MID(SUBSTITUTE(SUBSTITUTE(SUBSTITUTE(UPPER(Tasks[[#This Row],[Predecessors]]),";",",")," ",""),",",REPT(" ",99)),100,99)))</f>
        <v/>
      </c>
      <c r="CC174" s="45" t="str">
        <f aca="false">IF(Tasks[[#This Row],[_Pred2Text]]="","",IFERROR(VALUE(LEFT(Tasks[[#This Row],[_Pred2Text]],MIN(FIND("F",Tasks[[#This Row],[_Pred2Text]]&amp;"F"),FIND("S",Tasks[[#This Row],[_Pred2Text]]&amp;"S"),FIND("+",Tasks[[#This Row],[_Pred2Text]]&amp;"+"),FIND("-",Tasks[[#This Row],[_Pred2Text]]&amp;"-"))-1)),""))</f>
        <v/>
      </c>
      <c r="CD17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7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74" s="45" t="str">
        <f aca="false">IF(Tasks[[#This Row],[_Pred2Text]]="","",TRIM(MID(SUBSTITUTE(SUBSTITUTE(SUBSTITUTE(UPPER(Tasks[[#This Row],[Predecessors]]),";",",")," ",""),",",REPT(" ",99)),199,99)))</f>
        <v/>
      </c>
      <c r="CG174" s="45" t="str">
        <f aca="false">IF(Tasks[[#This Row],[_Pred3Text]]="","",IFERROR(VALUE(LEFT(Tasks[[#This Row],[_Pred3Text]],MIN(FIND("F",Tasks[[#This Row],[_Pred3Text]]&amp;"F"),FIND("S",Tasks[[#This Row],[_Pred3Text]]&amp;"S"),FIND("+",Tasks[[#This Row],[_Pred3Text]]&amp;"+"),FIND("-",Tasks[[#This Row],[_Pred3Text]]&amp;"-"))-1)),""))</f>
        <v/>
      </c>
      <c r="CH17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7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74" s="45" t="str">
        <f aca="false">IF(Tasks[[#This Row],[_Pred3Text]]="","",TRIM(MID(SUBSTITUTE(SUBSTITUTE(SUBSTITUTE(UPPER(Tasks[[#This Row],[Predecessors]]),";",",")," ",""),",",REPT(" ",99)),298,99)))</f>
        <v/>
      </c>
      <c r="CK174" s="45" t="str">
        <f aca="false">IF(Tasks[[#This Row],[_Pred4Text]]="","",IFERROR(VALUE(LEFT(Tasks[[#This Row],[_Pred4Text]],MIN(FIND("F",Tasks[[#This Row],[_Pred4Text]]&amp;"F"),FIND("S",Tasks[[#This Row],[_Pred4Text]]&amp;"S"),FIND("+",Tasks[[#This Row],[_Pred4Text]]&amp;"+"),FIND("-",Tasks[[#This Row],[_Pred4Text]]&amp;"-"))-1)),""))</f>
        <v/>
      </c>
      <c r="CL17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7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74" s="45" t="str">
        <f aca="false">IF(OR(Tasks[[#This Row],[Task Name]]="",Tasks[[#This Row],[Resources]]=""),"",TRIM(MID(SUBSTITUTE(Tasks[[#This Row],[Resources]],",",REPT(" ",99)),1,99)))</f>
        <v/>
      </c>
      <c r="CO174" s="45" t="str">
        <f aca="false">IF(Tasks[[#This Row],[_Res1Text]]="","",TRIM(MID(SUBSTITUTE(Tasks[[#This Row],[Resources]],",",REPT(" ",99)),100,99)))</f>
        <v/>
      </c>
      <c r="CP174" s="45" t="str">
        <f aca="false">IF(Tasks[[#This Row],[_Res2Text]]="","",TRIM(MID(SUBSTITUTE(Tasks[[#This Row],[Resources]],",",REPT(" ",99)),199,99)))</f>
        <v/>
      </c>
      <c r="CQ174" s="45" t="str">
        <f aca="false">IF(Tasks[[#This Row],[_Res3Text]]="","",TRIM(MID(SUBSTITUTE(Tasks[[#This Row],[Resources]],",",REPT(" ",99)),298,99)))</f>
        <v/>
      </c>
      <c r="CR17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7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4" s="45" t="n">
        <f aca="false">IF(NOT(Tasks[[#This Row],[_IsLeaf]]=1),0,(Tasks[[#This Row],[_Resource1]]&lt;&gt;"")+(Tasks[[#This Row],[_Res2]]&lt;&gt;"")+(Tasks[[#This Row],[_Res3]]&lt;&gt;"")+(Tasks[[#This Row],[_Res4]]&lt;&gt;""))</f>
        <v>0</v>
      </c>
      <c r="CU17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7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4" s="45" t="n">
        <f aca="false">IF(OR(NOT(Tasks[[#This Row],[_IsLeaf]]=1),Tasks[[#This Row],[_Res2]]=""),0,IF(ISNA(MATCH(Tasks[[#This Row],[_Res2]],res_Name,0)),0,N(Tasks[[#This Row],[Duration]])*HoursPerDay*IF(Tasks[[#This Row],[_Res2Units]]="",DefaultUnits,Tasks[[#This Row],[_Res2Units]])))</f>
        <v>0</v>
      </c>
      <c r="CX174" s="45" t="n">
        <f aca="false">IF(Tasks[[#This Row],[_Res2Work]]=0,0,Tasks[[#This Row],[_Res2Work]]*IFERROR(INDEX(res_Rate,MATCH(Tasks[[#This Row],[_Res2]],res_Name,0)),0))</f>
        <v>0</v>
      </c>
      <c r="CY174" s="45" t="n">
        <f aca="false">IF(AND(AND(Tasks[[#This Row],[_IsLeaf]]=1,Tasks[[#This Row],[_LeafTotalWork]]&gt;0),Tasks[[#This Row],[_Res2Work]]&gt;0),Tasks[[#This Row],[_Res2Work]]/(Tasks[[#This Row],[_FinishWorkday]]-Tasks[[#This Row],[_StartWorkday]]+1),0)</f>
        <v>0</v>
      </c>
      <c r="CZ174" s="45" t="n">
        <f aca="false">Tasks[[#This Row],[_Res2WorkPerWD]]*MAX(0,Tasks[[#This Row],[_StartWorkday]]-1)</f>
        <v>0</v>
      </c>
      <c r="DA174" s="45" t="n">
        <f aca="false">Tasks[[#This Row],[_Res2Work]]*Tasks[[#This Row],[_LeafProgress]]</f>
        <v>0</v>
      </c>
      <c r="DB174" s="45" t="n">
        <f aca="false">IF(Tasks[[#This Row],[_LeafTotalCost]]=0,0,Tasks[[#This Row],[_LeafAC]]*Tasks[[#This Row],[_Res2Cost]]/Tasks[[#This Row],[_LeafTotalCost]])</f>
        <v>0</v>
      </c>
      <c r="DC17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7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74" s="45" t="n">
        <f aca="false">IF(OR(NOT(Tasks[[#This Row],[_IsLeaf]]=1),Tasks[[#This Row],[_Res3]]=""),0,IF(ISNA(MATCH(Tasks[[#This Row],[_Res3]],res_Name,0)),0,N(Tasks[[#This Row],[Duration]])*HoursPerDay*IF(Tasks[[#This Row],[_Res3Units]]="",DefaultUnits,Tasks[[#This Row],[_Res3Units]])))</f>
        <v>0</v>
      </c>
      <c r="DF174" s="45" t="n">
        <f aca="false">IF(Tasks[[#This Row],[_Res3Work]]=0,0,Tasks[[#This Row],[_Res3Work]]*IFERROR(INDEX(res_Rate,MATCH(Tasks[[#This Row],[_Res3]],res_Name,0)),0))</f>
        <v>0</v>
      </c>
      <c r="DG174" s="45" t="n">
        <f aca="false">IF(AND(AND(Tasks[[#This Row],[_IsLeaf]]=1,Tasks[[#This Row],[_LeafTotalWork]]&gt;0),Tasks[[#This Row],[_Res3Work]]&gt;0),Tasks[[#This Row],[_Res3Work]]/(Tasks[[#This Row],[_FinishWorkday]]-Tasks[[#This Row],[_StartWorkday]]+1),0)</f>
        <v>0</v>
      </c>
      <c r="DH174" s="45" t="n">
        <f aca="false">Tasks[[#This Row],[_Res3WorkPerWD]]*MAX(0,Tasks[[#This Row],[_StartWorkday]]-1)</f>
        <v>0</v>
      </c>
      <c r="DI174" s="45" t="n">
        <f aca="false">Tasks[[#This Row],[_Res3Work]]*Tasks[[#This Row],[_LeafProgress]]</f>
        <v>0</v>
      </c>
      <c r="DJ174" s="45" t="n">
        <f aca="false">IF(Tasks[[#This Row],[_LeafTotalCost]]=0,0,Tasks[[#This Row],[_LeafAC]]*Tasks[[#This Row],[_Res3Cost]]/Tasks[[#This Row],[_LeafTotalCost]])</f>
        <v>0</v>
      </c>
      <c r="DK17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7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74" s="45" t="n">
        <f aca="false">IF(OR(NOT(Tasks[[#This Row],[_IsLeaf]]=1),Tasks[[#This Row],[_Res4]]=""),0,IF(ISNA(MATCH(Tasks[[#This Row],[_Res4]],res_Name,0)),0,N(Tasks[[#This Row],[Duration]])*HoursPerDay*IF(Tasks[[#This Row],[_Res4Units]]="",DefaultUnits,Tasks[[#This Row],[_Res4Units]])))</f>
        <v>0</v>
      </c>
      <c r="DN174" s="45" t="n">
        <f aca="false">IF(Tasks[[#This Row],[_Res4Work]]=0,0,Tasks[[#This Row],[_Res4Work]]*IFERROR(INDEX(res_Rate,MATCH(Tasks[[#This Row],[_Res4]],res_Name,0)),0))</f>
        <v>0</v>
      </c>
      <c r="DO174" s="45" t="n">
        <f aca="false">IF(AND(AND(Tasks[[#This Row],[_IsLeaf]]=1,Tasks[[#This Row],[_LeafTotalWork]]&gt;0),Tasks[[#This Row],[_Res4Work]]&gt;0),Tasks[[#This Row],[_Res4Work]]/(Tasks[[#This Row],[_FinishWorkday]]-Tasks[[#This Row],[_StartWorkday]]+1),0)</f>
        <v>0</v>
      </c>
      <c r="DP174" s="45" t="n">
        <f aca="false">Tasks[[#This Row],[_Res4WorkPerWD]]*MAX(0,Tasks[[#This Row],[_StartWorkday]]-1)</f>
        <v>0</v>
      </c>
      <c r="DQ174" s="45" t="n">
        <f aca="false">Tasks[[#This Row],[_Res4Work]]*Tasks[[#This Row],[_LeafProgress]]</f>
        <v>0</v>
      </c>
      <c r="DR174" s="45" t="n">
        <f aca="false">IF(Tasks[[#This Row],[_LeafTotalCost]]=0,0,Tasks[[#This Row],[_LeafAC]]*Tasks[[#This Row],[_Res4Cost]]/Tasks[[#This Row],[_LeafTotalCost]])</f>
        <v>0</v>
      </c>
      <c r="DS174" s="45" t="n">
        <f aca="false">IF(ISNUMBER(Tasks[[#This Row],[% Complete]]),Tasks[[#This Row],[% Complete]],IF(Tasks[[#This Row],[Stage]]="",0,IFERROR(INDEX(stg_Pct,MATCH(Tasks[[#This Row],[Stage]],stg_Name,0)),0)))</f>
        <v>0</v>
      </c>
      <c r="DT174" s="45" t="n">
        <f aca="false">IF(NOT(Tasks[[#This Row],[_IsLeaf]]=1),0,IF(N(Tasks[[#This Row],[Actual Finish]])&gt;0,1,MIN(1,Tasks[[#This Row],[_Pct]])))</f>
        <v>0</v>
      </c>
      <c r="DU174" s="45" t="n">
        <f aca="false">IF(OR(NOT(Tasks[[#This Row],[_IsLeaf]]=1),Tasks[[#This Row],[_Resource1]]=""),0,IF(ISNA(MATCH(Tasks[[#This Row],[_Resource1]],res_Name,0)),0,N(Tasks[[#This Row],[Duration]])*HoursPerDay*IF(Tasks[[#This Row],[_Units1]]="",DefaultUnits,Tasks[[#This Row],[_Units1]])))</f>
        <v>0</v>
      </c>
      <c r="DV174" s="45" t="n">
        <f aca="false">IF(Tasks[[#This Row],[_LeafWork]]=0,0,Tasks[[#This Row],[_LeafWork]]*IFERROR(INDEX(res_Rate,MATCH(Tasks[[#This Row],[_Resource1]],res_Name,0)),0))</f>
        <v>0</v>
      </c>
      <c r="DW174" s="45" t="n">
        <f aca="false">Tasks[[#This Row],[_LeafWork]]+Tasks[[#This Row],[_Res2Work]]+Tasks[[#This Row],[_Res3Work]]+Tasks[[#This Row],[_Res4Work]]</f>
        <v>0</v>
      </c>
      <c r="DX174" s="45" t="n">
        <f aca="false">Tasks[[#This Row],[_LeafCost]]+Tasks[[#This Row],[_Res2Cost]]+Tasks[[#This Row],[_Res3Cost]]+Tasks[[#This Row],[_Res4Cost]]</f>
        <v>0</v>
      </c>
      <c r="DY174" s="45" t="n">
        <f aca="false">IF(Tasks[[#This Row],[_LeafTotalCost]]=0,Tasks[[#This Row],[_LeafAC]],Tasks[[#This Row],[_LeafAC]]*Tasks[[#This Row],[_LeafCost]]/Tasks[[#This Row],[_LeafTotalCost]])</f>
        <v>0</v>
      </c>
      <c r="DZ17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7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7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7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7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7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7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7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74" s="45" t="n">
        <f aca="false">IF(NOT(Tasks[[#This Row],[_IsLeaf]]=1),0,MAX(_xlfn.MAXIFS(Tasks[_Row],Tasks[_Pred1UID],Tasks[[#This Row],[UID]]),_xlfn.MAXIFS(Tasks[_Row],Tasks[_Pred2UID],Tasks[[#This Row],[UID]]),_xlfn.MAXIFS(Tasks[_Row],Tasks[_Pred3UID],Tasks[[#This Row],[UID]]),_xlfn.MAXIFS(Tasks[_Row],Tasks[_Pred4UID],Tasks[[#This Row],[UID]])))</f>
        <v>0</v>
      </c>
      <c r="EI17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7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74" s="74" t="str">
        <f aca="false">IF(NOT(Tasks[[#This Row],[_IsLeaf]]=1),"",IF(N(Tasks[[#This Row],[Duration]])&lt;=0,Tasks[[#This Row],[_LeafLateFinish]],WORKDAY.INTL(Tasks[[#This Row],[_LeafLateFinish]],-(Tasks[[#This Row],[Duration]]-1),WorkWeek,Holidays)))</f>
        <v/>
      </c>
      <c r="EL17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74" s="73" t="b">
        <f aca="false">AND(Tasks[[#This Row],[_IsLeaf]]=1,Tasks[[#This Row],[_LeafProgress]]&lt;1,N(Tasks[[#This Row],[_LeafTotalSlack]])&lt;=CriticalSlackDays)</f>
        <v>0</v>
      </c>
      <c r="EN174" s="45" t="n">
        <f aca="false">IF(AND(Tasks[[#This Row],[_IsLeaf]]=1,Tasks[[#This Row],[_ConstraintCode]]=1,Tasks[[#This Row],[Mode]]&lt;&gt;"Manual",N(Tasks[[#This Row],[Actual Start]])=0),MAX(0,N(Tasks[[#This Row],[Free Slack]])),0)</f>
        <v>0</v>
      </c>
      <c r="EO174" s="74" t="str">
        <f aca="false">IF(NOT(Tasks[[#This Row],[_IsLeaf]]=1),"",IF(Tasks[[#This Row],[_AlapShift]]=0,Tasks[[#This Row],[_LeafCalcStart]],WORKDAY.INTL(Tasks[[#This Row],[_LeafCalcStart]],Tasks[[#This Row],[_AlapShift]],WorkWeek,Holidays)))</f>
        <v/>
      </c>
      <c r="EP174" s="74" t="str">
        <f aca="false">IF(NOT(Tasks[[#This Row],[_IsLeaf]]=1),"",IF(Tasks[[#This Row],[_AlapShift]]=0,Tasks[[#This Row],[_LeafCalcFinish]],WORKDAY.INTL(Tasks[[#This Row],[_LeafCalcFinish]],Tasks[[#This Row],[_AlapShift]],WorkWeek,Holidays)))</f>
        <v/>
      </c>
      <c r="EQ174" s="74" t="str">
        <f aca="false">IF(NOT(Tasks[[#This Row],[_IsLeaf]]=1),"",IF(Tasks[[#This Row],[_AlapShift]]=0,Tasks[[#This Row],[_LeafFcstStart]],WORKDAY.INTL(Tasks[[#This Row],[_LeafFcstStart]],Tasks[[#This Row],[_AlapShift]],WorkWeek,Holidays)))</f>
        <v/>
      </c>
      <c r="ER174" s="74" t="str">
        <f aca="false">IF(NOT(Tasks[[#This Row],[_IsLeaf]]=1),"",IF(Tasks[[#This Row],[_AlapShift]]=0,Tasks[[#This Row],[_LeafFcstFinish]],WORKDAY.INTL(Tasks[[#This Row],[_LeafFcstFinish]],Tasks[[#This Row],[_AlapShift]],WorkWeek,Holidays)))</f>
        <v/>
      </c>
      <c r="ES174" s="74" t="str">
        <f aca="false">IF(Tasks[[#This Row],[Task Name]]="","",IF(Tasks[[#This Row],[_IsSummary]],MIN(INDEX(Tasks[_ShownCalcStart],Tasks[[#This Row],[_Row]]+1):INDEX(Tasks[_ShownCalcStart],Tasks[[#This Row],[_Row]]+Tasks[[#This Row],[_Descendants]])),Tasks[[#This Row],[_ShownCalcStart]]))</f>
        <v/>
      </c>
      <c r="ET174" s="74" t="str">
        <f aca="false">IF(Tasks[[#This Row],[Task Name]]="","",IF(Tasks[[#This Row],[_IsSummary]],MAX(INDEX(Tasks[_ShownCalcFinish],Tasks[[#This Row],[_Row]]+1):INDEX(Tasks[_ShownCalcFinish],Tasks[[#This Row],[_Row]]+Tasks[[#This Row],[_Descendants]])),Tasks[[#This Row],[_ShownCalcFinish]]))</f>
        <v/>
      </c>
      <c r="EU17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7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7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7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7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7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7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7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7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7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7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7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74" s="45" t="n">
        <f aca="false">IF(AND(Tasks[[#This Row],[_IsLeaf]]=1,Tasks[[#This Row],[_LeafTotalWork]]&gt;0),NETWORKDAYS.INTL(ProjectStart,Tasks[[#This Row],[_ShownFcstStart]],WorkWeek,Holidays),0)</f>
        <v>0</v>
      </c>
      <c r="FH174" s="45" t="n">
        <f aca="false">IF(AND(Tasks[[#This Row],[_IsLeaf]]=1,Tasks[[#This Row],[_LeafTotalWork]]&gt;0),MAX(Tasks[[#This Row],[_StartWorkday]],NETWORKDAYS.INTL(ProjectStart,Tasks[[#This Row],[_ShownFcstFinish]],WorkWeek,Holidays)),0)</f>
        <v>0</v>
      </c>
      <c r="FI174" s="45" t="n">
        <f aca="false">IF(AND(Tasks[[#This Row],[_IsLeaf]]=1,Tasks[[#This Row],[_LeafTotalWork]]&gt;0),Tasks[[#This Row],[_LeafWork]]/(Tasks[[#This Row],[_FinishWorkday]]-Tasks[[#This Row],[_StartWorkday]]+1),0)</f>
        <v>0</v>
      </c>
      <c r="FJ174" s="45" t="n">
        <f aca="false">Tasks[[#This Row],[_WorkPerWorkday]]*(Tasks[[#This Row],[_StartWorkday]]-1)</f>
        <v>-0</v>
      </c>
      <c r="FK174" s="45" t="n">
        <f aca="false">IF(Tasks[[#This Row],[_IsLeaf]]=1,MAX(N(Tasks[[#This Row],[Duration]]),0.1),0)</f>
        <v>0</v>
      </c>
      <c r="FL174" s="45" t="n">
        <f aca="false">Tasks[[#This Row],[_WeightDur]]*Tasks[[#This Row],[_LeafProgress]]</f>
        <v>0</v>
      </c>
      <c r="FM17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74" s="45" t="str">
        <f aca="false">IF(AND(Tasks[[#This Row],[_IsLeaf]]=1,N(Tasks[[#This Row],[Duration]])=0,Tasks[[#This Row],[_LeafProgress]]&lt;1),Tasks[[#This Row],[_ShownFcstFinish]]+Tasks[[#This Row],[_Row]]/100000,"")</f>
        <v/>
      </c>
      <c r="FO17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74" s="45" t="n">
        <f aca="false">IF(NOT(Tasks[[#This Row],[_IsLeaf]]=1),0,IF(Tasks[[#This Row],[Baseline Cost]]="",Tasks[[#This Row],[_LeafTotalCost]],N(Tasks[[#This Row],[Baseline Cost]])))</f>
        <v>0</v>
      </c>
      <c r="FQ174" s="45" t="n">
        <f aca="false">Tasks[[#This Row],[_LeafBudget]]*Tasks[[#This Row],[_PlannedPct]]</f>
        <v>0</v>
      </c>
      <c r="FR174" s="45" t="n">
        <f aca="false">Tasks[[#This Row],[_LeafBudget]]*Tasks[[#This Row],[_LeafProgress]]</f>
        <v>0</v>
      </c>
      <c r="FS174" s="45" t="n">
        <f aca="false">IF(NOT(Tasks[[#This Row],[_IsLeaf]]=1),0,IF(Tasks[[#This Row],[Actual Cost]]="",Tasks[[#This Row],[_LeafTotalCost]]*Tasks[[#This Row],[_LeafProgress]],N(Tasks[[#This Row],[Actual Cost]])))</f>
        <v>0</v>
      </c>
      <c r="FT174" s="45" t="str">
        <f aca="false">IF(Tasks[[#This Row],[Task Name]]="","",LEFT(Tasks[[#This Row],[WBS]],FIND(".",Tasks[[#This Row],[WBS]]&amp;".")-1))</f>
        <v/>
      </c>
      <c r="FU174" s="45" t="str">
        <f aca="false">IF(AND(Tasks[[#This Row],[Task Name]]&lt;&gt;"",Tasks[[#This Row],[_Level]]=1),Tasks[[#This Row],[_Row]],"")</f>
        <v/>
      </c>
      <c r="FV174" s="45" t="str">
        <f aca="false">IF(AND(Tasks[[#This Row],[_IsLeaf]]=1,N(Tasks[[#This Row],[Duration]])=0),Tasks[[#This Row],[Planned Finish]]+Tasks[[#This Row],[_Row]]/100000,"")</f>
        <v/>
      </c>
      <c r="FW174" s="45" t="str">
        <f aca="false">IF(AND(Tasks[[#This Row],[_IsLeaf]]=1,Tasks[[#This Row],[_LeafProgress]]&lt;1,OR(N(Tasks[[#This Row],[Finish Var]])&gt;0,Tasks[[#This Row],[Status]]="Late Start")),MAX(0,Tasks[[#This Row],[Finish Var]])+1-Tasks[[#This Row],[_Row]]/1000000,"")</f>
        <v/>
      </c>
      <c r="FX174" s="45" t="str">
        <f aca="false">IF(AND(Tasks[[#This Row],[_IsLeaf]]=1,N(Tasks[[#This Row],[Actual Start]])=0,Tasks[[#This Row],[_ShownFcstStart]]&gt;=StatusDate,Tasks[[#This Row],[_ShownFcstStart]]&lt;=LookaheadEnd),Tasks[[#This Row],[_ShownFcstStart]]+Tasks[[#This Row],[_Row]]/100000,"")</f>
        <v/>
      </c>
      <c r="FY174" s="45" t="str">
        <f aca="false">IF(AND(Tasks[[#This Row],[_IsLeaf]]=1,Tasks[[#This Row],[_LeafProgress]]&lt;1,Tasks[[#This Row],[_ShownFcstFinish]]&gt;=StatusDate,Tasks[[#This Row],[_ShownFcstFinish]]&lt;=LookaheadEnd),Tasks[[#This Row],[_ShownFcstFinish]]+Tasks[[#This Row],[_Row]]/100000,"")</f>
        <v/>
      </c>
      <c r="FZ174" s="45" t="str">
        <f aca="false">IF(Tasks[[#This Row],[_LeafCritical]],Tasks[[#This Row],[_ShownFcstStart]]+Tasks[[#This Row],[_Row]]/100000,"")</f>
        <v/>
      </c>
      <c r="GA174" s="45" t="n">
        <f aca="false">Tasks[[#This Row],[_LeafWork]]*Tasks[[#This Row],[_LeafProgress]]</f>
        <v>0</v>
      </c>
      <c r="GB174" s="74" t="str">
        <f aca="false">IF(AND(Tasks[[#This Row],[_IsLeaf]]=1,Tasks[[#This Row],[_LeafProgress]]&gt;=1),IF(N(Tasks[[#This Row],[Actual Finish]])&gt;0,Tasks[[#This Row],[Actual Finish]],Tasks[[#This Row],[_ShownFcstFinish]]),"")</f>
        <v/>
      </c>
    </row>
    <row r="175" customFormat="false" ht="15" hidden="false" customHeight="false" outlineLevel="0" collapsed="false">
      <c r="A175" s="67" t="str">
        <f aca="false">IF(Tasks[[#This Row],[Task Name]]="","",COUNTA(Tasks[[#Headers],[Task Name]]:Tasks[[#This Row],[Task Name]])-1)</f>
        <v/>
      </c>
      <c r="B175" s="21" t="n">
        <v>170</v>
      </c>
      <c r="C17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21"/>
      <c r="E175" s="22"/>
      <c r="F175" s="21"/>
      <c r="G175" s="22"/>
      <c r="H175" s="22"/>
      <c r="I175" s="22"/>
      <c r="J175" s="7"/>
      <c r="K175" s="7"/>
      <c r="L175" s="22"/>
      <c r="M175" s="58" t="str">
        <f aca="false">IF(Tasks[[#This Row],[Task Name]]="","",IF(Tasks[[#This Row],[_IsSummary]],MIN(INDEX(Tasks[_ShownFcstStart],Tasks[[#This Row],[_Row]]+1):INDEX(Tasks[_ShownFcstStart],Tasks[[#This Row],[_Row]]+Tasks[[#This Row],[_Descendants]])),Tasks[[#This Row],[_ShownFcstStart]]))</f>
        <v/>
      </c>
      <c r="N175" s="58" t="str">
        <f aca="false">IF(Tasks[[#This Row],[Task Name]]="","",IF(Tasks[[#This Row],[_IsSummary]],MAX(INDEX(Tasks[_ShownFcstFinish],Tasks[[#This Row],[_Row]]+1):INDEX(Tasks[_ShownFcstFinish],Tasks[[#This Row],[_Row]]+Tasks[[#This Row],[_Descendants]])),Tasks[[#This Row],[_ShownFcstFinish]]))</f>
        <v/>
      </c>
      <c r="O175" s="20" t="str">
        <f aca="false">IF(Tasks[[#This Row],[Task Name]]="","",IF(Tasks[[#This Row],[Progress]]&gt;=1,"Complete",IF(OR(N(Tasks[[#This Row],[Actual Start]])&gt;0,Tasks[[#This Row],[Progress]]&gt;0),IF(Tasks[[#This Row],[Finish Var]]&gt;0,"Behind","In Progress"),IF(Tasks[[#This Row],[Planned Start]]&lt;StatusDate,"Late Start","Not Started"))))</f>
        <v/>
      </c>
      <c r="P175" s="20" t="str">
        <f aca="false">IF(Tasks[[#This Row],[Task Name]]="","",IF(IF(Tasks[[#This Row],[_IsSummary]],COUNTIF(INDEX(Tasks[_LeafCritical],Tasks[[#This Row],[_Row]]+1):INDEX(Tasks[_LeafCritical],Tasks[[#This Row],[_Row]]+Tasks[[#This Row],[_Descendants]]),TRUE())&gt;0,Tasks[[#This Row],[_LeafCritical]]),"Yes",""))</f>
        <v/>
      </c>
      <c r="Q17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75" s="67" t="str">
        <f aca="false">IF(Tasks[[#This Row],[Task Name]]="","",IF(Tasks[[#This Row],[_Level]]&lt;=OutlineShowLevel,"Yes","No"))</f>
        <v/>
      </c>
      <c r="S175" s="7"/>
      <c r="T175" s="21"/>
      <c r="U175" s="22"/>
      <c r="V175" s="7"/>
      <c r="W175" s="67" t="str">
        <f aca="false">IF(Tasks[[#This Row],[Task Name]]="","",IF(Tasks[[#This Row],[Finish]]&gt;=Tasks[[#This Row],[Planned Finish]],NETWORKDAYS.INTL(Tasks[[#This Row],[Planned Finish]],Tasks[[#This Row],[Finish]],WorkWeek,Holidays)-1,1-NETWORKDAYS.INTL(Tasks[[#This Row],[Finish]],Tasks[[#This Row],[Planned Finish]],WorkWeek,Holidays)))</f>
        <v/>
      </c>
      <c r="X175" s="58" t="str">
        <f aca="false">IF(Tasks[[#This Row],[Task Name]]="","",IF(N(Tasks[[#This Row],[Baseline Start]])&gt;0,Tasks[[#This Row],[Baseline Start]],Tasks[[#This Row],[_CalcStart]]))</f>
        <v/>
      </c>
      <c r="Y175" s="58" t="str">
        <f aca="false">IF(Tasks[[#This Row],[Task Name]]="","",IF(N(Tasks[[#This Row],[Baseline Finish]])&gt;0,Tasks[[#This Row],[Baseline Finish]],Tasks[[#This Row],[_CalcFinish]]))</f>
        <v/>
      </c>
      <c r="Z175" s="67" t="str">
        <f aca="false">IF(Tasks[[#This Row],[Task Name]]="","",IF(Tasks[[#This Row],[Start]]&gt;=Tasks[[#This Row],[Planned Start]],NETWORKDAYS.INTL(Tasks[[#This Row],[Planned Start]],Tasks[[#This Row],[Start]],WorkWeek,Holidays)-1,1-NETWORKDAYS.INTL(Tasks[[#This Row],[Start]],Tasks[[#This Row],[Planned Start]],WorkWeek,Holidays)))</f>
        <v/>
      </c>
      <c r="AA175" s="58" t="str">
        <f aca="false">IF(Tasks[[#This Row],[Task Name]]="","",IF(Tasks[[#This Row],[_IsSummary]],MIN(INDEX(Tasks[_LeafLateStart],Tasks[[#This Row],[_Row]]+1):INDEX(Tasks[_LeafLateStart],Tasks[[#This Row],[_Row]]+Tasks[[#This Row],[_Descendants]])),Tasks[[#This Row],[_LeafLateStart]]))</f>
        <v/>
      </c>
      <c r="AB175" s="58" t="str">
        <f aca="false">IF(Tasks[[#This Row],[Task Name]]="","",IF(Tasks[[#This Row],[_IsSummary]],MAX(INDEX(Tasks[_LeafLateFinish],Tasks[[#This Row],[_Row]]+1):INDEX(Tasks[_LeafLateFinish],Tasks[[#This Row],[_Row]]+Tasks[[#This Row],[_Descendants]])),Tasks[[#This Row],[_LeafLateFinish]]))</f>
        <v/>
      </c>
      <c r="AC175" s="67" t="str">
        <f aca="false">IF(Tasks[[#This Row],[Task Name]]="","",IF(Tasks[[#This Row],[_IsSummary]],MIN(INDEX(Tasks[_LeafTotalSlack],Tasks[[#This Row],[_Row]]+1):INDEX(Tasks[_LeafTotalSlack],Tasks[[#This Row],[_Row]]+Tasks[[#This Row],[_Descendants]])),Tasks[[#This Row],[_LeafTotalSlack]]))</f>
        <v/>
      </c>
      <c r="AD17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7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7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75" s="60"/>
      <c r="AH17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7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75" s="69" t="str">
        <f aca="false">IF(Tasks[[#This Row],[Task Name]]="","",IF(Tasks[[#This Row],[_IsSummary]],SUM(INDEX(Tasks[_LeafTotalWork],Tasks[[#This Row],[_Row]]+1):INDEX(Tasks[_LeafTotalWork],Tasks[[#This Row],[_Row]]+Tasks[[#This Row],[_Descendants]])),Tasks[[#This Row],[_LeafTotalWork]]))</f>
        <v/>
      </c>
      <c r="AK17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75" s="70" t="str">
        <f aca="false">IF(Tasks[[#This Row],[Task Name]]="","",IF(Tasks[[#This Row],[_IsSummary]],SUM(INDEX(Tasks[_LeafTotalCost],Tasks[[#This Row],[_Row]]+1):INDEX(Tasks[_LeafTotalCost],Tasks[[#This Row],[_Row]]+Tasks[[#This Row],[_Descendants]])),Tasks[[#This Row],[_LeafTotalCost]]))</f>
        <v/>
      </c>
      <c r="AM175" s="71"/>
      <c r="AN175" s="20" t="str">
        <f aca="false">IF(OR(Tasks[[#This Row],[Task Name]]="",Tasks[[#This Row],[Baseline Duration]]=""),"",Tasks[[#This Row],[BL Source Duration]]-N(Tasks[[#This Row],[Baseline Duration]]))</f>
        <v/>
      </c>
      <c r="AO175" s="69" t="str">
        <f aca="false">IF(OR(Tasks[[#This Row],[Task Name]]="",Tasks[[#This Row],[Baseline Work]]=""),"",Tasks[[#This Row],[Work]]-N(Tasks[[#This Row],[Baseline Work]]))</f>
        <v/>
      </c>
      <c r="AP175" s="70" t="str">
        <f aca="false">IF(OR(Tasks[[#This Row],[Task Name]]="",Tasks[[#This Row],[Baseline Cost]]=""),"",Tasks[[#This Row],[Cost]]-N(Tasks[[#This Row],[Baseline Cost]]))</f>
        <v/>
      </c>
      <c r="AQ175" s="58" t="str">
        <f aca="false">IF(Tasks[[#This Row],[Task Name]]="","",Tasks[[#This Row],[Start]])</f>
        <v/>
      </c>
      <c r="AR175" s="58" t="str">
        <f aca="false">IF(Tasks[[#This Row],[Task Name]]="","",Tasks[[#This Row],[Finish]])</f>
        <v/>
      </c>
      <c r="AS175" s="67" t="str">
        <f aca="false">IF(Tasks[[#This Row],[Task Name]]="","",IF(Tasks[[#This Row],[_IsSummary]],NETWORKDAYS.INTL(Tasks[[#This Row],[Start]],Tasks[[#This Row],[Finish]],WorkWeek,Holidays),N(Tasks[[#This Row],[Duration]])))</f>
        <v/>
      </c>
      <c r="AT175" s="69" t="str">
        <f aca="false">IF(Tasks[[#This Row],[Task Name]]="","",Tasks[[#This Row],[Work]])</f>
        <v/>
      </c>
      <c r="AU175" s="70" t="str">
        <f aca="false">IF(Tasks[[#This Row],[Task Name]]="","",Tasks[[#This Row],[Cost]])</f>
        <v/>
      </c>
      <c r="AV175" s="7"/>
      <c r="AW175" s="7"/>
      <c r="AX175" s="21"/>
      <c r="AY175" s="72"/>
      <c r="AZ175" s="71"/>
      <c r="BA175" s="70" t="str">
        <f aca="false">IF(Tasks[[#This Row],[Task Name]]="","",IF(Tasks[[#This Row],[_IsSummary]],SUM(INDEX(Tasks[_LeafEV],Tasks[[#This Row],[_Row]]+1):INDEX(Tasks[_LeafEV],Tasks[[#This Row],[_Row]]+Tasks[[#This Row],[_Descendants]])),Tasks[[#This Row],[_LeafEV]]))</f>
        <v/>
      </c>
      <c r="BB175" s="70" t="str">
        <f aca="false">IF(Tasks[[#This Row],[Task Name]]="","",IF(Tasks[[#This Row],[_IsSummary]],SUM(INDEX(Tasks[_LeafBudget],Tasks[[#This Row],[_Row]]+1):INDEX(Tasks[_LeafBudget],Tasks[[#This Row],[_Row]]+Tasks[[#This Row],[_Descendants]])),Tasks[[#This Row],[_LeafBudget]]))</f>
        <v/>
      </c>
      <c r="BC175" s="70" t="str">
        <f aca="false">IF(Tasks[[#This Row],[Task Name]]="","",IF(Tasks[[#This Row],[_IsSummary]],SUM(INDEX(Tasks[_LeafPV],Tasks[[#This Row],[_Row]]+1):INDEX(Tasks[_LeafPV],Tasks[[#This Row],[_Row]]+Tasks[[#This Row],[_Descendants]])),Tasks[[#This Row],[_LeafPV]]))</f>
        <v/>
      </c>
      <c r="BD175" s="70" t="str">
        <f aca="false">IF(Tasks[[#This Row],[Task Name]]="","",IF(Tasks[[#This Row],[_IsSummary]],SUM(INDEX(Tasks[_LeafAC],Tasks[[#This Row],[_Row]]+1):INDEX(Tasks[_LeafAC],Tasks[[#This Row],[_Row]]+Tasks[[#This Row],[_Descendants]])),Tasks[[#This Row],[_LeafAC]]))</f>
        <v/>
      </c>
      <c r="BE175" s="45" t="str">
        <f aca="false">IF(Tasks[[#This Row],[Task Name]]="","",MAX(1,N(Tasks[[#This Row],[Level]])))</f>
        <v/>
      </c>
      <c r="BF175" s="45" t="n">
        <f aca="false">ROW()-ROW(Tasks[[#Headers],[ID]])</f>
        <v>170</v>
      </c>
      <c r="BG175" s="45" t="n">
        <f aca="false">IF(OR(Tasks[[#This Row],[Task Name]]="",Tasks[[#This Row],[_Level]]&lt;=1),0,IFERROR(LOOKUP(2,1/(Tasks[[#Headers],[_Level]]:Tasks[[#This Row],[_Level]]=Tasks[[#This Row],[_Level]]-1),ROW(Tasks[[#Headers],[_Level]]:Tasks[[#This Row],[_Level]])),0))</f>
        <v>0</v>
      </c>
      <c r="BH175" s="45" t="n">
        <f aca="false">IFERROR(N(INDEX(Tasks[_Level],Tasks[[#This Row],[_Row]]+1)),0)</f>
        <v>0</v>
      </c>
      <c r="BI175" s="73" t="b">
        <f aca="false">AND(Tasks[[#This Row],[Task Name]]&lt;&gt;"",Tasks[[#This Row],[_NextLevel]]&gt;Tasks[[#This Row],[_Level]])</f>
        <v>0</v>
      </c>
      <c r="BJ175" s="45" t="n">
        <f aca="false">IF(Tasks[[#This Row],[_IsSummary]],COUNTIF(Tasks[WBS],Tasks[[#This Row],[WBS]]&amp;".*"),0)</f>
        <v>0</v>
      </c>
      <c r="BK175" s="45" t="n">
        <f aca="false">IF(AND(Tasks[[#This Row],[Task Name]]&lt;&gt;"",NOT(Tasks[[#This Row],[_IsSummary]])),1,0)</f>
        <v>0</v>
      </c>
      <c r="BL175" s="45" t="n">
        <f aca="false">IF(N(Tasks[[#This Row],[_Pred1UID]])=0,0,IFERROR(MATCH(Tasks[[#This Row],[_Pred1UID]],Tasks[UID],0),-1))</f>
        <v>0</v>
      </c>
      <c r="BM175" s="45" t="n">
        <f aca="false">IF(N(Tasks[[#This Row],[_Pred2UID]])=0,0,IFERROR(MATCH(Tasks[[#This Row],[_Pred2UID]],Tasks[UID],0),-1))</f>
        <v>0</v>
      </c>
      <c r="BN175" s="45" t="n">
        <f aca="false">IF(N(Tasks[[#This Row],[_Pred3UID]])=0,0,IFERROR(MATCH(Tasks[[#This Row],[_Pred3UID]],Tasks[UID],0),-1))</f>
        <v>0</v>
      </c>
      <c r="BO175" s="45" t="n">
        <f aca="false">IF(N(Tasks[[#This Row],[_Pred4UID]])=0,0,IFERROR(MATCH(Tasks[[#This Row],[_Pred4UID]],Tasks[UID],0),-1))</f>
        <v>0</v>
      </c>
      <c r="BP17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7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75" s="74" t="n">
        <f aca="false">IF(OR(Tasks[[#This Row],[_ConstraintCode]]=2,Tasks[[#This Row],[_ConstraintCode]]=3,Tasks[[#This Row],[_ConstraintCode]]=4,Tasks[[#This Row],[_ConstraintCode]]=6),Tasks[[#This Row],[_ConstraintStart]],0)</f>
        <v>0</v>
      </c>
      <c r="BS175" s="74" t="n">
        <f aca="false">IF(OR(Tasks[[#This Row],[_ConstraintCode]]=2,Tasks[[#This Row],[_ConstraintCode]]=3,Tasks[[#This Row],[_ConstraintCode]]=5,Tasks[[#This Row],[_ConstraintCode]]=7),Tasks[[#This Row],[_ConstraintStart]],2958465)</f>
        <v>2958465</v>
      </c>
      <c r="BT17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75" s="74" t="str">
        <f aca="false">IF(NOT(Tasks[[#This Row],[_IsLeaf]]=1),"",IF(N(Tasks[[#This Row],[Duration]])&lt;=0,Tasks[[#This Row],[_LeafCalcStart]],WORKDAY.INTL(Tasks[[#This Row],[_LeafCalcStart]],Tasks[[#This Row],[Duration]]-1,WorkWeek,Holidays)))</f>
        <v/>
      </c>
      <c r="BV17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7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75" s="45" t="str">
        <f aca="false">IF(Tasks[[#This Row],[Predecessors]]="","",TRIM(MID(SUBSTITUTE(SUBSTITUTE(SUBSTITUTE(UPPER(Tasks[[#This Row],[Predecessors]]),";",",")," ",""),",",REPT(" ",99)),1,99)))</f>
        <v/>
      </c>
      <c r="BY175" s="45" t="str">
        <f aca="false">IF(Tasks[[#This Row],[_Pred1Text]]="","",IFERROR(VALUE(LEFT(Tasks[[#This Row],[_Pred1Text]],MIN(FIND("F",Tasks[[#This Row],[_Pred1Text]]&amp;"F"),FIND("S",Tasks[[#This Row],[_Pred1Text]]&amp;"S"),FIND("+",Tasks[[#This Row],[_Pred1Text]]&amp;"+"),FIND("-",Tasks[[#This Row],[_Pred1Text]]&amp;"-"))-1)),""))</f>
        <v/>
      </c>
      <c r="BZ17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7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75" s="45" t="str">
        <f aca="false">IF(Tasks[[#This Row],[_Pred1Text]]="","",TRIM(MID(SUBSTITUTE(SUBSTITUTE(SUBSTITUTE(UPPER(Tasks[[#This Row],[Predecessors]]),";",",")," ",""),",",REPT(" ",99)),100,99)))</f>
        <v/>
      </c>
      <c r="CC175" s="45" t="str">
        <f aca="false">IF(Tasks[[#This Row],[_Pred2Text]]="","",IFERROR(VALUE(LEFT(Tasks[[#This Row],[_Pred2Text]],MIN(FIND("F",Tasks[[#This Row],[_Pred2Text]]&amp;"F"),FIND("S",Tasks[[#This Row],[_Pred2Text]]&amp;"S"),FIND("+",Tasks[[#This Row],[_Pred2Text]]&amp;"+"),FIND("-",Tasks[[#This Row],[_Pred2Text]]&amp;"-"))-1)),""))</f>
        <v/>
      </c>
      <c r="CD17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7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75" s="45" t="str">
        <f aca="false">IF(Tasks[[#This Row],[_Pred2Text]]="","",TRIM(MID(SUBSTITUTE(SUBSTITUTE(SUBSTITUTE(UPPER(Tasks[[#This Row],[Predecessors]]),";",",")," ",""),",",REPT(" ",99)),199,99)))</f>
        <v/>
      </c>
      <c r="CG175" s="45" t="str">
        <f aca="false">IF(Tasks[[#This Row],[_Pred3Text]]="","",IFERROR(VALUE(LEFT(Tasks[[#This Row],[_Pred3Text]],MIN(FIND("F",Tasks[[#This Row],[_Pred3Text]]&amp;"F"),FIND("S",Tasks[[#This Row],[_Pred3Text]]&amp;"S"),FIND("+",Tasks[[#This Row],[_Pred3Text]]&amp;"+"),FIND("-",Tasks[[#This Row],[_Pred3Text]]&amp;"-"))-1)),""))</f>
        <v/>
      </c>
      <c r="CH17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7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75" s="45" t="str">
        <f aca="false">IF(Tasks[[#This Row],[_Pred3Text]]="","",TRIM(MID(SUBSTITUTE(SUBSTITUTE(SUBSTITUTE(UPPER(Tasks[[#This Row],[Predecessors]]),";",",")," ",""),",",REPT(" ",99)),298,99)))</f>
        <v/>
      </c>
      <c r="CK175" s="45" t="str">
        <f aca="false">IF(Tasks[[#This Row],[_Pred4Text]]="","",IFERROR(VALUE(LEFT(Tasks[[#This Row],[_Pred4Text]],MIN(FIND("F",Tasks[[#This Row],[_Pred4Text]]&amp;"F"),FIND("S",Tasks[[#This Row],[_Pred4Text]]&amp;"S"),FIND("+",Tasks[[#This Row],[_Pred4Text]]&amp;"+"),FIND("-",Tasks[[#This Row],[_Pred4Text]]&amp;"-"))-1)),""))</f>
        <v/>
      </c>
      <c r="CL17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7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75" s="45" t="str">
        <f aca="false">IF(OR(Tasks[[#This Row],[Task Name]]="",Tasks[[#This Row],[Resources]]=""),"",TRIM(MID(SUBSTITUTE(Tasks[[#This Row],[Resources]],",",REPT(" ",99)),1,99)))</f>
        <v/>
      </c>
      <c r="CO175" s="45" t="str">
        <f aca="false">IF(Tasks[[#This Row],[_Res1Text]]="","",TRIM(MID(SUBSTITUTE(Tasks[[#This Row],[Resources]],",",REPT(" ",99)),100,99)))</f>
        <v/>
      </c>
      <c r="CP175" s="45" t="str">
        <f aca="false">IF(Tasks[[#This Row],[_Res2Text]]="","",TRIM(MID(SUBSTITUTE(Tasks[[#This Row],[Resources]],",",REPT(" ",99)),199,99)))</f>
        <v/>
      </c>
      <c r="CQ175" s="45" t="str">
        <f aca="false">IF(Tasks[[#This Row],[_Res3Text]]="","",TRIM(MID(SUBSTITUTE(Tasks[[#This Row],[Resources]],",",REPT(" ",99)),298,99)))</f>
        <v/>
      </c>
      <c r="CR17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7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5" s="45" t="n">
        <f aca="false">IF(NOT(Tasks[[#This Row],[_IsLeaf]]=1),0,(Tasks[[#This Row],[_Resource1]]&lt;&gt;"")+(Tasks[[#This Row],[_Res2]]&lt;&gt;"")+(Tasks[[#This Row],[_Res3]]&lt;&gt;"")+(Tasks[[#This Row],[_Res4]]&lt;&gt;""))</f>
        <v>0</v>
      </c>
      <c r="CU17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7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5" s="45" t="n">
        <f aca="false">IF(OR(NOT(Tasks[[#This Row],[_IsLeaf]]=1),Tasks[[#This Row],[_Res2]]=""),0,IF(ISNA(MATCH(Tasks[[#This Row],[_Res2]],res_Name,0)),0,N(Tasks[[#This Row],[Duration]])*HoursPerDay*IF(Tasks[[#This Row],[_Res2Units]]="",DefaultUnits,Tasks[[#This Row],[_Res2Units]])))</f>
        <v>0</v>
      </c>
      <c r="CX175" s="45" t="n">
        <f aca="false">IF(Tasks[[#This Row],[_Res2Work]]=0,0,Tasks[[#This Row],[_Res2Work]]*IFERROR(INDEX(res_Rate,MATCH(Tasks[[#This Row],[_Res2]],res_Name,0)),0))</f>
        <v>0</v>
      </c>
      <c r="CY175" s="45" t="n">
        <f aca="false">IF(AND(AND(Tasks[[#This Row],[_IsLeaf]]=1,Tasks[[#This Row],[_LeafTotalWork]]&gt;0),Tasks[[#This Row],[_Res2Work]]&gt;0),Tasks[[#This Row],[_Res2Work]]/(Tasks[[#This Row],[_FinishWorkday]]-Tasks[[#This Row],[_StartWorkday]]+1),0)</f>
        <v>0</v>
      </c>
      <c r="CZ175" s="45" t="n">
        <f aca="false">Tasks[[#This Row],[_Res2WorkPerWD]]*MAX(0,Tasks[[#This Row],[_StartWorkday]]-1)</f>
        <v>0</v>
      </c>
      <c r="DA175" s="45" t="n">
        <f aca="false">Tasks[[#This Row],[_Res2Work]]*Tasks[[#This Row],[_LeafProgress]]</f>
        <v>0</v>
      </c>
      <c r="DB175" s="45" t="n">
        <f aca="false">IF(Tasks[[#This Row],[_LeafTotalCost]]=0,0,Tasks[[#This Row],[_LeafAC]]*Tasks[[#This Row],[_Res2Cost]]/Tasks[[#This Row],[_LeafTotalCost]])</f>
        <v>0</v>
      </c>
      <c r="DC17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7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75" s="45" t="n">
        <f aca="false">IF(OR(NOT(Tasks[[#This Row],[_IsLeaf]]=1),Tasks[[#This Row],[_Res3]]=""),0,IF(ISNA(MATCH(Tasks[[#This Row],[_Res3]],res_Name,0)),0,N(Tasks[[#This Row],[Duration]])*HoursPerDay*IF(Tasks[[#This Row],[_Res3Units]]="",DefaultUnits,Tasks[[#This Row],[_Res3Units]])))</f>
        <v>0</v>
      </c>
      <c r="DF175" s="45" t="n">
        <f aca="false">IF(Tasks[[#This Row],[_Res3Work]]=0,0,Tasks[[#This Row],[_Res3Work]]*IFERROR(INDEX(res_Rate,MATCH(Tasks[[#This Row],[_Res3]],res_Name,0)),0))</f>
        <v>0</v>
      </c>
      <c r="DG175" s="45" t="n">
        <f aca="false">IF(AND(AND(Tasks[[#This Row],[_IsLeaf]]=1,Tasks[[#This Row],[_LeafTotalWork]]&gt;0),Tasks[[#This Row],[_Res3Work]]&gt;0),Tasks[[#This Row],[_Res3Work]]/(Tasks[[#This Row],[_FinishWorkday]]-Tasks[[#This Row],[_StartWorkday]]+1),0)</f>
        <v>0</v>
      </c>
      <c r="DH175" s="45" t="n">
        <f aca="false">Tasks[[#This Row],[_Res3WorkPerWD]]*MAX(0,Tasks[[#This Row],[_StartWorkday]]-1)</f>
        <v>0</v>
      </c>
      <c r="DI175" s="45" t="n">
        <f aca="false">Tasks[[#This Row],[_Res3Work]]*Tasks[[#This Row],[_LeafProgress]]</f>
        <v>0</v>
      </c>
      <c r="DJ175" s="45" t="n">
        <f aca="false">IF(Tasks[[#This Row],[_LeafTotalCost]]=0,0,Tasks[[#This Row],[_LeafAC]]*Tasks[[#This Row],[_Res3Cost]]/Tasks[[#This Row],[_LeafTotalCost]])</f>
        <v>0</v>
      </c>
      <c r="DK17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7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75" s="45" t="n">
        <f aca="false">IF(OR(NOT(Tasks[[#This Row],[_IsLeaf]]=1),Tasks[[#This Row],[_Res4]]=""),0,IF(ISNA(MATCH(Tasks[[#This Row],[_Res4]],res_Name,0)),0,N(Tasks[[#This Row],[Duration]])*HoursPerDay*IF(Tasks[[#This Row],[_Res4Units]]="",DefaultUnits,Tasks[[#This Row],[_Res4Units]])))</f>
        <v>0</v>
      </c>
      <c r="DN175" s="45" t="n">
        <f aca="false">IF(Tasks[[#This Row],[_Res4Work]]=0,0,Tasks[[#This Row],[_Res4Work]]*IFERROR(INDEX(res_Rate,MATCH(Tasks[[#This Row],[_Res4]],res_Name,0)),0))</f>
        <v>0</v>
      </c>
      <c r="DO175" s="45" t="n">
        <f aca="false">IF(AND(AND(Tasks[[#This Row],[_IsLeaf]]=1,Tasks[[#This Row],[_LeafTotalWork]]&gt;0),Tasks[[#This Row],[_Res4Work]]&gt;0),Tasks[[#This Row],[_Res4Work]]/(Tasks[[#This Row],[_FinishWorkday]]-Tasks[[#This Row],[_StartWorkday]]+1),0)</f>
        <v>0</v>
      </c>
      <c r="DP175" s="45" t="n">
        <f aca="false">Tasks[[#This Row],[_Res4WorkPerWD]]*MAX(0,Tasks[[#This Row],[_StartWorkday]]-1)</f>
        <v>0</v>
      </c>
      <c r="DQ175" s="45" t="n">
        <f aca="false">Tasks[[#This Row],[_Res4Work]]*Tasks[[#This Row],[_LeafProgress]]</f>
        <v>0</v>
      </c>
      <c r="DR175" s="45" t="n">
        <f aca="false">IF(Tasks[[#This Row],[_LeafTotalCost]]=0,0,Tasks[[#This Row],[_LeafAC]]*Tasks[[#This Row],[_Res4Cost]]/Tasks[[#This Row],[_LeafTotalCost]])</f>
        <v>0</v>
      </c>
      <c r="DS175" s="45" t="n">
        <f aca="false">IF(ISNUMBER(Tasks[[#This Row],[% Complete]]),Tasks[[#This Row],[% Complete]],IF(Tasks[[#This Row],[Stage]]="",0,IFERROR(INDEX(stg_Pct,MATCH(Tasks[[#This Row],[Stage]],stg_Name,0)),0)))</f>
        <v>0</v>
      </c>
      <c r="DT175" s="45" t="n">
        <f aca="false">IF(NOT(Tasks[[#This Row],[_IsLeaf]]=1),0,IF(N(Tasks[[#This Row],[Actual Finish]])&gt;0,1,MIN(1,Tasks[[#This Row],[_Pct]])))</f>
        <v>0</v>
      </c>
      <c r="DU175" s="45" t="n">
        <f aca="false">IF(OR(NOT(Tasks[[#This Row],[_IsLeaf]]=1),Tasks[[#This Row],[_Resource1]]=""),0,IF(ISNA(MATCH(Tasks[[#This Row],[_Resource1]],res_Name,0)),0,N(Tasks[[#This Row],[Duration]])*HoursPerDay*IF(Tasks[[#This Row],[_Units1]]="",DefaultUnits,Tasks[[#This Row],[_Units1]])))</f>
        <v>0</v>
      </c>
      <c r="DV175" s="45" t="n">
        <f aca="false">IF(Tasks[[#This Row],[_LeafWork]]=0,0,Tasks[[#This Row],[_LeafWork]]*IFERROR(INDEX(res_Rate,MATCH(Tasks[[#This Row],[_Resource1]],res_Name,0)),0))</f>
        <v>0</v>
      </c>
      <c r="DW175" s="45" t="n">
        <f aca="false">Tasks[[#This Row],[_LeafWork]]+Tasks[[#This Row],[_Res2Work]]+Tasks[[#This Row],[_Res3Work]]+Tasks[[#This Row],[_Res4Work]]</f>
        <v>0</v>
      </c>
      <c r="DX175" s="45" t="n">
        <f aca="false">Tasks[[#This Row],[_LeafCost]]+Tasks[[#This Row],[_Res2Cost]]+Tasks[[#This Row],[_Res3Cost]]+Tasks[[#This Row],[_Res4Cost]]</f>
        <v>0</v>
      </c>
      <c r="DY175" s="45" t="n">
        <f aca="false">IF(Tasks[[#This Row],[_LeafTotalCost]]=0,Tasks[[#This Row],[_LeafAC]],Tasks[[#This Row],[_LeafAC]]*Tasks[[#This Row],[_LeafCost]]/Tasks[[#This Row],[_LeafTotalCost]])</f>
        <v>0</v>
      </c>
      <c r="DZ17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7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7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7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7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7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7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7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75" s="45" t="n">
        <f aca="false">IF(NOT(Tasks[[#This Row],[_IsLeaf]]=1),0,MAX(_xlfn.MAXIFS(Tasks[_Row],Tasks[_Pred1UID],Tasks[[#This Row],[UID]]),_xlfn.MAXIFS(Tasks[_Row],Tasks[_Pred2UID],Tasks[[#This Row],[UID]]),_xlfn.MAXIFS(Tasks[_Row],Tasks[_Pred3UID],Tasks[[#This Row],[UID]]),_xlfn.MAXIFS(Tasks[_Row],Tasks[_Pred4UID],Tasks[[#This Row],[UID]])))</f>
        <v>0</v>
      </c>
      <c r="EI17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7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75" s="74" t="str">
        <f aca="false">IF(NOT(Tasks[[#This Row],[_IsLeaf]]=1),"",IF(N(Tasks[[#This Row],[Duration]])&lt;=0,Tasks[[#This Row],[_LeafLateFinish]],WORKDAY.INTL(Tasks[[#This Row],[_LeafLateFinish]],-(Tasks[[#This Row],[Duration]]-1),WorkWeek,Holidays)))</f>
        <v/>
      </c>
      <c r="EL17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75" s="73" t="b">
        <f aca="false">AND(Tasks[[#This Row],[_IsLeaf]]=1,Tasks[[#This Row],[_LeafProgress]]&lt;1,N(Tasks[[#This Row],[_LeafTotalSlack]])&lt;=CriticalSlackDays)</f>
        <v>0</v>
      </c>
      <c r="EN175" s="45" t="n">
        <f aca="false">IF(AND(Tasks[[#This Row],[_IsLeaf]]=1,Tasks[[#This Row],[_ConstraintCode]]=1,Tasks[[#This Row],[Mode]]&lt;&gt;"Manual",N(Tasks[[#This Row],[Actual Start]])=0),MAX(0,N(Tasks[[#This Row],[Free Slack]])),0)</f>
        <v>0</v>
      </c>
      <c r="EO175" s="74" t="str">
        <f aca="false">IF(NOT(Tasks[[#This Row],[_IsLeaf]]=1),"",IF(Tasks[[#This Row],[_AlapShift]]=0,Tasks[[#This Row],[_LeafCalcStart]],WORKDAY.INTL(Tasks[[#This Row],[_LeafCalcStart]],Tasks[[#This Row],[_AlapShift]],WorkWeek,Holidays)))</f>
        <v/>
      </c>
      <c r="EP175" s="74" t="str">
        <f aca="false">IF(NOT(Tasks[[#This Row],[_IsLeaf]]=1),"",IF(Tasks[[#This Row],[_AlapShift]]=0,Tasks[[#This Row],[_LeafCalcFinish]],WORKDAY.INTL(Tasks[[#This Row],[_LeafCalcFinish]],Tasks[[#This Row],[_AlapShift]],WorkWeek,Holidays)))</f>
        <v/>
      </c>
      <c r="EQ175" s="74" t="str">
        <f aca="false">IF(NOT(Tasks[[#This Row],[_IsLeaf]]=1),"",IF(Tasks[[#This Row],[_AlapShift]]=0,Tasks[[#This Row],[_LeafFcstStart]],WORKDAY.INTL(Tasks[[#This Row],[_LeafFcstStart]],Tasks[[#This Row],[_AlapShift]],WorkWeek,Holidays)))</f>
        <v/>
      </c>
      <c r="ER175" s="74" t="str">
        <f aca="false">IF(NOT(Tasks[[#This Row],[_IsLeaf]]=1),"",IF(Tasks[[#This Row],[_AlapShift]]=0,Tasks[[#This Row],[_LeafFcstFinish]],WORKDAY.INTL(Tasks[[#This Row],[_LeafFcstFinish]],Tasks[[#This Row],[_AlapShift]],WorkWeek,Holidays)))</f>
        <v/>
      </c>
      <c r="ES175" s="74" t="str">
        <f aca="false">IF(Tasks[[#This Row],[Task Name]]="","",IF(Tasks[[#This Row],[_IsSummary]],MIN(INDEX(Tasks[_ShownCalcStart],Tasks[[#This Row],[_Row]]+1):INDEX(Tasks[_ShownCalcStart],Tasks[[#This Row],[_Row]]+Tasks[[#This Row],[_Descendants]])),Tasks[[#This Row],[_ShownCalcStart]]))</f>
        <v/>
      </c>
      <c r="ET175" s="74" t="str">
        <f aca="false">IF(Tasks[[#This Row],[Task Name]]="","",IF(Tasks[[#This Row],[_IsSummary]],MAX(INDEX(Tasks[_ShownCalcFinish],Tasks[[#This Row],[_Row]]+1):INDEX(Tasks[_ShownCalcFinish],Tasks[[#This Row],[_Row]]+Tasks[[#This Row],[_Descendants]])),Tasks[[#This Row],[_ShownCalcFinish]]))</f>
        <v/>
      </c>
      <c r="EU17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7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7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7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7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7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7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7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7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7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7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7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75" s="45" t="n">
        <f aca="false">IF(AND(Tasks[[#This Row],[_IsLeaf]]=1,Tasks[[#This Row],[_LeafTotalWork]]&gt;0),NETWORKDAYS.INTL(ProjectStart,Tasks[[#This Row],[_ShownFcstStart]],WorkWeek,Holidays),0)</f>
        <v>0</v>
      </c>
      <c r="FH175" s="45" t="n">
        <f aca="false">IF(AND(Tasks[[#This Row],[_IsLeaf]]=1,Tasks[[#This Row],[_LeafTotalWork]]&gt;0),MAX(Tasks[[#This Row],[_StartWorkday]],NETWORKDAYS.INTL(ProjectStart,Tasks[[#This Row],[_ShownFcstFinish]],WorkWeek,Holidays)),0)</f>
        <v>0</v>
      </c>
      <c r="FI175" s="45" t="n">
        <f aca="false">IF(AND(Tasks[[#This Row],[_IsLeaf]]=1,Tasks[[#This Row],[_LeafTotalWork]]&gt;0),Tasks[[#This Row],[_LeafWork]]/(Tasks[[#This Row],[_FinishWorkday]]-Tasks[[#This Row],[_StartWorkday]]+1),0)</f>
        <v>0</v>
      </c>
      <c r="FJ175" s="45" t="n">
        <f aca="false">Tasks[[#This Row],[_WorkPerWorkday]]*(Tasks[[#This Row],[_StartWorkday]]-1)</f>
        <v>-0</v>
      </c>
      <c r="FK175" s="45" t="n">
        <f aca="false">IF(Tasks[[#This Row],[_IsLeaf]]=1,MAX(N(Tasks[[#This Row],[Duration]]),0.1),0)</f>
        <v>0</v>
      </c>
      <c r="FL175" s="45" t="n">
        <f aca="false">Tasks[[#This Row],[_WeightDur]]*Tasks[[#This Row],[_LeafProgress]]</f>
        <v>0</v>
      </c>
      <c r="FM17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75" s="45" t="str">
        <f aca="false">IF(AND(Tasks[[#This Row],[_IsLeaf]]=1,N(Tasks[[#This Row],[Duration]])=0,Tasks[[#This Row],[_LeafProgress]]&lt;1),Tasks[[#This Row],[_ShownFcstFinish]]+Tasks[[#This Row],[_Row]]/100000,"")</f>
        <v/>
      </c>
      <c r="FO17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75" s="45" t="n">
        <f aca="false">IF(NOT(Tasks[[#This Row],[_IsLeaf]]=1),0,IF(Tasks[[#This Row],[Baseline Cost]]="",Tasks[[#This Row],[_LeafTotalCost]],N(Tasks[[#This Row],[Baseline Cost]])))</f>
        <v>0</v>
      </c>
      <c r="FQ175" s="45" t="n">
        <f aca="false">Tasks[[#This Row],[_LeafBudget]]*Tasks[[#This Row],[_PlannedPct]]</f>
        <v>0</v>
      </c>
      <c r="FR175" s="45" t="n">
        <f aca="false">Tasks[[#This Row],[_LeafBudget]]*Tasks[[#This Row],[_LeafProgress]]</f>
        <v>0</v>
      </c>
      <c r="FS175" s="45" t="n">
        <f aca="false">IF(NOT(Tasks[[#This Row],[_IsLeaf]]=1),0,IF(Tasks[[#This Row],[Actual Cost]]="",Tasks[[#This Row],[_LeafTotalCost]]*Tasks[[#This Row],[_LeafProgress]],N(Tasks[[#This Row],[Actual Cost]])))</f>
        <v>0</v>
      </c>
      <c r="FT175" s="45" t="str">
        <f aca="false">IF(Tasks[[#This Row],[Task Name]]="","",LEFT(Tasks[[#This Row],[WBS]],FIND(".",Tasks[[#This Row],[WBS]]&amp;".")-1))</f>
        <v/>
      </c>
      <c r="FU175" s="45" t="str">
        <f aca="false">IF(AND(Tasks[[#This Row],[Task Name]]&lt;&gt;"",Tasks[[#This Row],[_Level]]=1),Tasks[[#This Row],[_Row]],"")</f>
        <v/>
      </c>
      <c r="FV175" s="45" t="str">
        <f aca="false">IF(AND(Tasks[[#This Row],[_IsLeaf]]=1,N(Tasks[[#This Row],[Duration]])=0),Tasks[[#This Row],[Planned Finish]]+Tasks[[#This Row],[_Row]]/100000,"")</f>
        <v/>
      </c>
      <c r="FW175" s="45" t="str">
        <f aca="false">IF(AND(Tasks[[#This Row],[_IsLeaf]]=1,Tasks[[#This Row],[_LeafProgress]]&lt;1,OR(N(Tasks[[#This Row],[Finish Var]])&gt;0,Tasks[[#This Row],[Status]]="Late Start")),MAX(0,Tasks[[#This Row],[Finish Var]])+1-Tasks[[#This Row],[_Row]]/1000000,"")</f>
        <v/>
      </c>
      <c r="FX175" s="45" t="str">
        <f aca="false">IF(AND(Tasks[[#This Row],[_IsLeaf]]=1,N(Tasks[[#This Row],[Actual Start]])=0,Tasks[[#This Row],[_ShownFcstStart]]&gt;=StatusDate,Tasks[[#This Row],[_ShownFcstStart]]&lt;=LookaheadEnd),Tasks[[#This Row],[_ShownFcstStart]]+Tasks[[#This Row],[_Row]]/100000,"")</f>
        <v/>
      </c>
      <c r="FY175" s="45" t="str">
        <f aca="false">IF(AND(Tasks[[#This Row],[_IsLeaf]]=1,Tasks[[#This Row],[_LeafProgress]]&lt;1,Tasks[[#This Row],[_ShownFcstFinish]]&gt;=StatusDate,Tasks[[#This Row],[_ShownFcstFinish]]&lt;=LookaheadEnd),Tasks[[#This Row],[_ShownFcstFinish]]+Tasks[[#This Row],[_Row]]/100000,"")</f>
        <v/>
      </c>
      <c r="FZ175" s="45" t="str">
        <f aca="false">IF(Tasks[[#This Row],[_LeafCritical]],Tasks[[#This Row],[_ShownFcstStart]]+Tasks[[#This Row],[_Row]]/100000,"")</f>
        <v/>
      </c>
      <c r="GA175" s="45" t="n">
        <f aca="false">Tasks[[#This Row],[_LeafWork]]*Tasks[[#This Row],[_LeafProgress]]</f>
        <v>0</v>
      </c>
      <c r="GB175" s="74" t="str">
        <f aca="false">IF(AND(Tasks[[#This Row],[_IsLeaf]]=1,Tasks[[#This Row],[_LeafProgress]]&gt;=1),IF(N(Tasks[[#This Row],[Actual Finish]])&gt;0,Tasks[[#This Row],[Actual Finish]],Tasks[[#This Row],[_ShownFcstFinish]]),"")</f>
        <v/>
      </c>
    </row>
    <row r="176" customFormat="false" ht="15" hidden="false" customHeight="false" outlineLevel="0" collapsed="false">
      <c r="A176" s="67" t="str">
        <f aca="false">IF(Tasks[[#This Row],[Task Name]]="","",COUNTA(Tasks[[#Headers],[Task Name]]:Tasks[[#This Row],[Task Name]])-1)</f>
        <v/>
      </c>
      <c r="B176" s="21" t="n">
        <v>171</v>
      </c>
      <c r="C17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21"/>
      <c r="E176" s="22"/>
      <c r="F176" s="21"/>
      <c r="G176" s="22"/>
      <c r="H176" s="22"/>
      <c r="I176" s="22"/>
      <c r="J176" s="7"/>
      <c r="K176" s="7"/>
      <c r="L176" s="22"/>
      <c r="M176" s="58" t="str">
        <f aca="false">IF(Tasks[[#This Row],[Task Name]]="","",IF(Tasks[[#This Row],[_IsSummary]],MIN(INDEX(Tasks[_ShownFcstStart],Tasks[[#This Row],[_Row]]+1):INDEX(Tasks[_ShownFcstStart],Tasks[[#This Row],[_Row]]+Tasks[[#This Row],[_Descendants]])),Tasks[[#This Row],[_ShownFcstStart]]))</f>
        <v/>
      </c>
      <c r="N176" s="58" t="str">
        <f aca="false">IF(Tasks[[#This Row],[Task Name]]="","",IF(Tasks[[#This Row],[_IsSummary]],MAX(INDEX(Tasks[_ShownFcstFinish],Tasks[[#This Row],[_Row]]+1):INDEX(Tasks[_ShownFcstFinish],Tasks[[#This Row],[_Row]]+Tasks[[#This Row],[_Descendants]])),Tasks[[#This Row],[_ShownFcstFinish]]))</f>
        <v/>
      </c>
      <c r="O176" s="20" t="str">
        <f aca="false">IF(Tasks[[#This Row],[Task Name]]="","",IF(Tasks[[#This Row],[Progress]]&gt;=1,"Complete",IF(OR(N(Tasks[[#This Row],[Actual Start]])&gt;0,Tasks[[#This Row],[Progress]]&gt;0),IF(Tasks[[#This Row],[Finish Var]]&gt;0,"Behind","In Progress"),IF(Tasks[[#This Row],[Planned Start]]&lt;StatusDate,"Late Start","Not Started"))))</f>
        <v/>
      </c>
      <c r="P176" s="20" t="str">
        <f aca="false">IF(Tasks[[#This Row],[Task Name]]="","",IF(IF(Tasks[[#This Row],[_IsSummary]],COUNTIF(INDEX(Tasks[_LeafCritical],Tasks[[#This Row],[_Row]]+1):INDEX(Tasks[_LeafCritical],Tasks[[#This Row],[_Row]]+Tasks[[#This Row],[_Descendants]]),TRUE())&gt;0,Tasks[[#This Row],[_LeafCritical]]),"Yes",""))</f>
        <v/>
      </c>
      <c r="Q17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76" s="67" t="str">
        <f aca="false">IF(Tasks[[#This Row],[Task Name]]="","",IF(Tasks[[#This Row],[_Level]]&lt;=OutlineShowLevel,"Yes","No"))</f>
        <v/>
      </c>
      <c r="S176" s="7"/>
      <c r="T176" s="21"/>
      <c r="U176" s="22"/>
      <c r="V176" s="7"/>
      <c r="W176" s="67" t="str">
        <f aca="false">IF(Tasks[[#This Row],[Task Name]]="","",IF(Tasks[[#This Row],[Finish]]&gt;=Tasks[[#This Row],[Planned Finish]],NETWORKDAYS.INTL(Tasks[[#This Row],[Planned Finish]],Tasks[[#This Row],[Finish]],WorkWeek,Holidays)-1,1-NETWORKDAYS.INTL(Tasks[[#This Row],[Finish]],Tasks[[#This Row],[Planned Finish]],WorkWeek,Holidays)))</f>
        <v/>
      </c>
      <c r="X176" s="58" t="str">
        <f aca="false">IF(Tasks[[#This Row],[Task Name]]="","",IF(N(Tasks[[#This Row],[Baseline Start]])&gt;0,Tasks[[#This Row],[Baseline Start]],Tasks[[#This Row],[_CalcStart]]))</f>
        <v/>
      </c>
      <c r="Y176" s="58" t="str">
        <f aca="false">IF(Tasks[[#This Row],[Task Name]]="","",IF(N(Tasks[[#This Row],[Baseline Finish]])&gt;0,Tasks[[#This Row],[Baseline Finish]],Tasks[[#This Row],[_CalcFinish]]))</f>
        <v/>
      </c>
      <c r="Z176" s="67" t="str">
        <f aca="false">IF(Tasks[[#This Row],[Task Name]]="","",IF(Tasks[[#This Row],[Start]]&gt;=Tasks[[#This Row],[Planned Start]],NETWORKDAYS.INTL(Tasks[[#This Row],[Planned Start]],Tasks[[#This Row],[Start]],WorkWeek,Holidays)-1,1-NETWORKDAYS.INTL(Tasks[[#This Row],[Start]],Tasks[[#This Row],[Planned Start]],WorkWeek,Holidays)))</f>
        <v/>
      </c>
      <c r="AA176" s="58" t="str">
        <f aca="false">IF(Tasks[[#This Row],[Task Name]]="","",IF(Tasks[[#This Row],[_IsSummary]],MIN(INDEX(Tasks[_LeafLateStart],Tasks[[#This Row],[_Row]]+1):INDEX(Tasks[_LeafLateStart],Tasks[[#This Row],[_Row]]+Tasks[[#This Row],[_Descendants]])),Tasks[[#This Row],[_LeafLateStart]]))</f>
        <v/>
      </c>
      <c r="AB176" s="58" t="str">
        <f aca="false">IF(Tasks[[#This Row],[Task Name]]="","",IF(Tasks[[#This Row],[_IsSummary]],MAX(INDEX(Tasks[_LeafLateFinish],Tasks[[#This Row],[_Row]]+1):INDEX(Tasks[_LeafLateFinish],Tasks[[#This Row],[_Row]]+Tasks[[#This Row],[_Descendants]])),Tasks[[#This Row],[_LeafLateFinish]]))</f>
        <v/>
      </c>
      <c r="AC176" s="67" t="str">
        <f aca="false">IF(Tasks[[#This Row],[Task Name]]="","",IF(Tasks[[#This Row],[_IsSummary]],MIN(INDEX(Tasks[_LeafTotalSlack],Tasks[[#This Row],[_Row]]+1):INDEX(Tasks[_LeafTotalSlack],Tasks[[#This Row],[_Row]]+Tasks[[#This Row],[_Descendants]])),Tasks[[#This Row],[_LeafTotalSlack]]))</f>
        <v/>
      </c>
      <c r="AD17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7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7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76" s="60"/>
      <c r="AH17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7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76" s="69" t="str">
        <f aca="false">IF(Tasks[[#This Row],[Task Name]]="","",IF(Tasks[[#This Row],[_IsSummary]],SUM(INDEX(Tasks[_LeafTotalWork],Tasks[[#This Row],[_Row]]+1):INDEX(Tasks[_LeafTotalWork],Tasks[[#This Row],[_Row]]+Tasks[[#This Row],[_Descendants]])),Tasks[[#This Row],[_LeafTotalWork]]))</f>
        <v/>
      </c>
      <c r="AK17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76" s="70" t="str">
        <f aca="false">IF(Tasks[[#This Row],[Task Name]]="","",IF(Tasks[[#This Row],[_IsSummary]],SUM(INDEX(Tasks[_LeafTotalCost],Tasks[[#This Row],[_Row]]+1):INDEX(Tasks[_LeafTotalCost],Tasks[[#This Row],[_Row]]+Tasks[[#This Row],[_Descendants]])),Tasks[[#This Row],[_LeafTotalCost]]))</f>
        <v/>
      </c>
      <c r="AM176" s="71"/>
      <c r="AN176" s="20" t="str">
        <f aca="false">IF(OR(Tasks[[#This Row],[Task Name]]="",Tasks[[#This Row],[Baseline Duration]]=""),"",Tasks[[#This Row],[BL Source Duration]]-N(Tasks[[#This Row],[Baseline Duration]]))</f>
        <v/>
      </c>
      <c r="AO176" s="69" t="str">
        <f aca="false">IF(OR(Tasks[[#This Row],[Task Name]]="",Tasks[[#This Row],[Baseline Work]]=""),"",Tasks[[#This Row],[Work]]-N(Tasks[[#This Row],[Baseline Work]]))</f>
        <v/>
      </c>
      <c r="AP176" s="70" t="str">
        <f aca="false">IF(OR(Tasks[[#This Row],[Task Name]]="",Tasks[[#This Row],[Baseline Cost]]=""),"",Tasks[[#This Row],[Cost]]-N(Tasks[[#This Row],[Baseline Cost]]))</f>
        <v/>
      </c>
      <c r="AQ176" s="58" t="str">
        <f aca="false">IF(Tasks[[#This Row],[Task Name]]="","",Tasks[[#This Row],[Start]])</f>
        <v/>
      </c>
      <c r="AR176" s="58" t="str">
        <f aca="false">IF(Tasks[[#This Row],[Task Name]]="","",Tasks[[#This Row],[Finish]])</f>
        <v/>
      </c>
      <c r="AS176" s="67" t="str">
        <f aca="false">IF(Tasks[[#This Row],[Task Name]]="","",IF(Tasks[[#This Row],[_IsSummary]],NETWORKDAYS.INTL(Tasks[[#This Row],[Start]],Tasks[[#This Row],[Finish]],WorkWeek,Holidays),N(Tasks[[#This Row],[Duration]])))</f>
        <v/>
      </c>
      <c r="AT176" s="69" t="str">
        <f aca="false">IF(Tasks[[#This Row],[Task Name]]="","",Tasks[[#This Row],[Work]])</f>
        <v/>
      </c>
      <c r="AU176" s="70" t="str">
        <f aca="false">IF(Tasks[[#This Row],[Task Name]]="","",Tasks[[#This Row],[Cost]])</f>
        <v/>
      </c>
      <c r="AV176" s="7"/>
      <c r="AW176" s="7"/>
      <c r="AX176" s="21"/>
      <c r="AY176" s="72"/>
      <c r="AZ176" s="71"/>
      <c r="BA176" s="70" t="str">
        <f aca="false">IF(Tasks[[#This Row],[Task Name]]="","",IF(Tasks[[#This Row],[_IsSummary]],SUM(INDEX(Tasks[_LeafEV],Tasks[[#This Row],[_Row]]+1):INDEX(Tasks[_LeafEV],Tasks[[#This Row],[_Row]]+Tasks[[#This Row],[_Descendants]])),Tasks[[#This Row],[_LeafEV]]))</f>
        <v/>
      </c>
      <c r="BB176" s="70" t="str">
        <f aca="false">IF(Tasks[[#This Row],[Task Name]]="","",IF(Tasks[[#This Row],[_IsSummary]],SUM(INDEX(Tasks[_LeafBudget],Tasks[[#This Row],[_Row]]+1):INDEX(Tasks[_LeafBudget],Tasks[[#This Row],[_Row]]+Tasks[[#This Row],[_Descendants]])),Tasks[[#This Row],[_LeafBudget]]))</f>
        <v/>
      </c>
      <c r="BC176" s="70" t="str">
        <f aca="false">IF(Tasks[[#This Row],[Task Name]]="","",IF(Tasks[[#This Row],[_IsSummary]],SUM(INDEX(Tasks[_LeafPV],Tasks[[#This Row],[_Row]]+1):INDEX(Tasks[_LeafPV],Tasks[[#This Row],[_Row]]+Tasks[[#This Row],[_Descendants]])),Tasks[[#This Row],[_LeafPV]]))</f>
        <v/>
      </c>
      <c r="BD176" s="70" t="str">
        <f aca="false">IF(Tasks[[#This Row],[Task Name]]="","",IF(Tasks[[#This Row],[_IsSummary]],SUM(INDEX(Tasks[_LeafAC],Tasks[[#This Row],[_Row]]+1):INDEX(Tasks[_LeafAC],Tasks[[#This Row],[_Row]]+Tasks[[#This Row],[_Descendants]])),Tasks[[#This Row],[_LeafAC]]))</f>
        <v/>
      </c>
      <c r="BE176" s="45" t="str">
        <f aca="false">IF(Tasks[[#This Row],[Task Name]]="","",MAX(1,N(Tasks[[#This Row],[Level]])))</f>
        <v/>
      </c>
      <c r="BF176" s="45" t="n">
        <f aca="false">ROW()-ROW(Tasks[[#Headers],[ID]])</f>
        <v>171</v>
      </c>
      <c r="BG176" s="45" t="n">
        <f aca="false">IF(OR(Tasks[[#This Row],[Task Name]]="",Tasks[[#This Row],[_Level]]&lt;=1),0,IFERROR(LOOKUP(2,1/(Tasks[[#Headers],[_Level]]:Tasks[[#This Row],[_Level]]=Tasks[[#This Row],[_Level]]-1),ROW(Tasks[[#Headers],[_Level]]:Tasks[[#This Row],[_Level]])),0))</f>
        <v>0</v>
      </c>
      <c r="BH176" s="45" t="n">
        <f aca="false">IFERROR(N(INDEX(Tasks[_Level],Tasks[[#This Row],[_Row]]+1)),0)</f>
        <v>0</v>
      </c>
      <c r="BI176" s="73" t="b">
        <f aca="false">AND(Tasks[[#This Row],[Task Name]]&lt;&gt;"",Tasks[[#This Row],[_NextLevel]]&gt;Tasks[[#This Row],[_Level]])</f>
        <v>0</v>
      </c>
      <c r="BJ176" s="45" t="n">
        <f aca="false">IF(Tasks[[#This Row],[_IsSummary]],COUNTIF(Tasks[WBS],Tasks[[#This Row],[WBS]]&amp;".*"),0)</f>
        <v>0</v>
      </c>
      <c r="BK176" s="45" t="n">
        <f aca="false">IF(AND(Tasks[[#This Row],[Task Name]]&lt;&gt;"",NOT(Tasks[[#This Row],[_IsSummary]])),1,0)</f>
        <v>0</v>
      </c>
      <c r="BL176" s="45" t="n">
        <f aca="false">IF(N(Tasks[[#This Row],[_Pred1UID]])=0,0,IFERROR(MATCH(Tasks[[#This Row],[_Pred1UID]],Tasks[UID],0),-1))</f>
        <v>0</v>
      </c>
      <c r="BM176" s="45" t="n">
        <f aca="false">IF(N(Tasks[[#This Row],[_Pred2UID]])=0,0,IFERROR(MATCH(Tasks[[#This Row],[_Pred2UID]],Tasks[UID],0),-1))</f>
        <v>0</v>
      </c>
      <c r="BN176" s="45" t="n">
        <f aca="false">IF(N(Tasks[[#This Row],[_Pred3UID]])=0,0,IFERROR(MATCH(Tasks[[#This Row],[_Pred3UID]],Tasks[UID],0),-1))</f>
        <v>0</v>
      </c>
      <c r="BO176" s="45" t="n">
        <f aca="false">IF(N(Tasks[[#This Row],[_Pred4UID]])=0,0,IFERROR(MATCH(Tasks[[#This Row],[_Pred4UID]],Tasks[UID],0),-1))</f>
        <v>0</v>
      </c>
      <c r="BP17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7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76" s="74" t="n">
        <f aca="false">IF(OR(Tasks[[#This Row],[_ConstraintCode]]=2,Tasks[[#This Row],[_ConstraintCode]]=3,Tasks[[#This Row],[_ConstraintCode]]=4,Tasks[[#This Row],[_ConstraintCode]]=6),Tasks[[#This Row],[_ConstraintStart]],0)</f>
        <v>0</v>
      </c>
      <c r="BS176" s="74" t="n">
        <f aca="false">IF(OR(Tasks[[#This Row],[_ConstraintCode]]=2,Tasks[[#This Row],[_ConstraintCode]]=3,Tasks[[#This Row],[_ConstraintCode]]=5,Tasks[[#This Row],[_ConstraintCode]]=7),Tasks[[#This Row],[_ConstraintStart]],2958465)</f>
        <v>2958465</v>
      </c>
      <c r="BT17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76" s="74" t="str">
        <f aca="false">IF(NOT(Tasks[[#This Row],[_IsLeaf]]=1),"",IF(N(Tasks[[#This Row],[Duration]])&lt;=0,Tasks[[#This Row],[_LeafCalcStart]],WORKDAY.INTL(Tasks[[#This Row],[_LeafCalcStart]],Tasks[[#This Row],[Duration]]-1,WorkWeek,Holidays)))</f>
        <v/>
      </c>
      <c r="BV17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7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76" s="45" t="str">
        <f aca="false">IF(Tasks[[#This Row],[Predecessors]]="","",TRIM(MID(SUBSTITUTE(SUBSTITUTE(SUBSTITUTE(UPPER(Tasks[[#This Row],[Predecessors]]),";",",")," ",""),",",REPT(" ",99)),1,99)))</f>
        <v/>
      </c>
      <c r="BY176" s="45" t="str">
        <f aca="false">IF(Tasks[[#This Row],[_Pred1Text]]="","",IFERROR(VALUE(LEFT(Tasks[[#This Row],[_Pred1Text]],MIN(FIND("F",Tasks[[#This Row],[_Pred1Text]]&amp;"F"),FIND("S",Tasks[[#This Row],[_Pred1Text]]&amp;"S"),FIND("+",Tasks[[#This Row],[_Pred1Text]]&amp;"+"),FIND("-",Tasks[[#This Row],[_Pred1Text]]&amp;"-"))-1)),""))</f>
        <v/>
      </c>
      <c r="BZ17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7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76" s="45" t="str">
        <f aca="false">IF(Tasks[[#This Row],[_Pred1Text]]="","",TRIM(MID(SUBSTITUTE(SUBSTITUTE(SUBSTITUTE(UPPER(Tasks[[#This Row],[Predecessors]]),";",",")," ",""),",",REPT(" ",99)),100,99)))</f>
        <v/>
      </c>
      <c r="CC176" s="45" t="str">
        <f aca="false">IF(Tasks[[#This Row],[_Pred2Text]]="","",IFERROR(VALUE(LEFT(Tasks[[#This Row],[_Pred2Text]],MIN(FIND("F",Tasks[[#This Row],[_Pred2Text]]&amp;"F"),FIND("S",Tasks[[#This Row],[_Pred2Text]]&amp;"S"),FIND("+",Tasks[[#This Row],[_Pred2Text]]&amp;"+"),FIND("-",Tasks[[#This Row],[_Pred2Text]]&amp;"-"))-1)),""))</f>
        <v/>
      </c>
      <c r="CD17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7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76" s="45" t="str">
        <f aca="false">IF(Tasks[[#This Row],[_Pred2Text]]="","",TRIM(MID(SUBSTITUTE(SUBSTITUTE(SUBSTITUTE(UPPER(Tasks[[#This Row],[Predecessors]]),";",",")," ",""),",",REPT(" ",99)),199,99)))</f>
        <v/>
      </c>
      <c r="CG176" s="45" t="str">
        <f aca="false">IF(Tasks[[#This Row],[_Pred3Text]]="","",IFERROR(VALUE(LEFT(Tasks[[#This Row],[_Pred3Text]],MIN(FIND("F",Tasks[[#This Row],[_Pred3Text]]&amp;"F"),FIND("S",Tasks[[#This Row],[_Pred3Text]]&amp;"S"),FIND("+",Tasks[[#This Row],[_Pred3Text]]&amp;"+"),FIND("-",Tasks[[#This Row],[_Pred3Text]]&amp;"-"))-1)),""))</f>
        <v/>
      </c>
      <c r="CH17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7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76" s="45" t="str">
        <f aca="false">IF(Tasks[[#This Row],[_Pred3Text]]="","",TRIM(MID(SUBSTITUTE(SUBSTITUTE(SUBSTITUTE(UPPER(Tasks[[#This Row],[Predecessors]]),";",",")," ",""),",",REPT(" ",99)),298,99)))</f>
        <v/>
      </c>
      <c r="CK176" s="45" t="str">
        <f aca="false">IF(Tasks[[#This Row],[_Pred4Text]]="","",IFERROR(VALUE(LEFT(Tasks[[#This Row],[_Pred4Text]],MIN(FIND("F",Tasks[[#This Row],[_Pred4Text]]&amp;"F"),FIND("S",Tasks[[#This Row],[_Pred4Text]]&amp;"S"),FIND("+",Tasks[[#This Row],[_Pred4Text]]&amp;"+"),FIND("-",Tasks[[#This Row],[_Pred4Text]]&amp;"-"))-1)),""))</f>
        <v/>
      </c>
      <c r="CL17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7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76" s="45" t="str">
        <f aca="false">IF(OR(Tasks[[#This Row],[Task Name]]="",Tasks[[#This Row],[Resources]]=""),"",TRIM(MID(SUBSTITUTE(Tasks[[#This Row],[Resources]],",",REPT(" ",99)),1,99)))</f>
        <v/>
      </c>
      <c r="CO176" s="45" t="str">
        <f aca="false">IF(Tasks[[#This Row],[_Res1Text]]="","",TRIM(MID(SUBSTITUTE(Tasks[[#This Row],[Resources]],",",REPT(" ",99)),100,99)))</f>
        <v/>
      </c>
      <c r="CP176" s="45" t="str">
        <f aca="false">IF(Tasks[[#This Row],[_Res2Text]]="","",TRIM(MID(SUBSTITUTE(Tasks[[#This Row],[Resources]],",",REPT(" ",99)),199,99)))</f>
        <v/>
      </c>
      <c r="CQ176" s="45" t="str">
        <f aca="false">IF(Tasks[[#This Row],[_Res3Text]]="","",TRIM(MID(SUBSTITUTE(Tasks[[#This Row],[Resources]],",",REPT(" ",99)),298,99)))</f>
        <v/>
      </c>
      <c r="CR17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7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6" s="45" t="n">
        <f aca="false">IF(NOT(Tasks[[#This Row],[_IsLeaf]]=1),0,(Tasks[[#This Row],[_Resource1]]&lt;&gt;"")+(Tasks[[#This Row],[_Res2]]&lt;&gt;"")+(Tasks[[#This Row],[_Res3]]&lt;&gt;"")+(Tasks[[#This Row],[_Res4]]&lt;&gt;""))</f>
        <v>0</v>
      </c>
      <c r="CU17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7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6" s="45" t="n">
        <f aca="false">IF(OR(NOT(Tasks[[#This Row],[_IsLeaf]]=1),Tasks[[#This Row],[_Res2]]=""),0,IF(ISNA(MATCH(Tasks[[#This Row],[_Res2]],res_Name,0)),0,N(Tasks[[#This Row],[Duration]])*HoursPerDay*IF(Tasks[[#This Row],[_Res2Units]]="",DefaultUnits,Tasks[[#This Row],[_Res2Units]])))</f>
        <v>0</v>
      </c>
      <c r="CX176" s="45" t="n">
        <f aca="false">IF(Tasks[[#This Row],[_Res2Work]]=0,0,Tasks[[#This Row],[_Res2Work]]*IFERROR(INDEX(res_Rate,MATCH(Tasks[[#This Row],[_Res2]],res_Name,0)),0))</f>
        <v>0</v>
      </c>
      <c r="CY176" s="45" t="n">
        <f aca="false">IF(AND(AND(Tasks[[#This Row],[_IsLeaf]]=1,Tasks[[#This Row],[_LeafTotalWork]]&gt;0),Tasks[[#This Row],[_Res2Work]]&gt;0),Tasks[[#This Row],[_Res2Work]]/(Tasks[[#This Row],[_FinishWorkday]]-Tasks[[#This Row],[_StartWorkday]]+1),0)</f>
        <v>0</v>
      </c>
      <c r="CZ176" s="45" t="n">
        <f aca="false">Tasks[[#This Row],[_Res2WorkPerWD]]*MAX(0,Tasks[[#This Row],[_StartWorkday]]-1)</f>
        <v>0</v>
      </c>
      <c r="DA176" s="45" t="n">
        <f aca="false">Tasks[[#This Row],[_Res2Work]]*Tasks[[#This Row],[_LeafProgress]]</f>
        <v>0</v>
      </c>
      <c r="DB176" s="45" t="n">
        <f aca="false">IF(Tasks[[#This Row],[_LeafTotalCost]]=0,0,Tasks[[#This Row],[_LeafAC]]*Tasks[[#This Row],[_Res2Cost]]/Tasks[[#This Row],[_LeafTotalCost]])</f>
        <v>0</v>
      </c>
      <c r="DC17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7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76" s="45" t="n">
        <f aca="false">IF(OR(NOT(Tasks[[#This Row],[_IsLeaf]]=1),Tasks[[#This Row],[_Res3]]=""),0,IF(ISNA(MATCH(Tasks[[#This Row],[_Res3]],res_Name,0)),0,N(Tasks[[#This Row],[Duration]])*HoursPerDay*IF(Tasks[[#This Row],[_Res3Units]]="",DefaultUnits,Tasks[[#This Row],[_Res3Units]])))</f>
        <v>0</v>
      </c>
      <c r="DF176" s="45" t="n">
        <f aca="false">IF(Tasks[[#This Row],[_Res3Work]]=0,0,Tasks[[#This Row],[_Res3Work]]*IFERROR(INDEX(res_Rate,MATCH(Tasks[[#This Row],[_Res3]],res_Name,0)),0))</f>
        <v>0</v>
      </c>
      <c r="DG176" s="45" t="n">
        <f aca="false">IF(AND(AND(Tasks[[#This Row],[_IsLeaf]]=1,Tasks[[#This Row],[_LeafTotalWork]]&gt;0),Tasks[[#This Row],[_Res3Work]]&gt;0),Tasks[[#This Row],[_Res3Work]]/(Tasks[[#This Row],[_FinishWorkday]]-Tasks[[#This Row],[_StartWorkday]]+1),0)</f>
        <v>0</v>
      </c>
      <c r="DH176" s="45" t="n">
        <f aca="false">Tasks[[#This Row],[_Res3WorkPerWD]]*MAX(0,Tasks[[#This Row],[_StartWorkday]]-1)</f>
        <v>0</v>
      </c>
      <c r="DI176" s="45" t="n">
        <f aca="false">Tasks[[#This Row],[_Res3Work]]*Tasks[[#This Row],[_LeafProgress]]</f>
        <v>0</v>
      </c>
      <c r="DJ176" s="45" t="n">
        <f aca="false">IF(Tasks[[#This Row],[_LeafTotalCost]]=0,0,Tasks[[#This Row],[_LeafAC]]*Tasks[[#This Row],[_Res3Cost]]/Tasks[[#This Row],[_LeafTotalCost]])</f>
        <v>0</v>
      </c>
      <c r="DK17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7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76" s="45" t="n">
        <f aca="false">IF(OR(NOT(Tasks[[#This Row],[_IsLeaf]]=1),Tasks[[#This Row],[_Res4]]=""),0,IF(ISNA(MATCH(Tasks[[#This Row],[_Res4]],res_Name,0)),0,N(Tasks[[#This Row],[Duration]])*HoursPerDay*IF(Tasks[[#This Row],[_Res4Units]]="",DefaultUnits,Tasks[[#This Row],[_Res4Units]])))</f>
        <v>0</v>
      </c>
      <c r="DN176" s="45" t="n">
        <f aca="false">IF(Tasks[[#This Row],[_Res4Work]]=0,0,Tasks[[#This Row],[_Res4Work]]*IFERROR(INDEX(res_Rate,MATCH(Tasks[[#This Row],[_Res4]],res_Name,0)),0))</f>
        <v>0</v>
      </c>
      <c r="DO176" s="45" t="n">
        <f aca="false">IF(AND(AND(Tasks[[#This Row],[_IsLeaf]]=1,Tasks[[#This Row],[_LeafTotalWork]]&gt;0),Tasks[[#This Row],[_Res4Work]]&gt;0),Tasks[[#This Row],[_Res4Work]]/(Tasks[[#This Row],[_FinishWorkday]]-Tasks[[#This Row],[_StartWorkday]]+1),0)</f>
        <v>0</v>
      </c>
      <c r="DP176" s="45" t="n">
        <f aca="false">Tasks[[#This Row],[_Res4WorkPerWD]]*MAX(0,Tasks[[#This Row],[_StartWorkday]]-1)</f>
        <v>0</v>
      </c>
      <c r="DQ176" s="45" t="n">
        <f aca="false">Tasks[[#This Row],[_Res4Work]]*Tasks[[#This Row],[_LeafProgress]]</f>
        <v>0</v>
      </c>
      <c r="DR176" s="45" t="n">
        <f aca="false">IF(Tasks[[#This Row],[_LeafTotalCost]]=0,0,Tasks[[#This Row],[_LeafAC]]*Tasks[[#This Row],[_Res4Cost]]/Tasks[[#This Row],[_LeafTotalCost]])</f>
        <v>0</v>
      </c>
      <c r="DS176" s="45" t="n">
        <f aca="false">IF(ISNUMBER(Tasks[[#This Row],[% Complete]]),Tasks[[#This Row],[% Complete]],IF(Tasks[[#This Row],[Stage]]="",0,IFERROR(INDEX(stg_Pct,MATCH(Tasks[[#This Row],[Stage]],stg_Name,0)),0)))</f>
        <v>0</v>
      </c>
      <c r="DT176" s="45" t="n">
        <f aca="false">IF(NOT(Tasks[[#This Row],[_IsLeaf]]=1),0,IF(N(Tasks[[#This Row],[Actual Finish]])&gt;0,1,MIN(1,Tasks[[#This Row],[_Pct]])))</f>
        <v>0</v>
      </c>
      <c r="DU176" s="45" t="n">
        <f aca="false">IF(OR(NOT(Tasks[[#This Row],[_IsLeaf]]=1),Tasks[[#This Row],[_Resource1]]=""),0,IF(ISNA(MATCH(Tasks[[#This Row],[_Resource1]],res_Name,0)),0,N(Tasks[[#This Row],[Duration]])*HoursPerDay*IF(Tasks[[#This Row],[_Units1]]="",DefaultUnits,Tasks[[#This Row],[_Units1]])))</f>
        <v>0</v>
      </c>
      <c r="DV176" s="45" t="n">
        <f aca="false">IF(Tasks[[#This Row],[_LeafWork]]=0,0,Tasks[[#This Row],[_LeafWork]]*IFERROR(INDEX(res_Rate,MATCH(Tasks[[#This Row],[_Resource1]],res_Name,0)),0))</f>
        <v>0</v>
      </c>
      <c r="DW176" s="45" t="n">
        <f aca="false">Tasks[[#This Row],[_LeafWork]]+Tasks[[#This Row],[_Res2Work]]+Tasks[[#This Row],[_Res3Work]]+Tasks[[#This Row],[_Res4Work]]</f>
        <v>0</v>
      </c>
      <c r="DX176" s="45" t="n">
        <f aca="false">Tasks[[#This Row],[_LeafCost]]+Tasks[[#This Row],[_Res2Cost]]+Tasks[[#This Row],[_Res3Cost]]+Tasks[[#This Row],[_Res4Cost]]</f>
        <v>0</v>
      </c>
      <c r="DY176" s="45" t="n">
        <f aca="false">IF(Tasks[[#This Row],[_LeafTotalCost]]=0,Tasks[[#This Row],[_LeafAC]],Tasks[[#This Row],[_LeafAC]]*Tasks[[#This Row],[_LeafCost]]/Tasks[[#This Row],[_LeafTotalCost]])</f>
        <v>0</v>
      </c>
      <c r="DZ17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7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7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7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7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7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7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7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76" s="45" t="n">
        <f aca="false">IF(NOT(Tasks[[#This Row],[_IsLeaf]]=1),0,MAX(_xlfn.MAXIFS(Tasks[_Row],Tasks[_Pred1UID],Tasks[[#This Row],[UID]]),_xlfn.MAXIFS(Tasks[_Row],Tasks[_Pred2UID],Tasks[[#This Row],[UID]]),_xlfn.MAXIFS(Tasks[_Row],Tasks[_Pred3UID],Tasks[[#This Row],[UID]]),_xlfn.MAXIFS(Tasks[_Row],Tasks[_Pred4UID],Tasks[[#This Row],[UID]])))</f>
        <v>0</v>
      </c>
      <c r="EI17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7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76" s="74" t="str">
        <f aca="false">IF(NOT(Tasks[[#This Row],[_IsLeaf]]=1),"",IF(N(Tasks[[#This Row],[Duration]])&lt;=0,Tasks[[#This Row],[_LeafLateFinish]],WORKDAY.INTL(Tasks[[#This Row],[_LeafLateFinish]],-(Tasks[[#This Row],[Duration]]-1),WorkWeek,Holidays)))</f>
        <v/>
      </c>
      <c r="EL17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76" s="73" t="b">
        <f aca="false">AND(Tasks[[#This Row],[_IsLeaf]]=1,Tasks[[#This Row],[_LeafProgress]]&lt;1,N(Tasks[[#This Row],[_LeafTotalSlack]])&lt;=CriticalSlackDays)</f>
        <v>0</v>
      </c>
      <c r="EN176" s="45" t="n">
        <f aca="false">IF(AND(Tasks[[#This Row],[_IsLeaf]]=1,Tasks[[#This Row],[_ConstraintCode]]=1,Tasks[[#This Row],[Mode]]&lt;&gt;"Manual",N(Tasks[[#This Row],[Actual Start]])=0),MAX(0,N(Tasks[[#This Row],[Free Slack]])),0)</f>
        <v>0</v>
      </c>
      <c r="EO176" s="74" t="str">
        <f aca="false">IF(NOT(Tasks[[#This Row],[_IsLeaf]]=1),"",IF(Tasks[[#This Row],[_AlapShift]]=0,Tasks[[#This Row],[_LeafCalcStart]],WORKDAY.INTL(Tasks[[#This Row],[_LeafCalcStart]],Tasks[[#This Row],[_AlapShift]],WorkWeek,Holidays)))</f>
        <v/>
      </c>
      <c r="EP176" s="74" t="str">
        <f aca="false">IF(NOT(Tasks[[#This Row],[_IsLeaf]]=1),"",IF(Tasks[[#This Row],[_AlapShift]]=0,Tasks[[#This Row],[_LeafCalcFinish]],WORKDAY.INTL(Tasks[[#This Row],[_LeafCalcFinish]],Tasks[[#This Row],[_AlapShift]],WorkWeek,Holidays)))</f>
        <v/>
      </c>
      <c r="EQ176" s="74" t="str">
        <f aca="false">IF(NOT(Tasks[[#This Row],[_IsLeaf]]=1),"",IF(Tasks[[#This Row],[_AlapShift]]=0,Tasks[[#This Row],[_LeafFcstStart]],WORKDAY.INTL(Tasks[[#This Row],[_LeafFcstStart]],Tasks[[#This Row],[_AlapShift]],WorkWeek,Holidays)))</f>
        <v/>
      </c>
      <c r="ER176" s="74" t="str">
        <f aca="false">IF(NOT(Tasks[[#This Row],[_IsLeaf]]=1),"",IF(Tasks[[#This Row],[_AlapShift]]=0,Tasks[[#This Row],[_LeafFcstFinish]],WORKDAY.INTL(Tasks[[#This Row],[_LeafFcstFinish]],Tasks[[#This Row],[_AlapShift]],WorkWeek,Holidays)))</f>
        <v/>
      </c>
      <c r="ES176" s="74" t="str">
        <f aca="false">IF(Tasks[[#This Row],[Task Name]]="","",IF(Tasks[[#This Row],[_IsSummary]],MIN(INDEX(Tasks[_ShownCalcStart],Tasks[[#This Row],[_Row]]+1):INDEX(Tasks[_ShownCalcStart],Tasks[[#This Row],[_Row]]+Tasks[[#This Row],[_Descendants]])),Tasks[[#This Row],[_ShownCalcStart]]))</f>
        <v/>
      </c>
      <c r="ET176" s="74" t="str">
        <f aca="false">IF(Tasks[[#This Row],[Task Name]]="","",IF(Tasks[[#This Row],[_IsSummary]],MAX(INDEX(Tasks[_ShownCalcFinish],Tasks[[#This Row],[_Row]]+1):INDEX(Tasks[_ShownCalcFinish],Tasks[[#This Row],[_Row]]+Tasks[[#This Row],[_Descendants]])),Tasks[[#This Row],[_ShownCalcFinish]]))</f>
        <v/>
      </c>
      <c r="EU17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7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7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7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7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7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7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7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7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7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7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7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76" s="45" t="n">
        <f aca="false">IF(AND(Tasks[[#This Row],[_IsLeaf]]=1,Tasks[[#This Row],[_LeafTotalWork]]&gt;0),NETWORKDAYS.INTL(ProjectStart,Tasks[[#This Row],[_ShownFcstStart]],WorkWeek,Holidays),0)</f>
        <v>0</v>
      </c>
      <c r="FH176" s="45" t="n">
        <f aca="false">IF(AND(Tasks[[#This Row],[_IsLeaf]]=1,Tasks[[#This Row],[_LeafTotalWork]]&gt;0),MAX(Tasks[[#This Row],[_StartWorkday]],NETWORKDAYS.INTL(ProjectStart,Tasks[[#This Row],[_ShownFcstFinish]],WorkWeek,Holidays)),0)</f>
        <v>0</v>
      </c>
      <c r="FI176" s="45" t="n">
        <f aca="false">IF(AND(Tasks[[#This Row],[_IsLeaf]]=1,Tasks[[#This Row],[_LeafTotalWork]]&gt;0),Tasks[[#This Row],[_LeafWork]]/(Tasks[[#This Row],[_FinishWorkday]]-Tasks[[#This Row],[_StartWorkday]]+1),0)</f>
        <v>0</v>
      </c>
      <c r="FJ176" s="45" t="n">
        <f aca="false">Tasks[[#This Row],[_WorkPerWorkday]]*(Tasks[[#This Row],[_StartWorkday]]-1)</f>
        <v>-0</v>
      </c>
      <c r="FK176" s="45" t="n">
        <f aca="false">IF(Tasks[[#This Row],[_IsLeaf]]=1,MAX(N(Tasks[[#This Row],[Duration]]),0.1),0)</f>
        <v>0</v>
      </c>
      <c r="FL176" s="45" t="n">
        <f aca="false">Tasks[[#This Row],[_WeightDur]]*Tasks[[#This Row],[_LeafProgress]]</f>
        <v>0</v>
      </c>
      <c r="FM17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76" s="45" t="str">
        <f aca="false">IF(AND(Tasks[[#This Row],[_IsLeaf]]=1,N(Tasks[[#This Row],[Duration]])=0,Tasks[[#This Row],[_LeafProgress]]&lt;1),Tasks[[#This Row],[_ShownFcstFinish]]+Tasks[[#This Row],[_Row]]/100000,"")</f>
        <v/>
      </c>
      <c r="FO17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76" s="45" t="n">
        <f aca="false">IF(NOT(Tasks[[#This Row],[_IsLeaf]]=1),0,IF(Tasks[[#This Row],[Baseline Cost]]="",Tasks[[#This Row],[_LeafTotalCost]],N(Tasks[[#This Row],[Baseline Cost]])))</f>
        <v>0</v>
      </c>
      <c r="FQ176" s="45" t="n">
        <f aca="false">Tasks[[#This Row],[_LeafBudget]]*Tasks[[#This Row],[_PlannedPct]]</f>
        <v>0</v>
      </c>
      <c r="FR176" s="45" t="n">
        <f aca="false">Tasks[[#This Row],[_LeafBudget]]*Tasks[[#This Row],[_LeafProgress]]</f>
        <v>0</v>
      </c>
      <c r="FS176" s="45" t="n">
        <f aca="false">IF(NOT(Tasks[[#This Row],[_IsLeaf]]=1),0,IF(Tasks[[#This Row],[Actual Cost]]="",Tasks[[#This Row],[_LeafTotalCost]]*Tasks[[#This Row],[_LeafProgress]],N(Tasks[[#This Row],[Actual Cost]])))</f>
        <v>0</v>
      </c>
      <c r="FT176" s="45" t="str">
        <f aca="false">IF(Tasks[[#This Row],[Task Name]]="","",LEFT(Tasks[[#This Row],[WBS]],FIND(".",Tasks[[#This Row],[WBS]]&amp;".")-1))</f>
        <v/>
      </c>
      <c r="FU176" s="45" t="str">
        <f aca="false">IF(AND(Tasks[[#This Row],[Task Name]]&lt;&gt;"",Tasks[[#This Row],[_Level]]=1),Tasks[[#This Row],[_Row]],"")</f>
        <v/>
      </c>
      <c r="FV176" s="45" t="str">
        <f aca="false">IF(AND(Tasks[[#This Row],[_IsLeaf]]=1,N(Tasks[[#This Row],[Duration]])=0),Tasks[[#This Row],[Planned Finish]]+Tasks[[#This Row],[_Row]]/100000,"")</f>
        <v/>
      </c>
      <c r="FW176" s="45" t="str">
        <f aca="false">IF(AND(Tasks[[#This Row],[_IsLeaf]]=1,Tasks[[#This Row],[_LeafProgress]]&lt;1,OR(N(Tasks[[#This Row],[Finish Var]])&gt;0,Tasks[[#This Row],[Status]]="Late Start")),MAX(0,Tasks[[#This Row],[Finish Var]])+1-Tasks[[#This Row],[_Row]]/1000000,"")</f>
        <v/>
      </c>
      <c r="FX176" s="45" t="str">
        <f aca="false">IF(AND(Tasks[[#This Row],[_IsLeaf]]=1,N(Tasks[[#This Row],[Actual Start]])=0,Tasks[[#This Row],[_ShownFcstStart]]&gt;=StatusDate,Tasks[[#This Row],[_ShownFcstStart]]&lt;=LookaheadEnd),Tasks[[#This Row],[_ShownFcstStart]]+Tasks[[#This Row],[_Row]]/100000,"")</f>
        <v/>
      </c>
      <c r="FY176" s="45" t="str">
        <f aca="false">IF(AND(Tasks[[#This Row],[_IsLeaf]]=1,Tasks[[#This Row],[_LeafProgress]]&lt;1,Tasks[[#This Row],[_ShownFcstFinish]]&gt;=StatusDate,Tasks[[#This Row],[_ShownFcstFinish]]&lt;=LookaheadEnd),Tasks[[#This Row],[_ShownFcstFinish]]+Tasks[[#This Row],[_Row]]/100000,"")</f>
        <v/>
      </c>
      <c r="FZ176" s="45" t="str">
        <f aca="false">IF(Tasks[[#This Row],[_LeafCritical]],Tasks[[#This Row],[_ShownFcstStart]]+Tasks[[#This Row],[_Row]]/100000,"")</f>
        <v/>
      </c>
      <c r="GA176" s="45" t="n">
        <f aca="false">Tasks[[#This Row],[_LeafWork]]*Tasks[[#This Row],[_LeafProgress]]</f>
        <v>0</v>
      </c>
      <c r="GB176" s="74" t="str">
        <f aca="false">IF(AND(Tasks[[#This Row],[_IsLeaf]]=1,Tasks[[#This Row],[_LeafProgress]]&gt;=1),IF(N(Tasks[[#This Row],[Actual Finish]])&gt;0,Tasks[[#This Row],[Actual Finish]],Tasks[[#This Row],[_ShownFcstFinish]]),"")</f>
        <v/>
      </c>
    </row>
    <row r="177" customFormat="false" ht="15" hidden="false" customHeight="false" outlineLevel="0" collapsed="false">
      <c r="A177" s="67" t="str">
        <f aca="false">IF(Tasks[[#This Row],[Task Name]]="","",COUNTA(Tasks[[#Headers],[Task Name]]:Tasks[[#This Row],[Task Name]])-1)</f>
        <v/>
      </c>
      <c r="B177" s="21" t="n">
        <v>172</v>
      </c>
      <c r="C17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21"/>
      <c r="E177" s="22"/>
      <c r="F177" s="21"/>
      <c r="G177" s="22"/>
      <c r="H177" s="22"/>
      <c r="I177" s="22"/>
      <c r="J177" s="7"/>
      <c r="K177" s="7"/>
      <c r="L177" s="22"/>
      <c r="M177" s="58" t="str">
        <f aca="false">IF(Tasks[[#This Row],[Task Name]]="","",IF(Tasks[[#This Row],[_IsSummary]],MIN(INDEX(Tasks[_ShownFcstStart],Tasks[[#This Row],[_Row]]+1):INDEX(Tasks[_ShownFcstStart],Tasks[[#This Row],[_Row]]+Tasks[[#This Row],[_Descendants]])),Tasks[[#This Row],[_ShownFcstStart]]))</f>
        <v/>
      </c>
      <c r="N177" s="58" t="str">
        <f aca="false">IF(Tasks[[#This Row],[Task Name]]="","",IF(Tasks[[#This Row],[_IsSummary]],MAX(INDEX(Tasks[_ShownFcstFinish],Tasks[[#This Row],[_Row]]+1):INDEX(Tasks[_ShownFcstFinish],Tasks[[#This Row],[_Row]]+Tasks[[#This Row],[_Descendants]])),Tasks[[#This Row],[_ShownFcstFinish]]))</f>
        <v/>
      </c>
      <c r="O177" s="20" t="str">
        <f aca="false">IF(Tasks[[#This Row],[Task Name]]="","",IF(Tasks[[#This Row],[Progress]]&gt;=1,"Complete",IF(OR(N(Tasks[[#This Row],[Actual Start]])&gt;0,Tasks[[#This Row],[Progress]]&gt;0),IF(Tasks[[#This Row],[Finish Var]]&gt;0,"Behind","In Progress"),IF(Tasks[[#This Row],[Planned Start]]&lt;StatusDate,"Late Start","Not Started"))))</f>
        <v/>
      </c>
      <c r="P177" s="20" t="str">
        <f aca="false">IF(Tasks[[#This Row],[Task Name]]="","",IF(IF(Tasks[[#This Row],[_IsSummary]],COUNTIF(INDEX(Tasks[_LeafCritical],Tasks[[#This Row],[_Row]]+1):INDEX(Tasks[_LeafCritical],Tasks[[#This Row],[_Row]]+Tasks[[#This Row],[_Descendants]]),TRUE())&gt;0,Tasks[[#This Row],[_LeafCritical]]),"Yes",""))</f>
        <v/>
      </c>
      <c r="Q17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77" s="67" t="str">
        <f aca="false">IF(Tasks[[#This Row],[Task Name]]="","",IF(Tasks[[#This Row],[_Level]]&lt;=OutlineShowLevel,"Yes","No"))</f>
        <v/>
      </c>
      <c r="S177" s="7"/>
      <c r="T177" s="21"/>
      <c r="U177" s="22"/>
      <c r="V177" s="7"/>
      <c r="W177" s="67" t="str">
        <f aca="false">IF(Tasks[[#This Row],[Task Name]]="","",IF(Tasks[[#This Row],[Finish]]&gt;=Tasks[[#This Row],[Planned Finish]],NETWORKDAYS.INTL(Tasks[[#This Row],[Planned Finish]],Tasks[[#This Row],[Finish]],WorkWeek,Holidays)-1,1-NETWORKDAYS.INTL(Tasks[[#This Row],[Finish]],Tasks[[#This Row],[Planned Finish]],WorkWeek,Holidays)))</f>
        <v/>
      </c>
      <c r="X177" s="58" t="str">
        <f aca="false">IF(Tasks[[#This Row],[Task Name]]="","",IF(N(Tasks[[#This Row],[Baseline Start]])&gt;0,Tasks[[#This Row],[Baseline Start]],Tasks[[#This Row],[_CalcStart]]))</f>
        <v/>
      </c>
      <c r="Y177" s="58" t="str">
        <f aca="false">IF(Tasks[[#This Row],[Task Name]]="","",IF(N(Tasks[[#This Row],[Baseline Finish]])&gt;0,Tasks[[#This Row],[Baseline Finish]],Tasks[[#This Row],[_CalcFinish]]))</f>
        <v/>
      </c>
      <c r="Z177" s="67" t="str">
        <f aca="false">IF(Tasks[[#This Row],[Task Name]]="","",IF(Tasks[[#This Row],[Start]]&gt;=Tasks[[#This Row],[Planned Start]],NETWORKDAYS.INTL(Tasks[[#This Row],[Planned Start]],Tasks[[#This Row],[Start]],WorkWeek,Holidays)-1,1-NETWORKDAYS.INTL(Tasks[[#This Row],[Start]],Tasks[[#This Row],[Planned Start]],WorkWeek,Holidays)))</f>
        <v/>
      </c>
      <c r="AA177" s="58" t="str">
        <f aca="false">IF(Tasks[[#This Row],[Task Name]]="","",IF(Tasks[[#This Row],[_IsSummary]],MIN(INDEX(Tasks[_LeafLateStart],Tasks[[#This Row],[_Row]]+1):INDEX(Tasks[_LeafLateStart],Tasks[[#This Row],[_Row]]+Tasks[[#This Row],[_Descendants]])),Tasks[[#This Row],[_LeafLateStart]]))</f>
        <v/>
      </c>
      <c r="AB177" s="58" t="str">
        <f aca="false">IF(Tasks[[#This Row],[Task Name]]="","",IF(Tasks[[#This Row],[_IsSummary]],MAX(INDEX(Tasks[_LeafLateFinish],Tasks[[#This Row],[_Row]]+1):INDEX(Tasks[_LeafLateFinish],Tasks[[#This Row],[_Row]]+Tasks[[#This Row],[_Descendants]])),Tasks[[#This Row],[_LeafLateFinish]]))</f>
        <v/>
      </c>
      <c r="AC177" s="67" t="str">
        <f aca="false">IF(Tasks[[#This Row],[Task Name]]="","",IF(Tasks[[#This Row],[_IsSummary]],MIN(INDEX(Tasks[_LeafTotalSlack],Tasks[[#This Row],[_Row]]+1):INDEX(Tasks[_LeafTotalSlack],Tasks[[#This Row],[_Row]]+Tasks[[#This Row],[_Descendants]])),Tasks[[#This Row],[_LeafTotalSlack]]))</f>
        <v/>
      </c>
      <c r="AD17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7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7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77" s="60"/>
      <c r="AH17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7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77" s="69" t="str">
        <f aca="false">IF(Tasks[[#This Row],[Task Name]]="","",IF(Tasks[[#This Row],[_IsSummary]],SUM(INDEX(Tasks[_LeafTotalWork],Tasks[[#This Row],[_Row]]+1):INDEX(Tasks[_LeafTotalWork],Tasks[[#This Row],[_Row]]+Tasks[[#This Row],[_Descendants]])),Tasks[[#This Row],[_LeafTotalWork]]))</f>
        <v/>
      </c>
      <c r="AK17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77" s="70" t="str">
        <f aca="false">IF(Tasks[[#This Row],[Task Name]]="","",IF(Tasks[[#This Row],[_IsSummary]],SUM(INDEX(Tasks[_LeafTotalCost],Tasks[[#This Row],[_Row]]+1):INDEX(Tasks[_LeafTotalCost],Tasks[[#This Row],[_Row]]+Tasks[[#This Row],[_Descendants]])),Tasks[[#This Row],[_LeafTotalCost]]))</f>
        <v/>
      </c>
      <c r="AM177" s="71"/>
      <c r="AN177" s="20" t="str">
        <f aca="false">IF(OR(Tasks[[#This Row],[Task Name]]="",Tasks[[#This Row],[Baseline Duration]]=""),"",Tasks[[#This Row],[BL Source Duration]]-N(Tasks[[#This Row],[Baseline Duration]]))</f>
        <v/>
      </c>
      <c r="AO177" s="69" t="str">
        <f aca="false">IF(OR(Tasks[[#This Row],[Task Name]]="",Tasks[[#This Row],[Baseline Work]]=""),"",Tasks[[#This Row],[Work]]-N(Tasks[[#This Row],[Baseline Work]]))</f>
        <v/>
      </c>
      <c r="AP177" s="70" t="str">
        <f aca="false">IF(OR(Tasks[[#This Row],[Task Name]]="",Tasks[[#This Row],[Baseline Cost]]=""),"",Tasks[[#This Row],[Cost]]-N(Tasks[[#This Row],[Baseline Cost]]))</f>
        <v/>
      </c>
      <c r="AQ177" s="58" t="str">
        <f aca="false">IF(Tasks[[#This Row],[Task Name]]="","",Tasks[[#This Row],[Start]])</f>
        <v/>
      </c>
      <c r="AR177" s="58" t="str">
        <f aca="false">IF(Tasks[[#This Row],[Task Name]]="","",Tasks[[#This Row],[Finish]])</f>
        <v/>
      </c>
      <c r="AS177" s="67" t="str">
        <f aca="false">IF(Tasks[[#This Row],[Task Name]]="","",IF(Tasks[[#This Row],[_IsSummary]],NETWORKDAYS.INTL(Tasks[[#This Row],[Start]],Tasks[[#This Row],[Finish]],WorkWeek,Holidays),N(Tasks[[#This Row],[Duration]])))</f>
        <v/>
      </c>
      <c r="AT177" s="69" t="str">
        <f aca="false">IF(Tasks[[#This Row],[Task Name]]="","",Tasks[[#This Row],[Work]])</f>
        <v/>
      </c>
      <c r="AU177" s="70" t="str">
        <f aca="false">IF(Tasks[[#This Row],[Task Name]]="","",Tasks[[#This Row],[Cost]])</f>
        <v/>
      </c>
      <c r="AV177" s="7"/>
      <c r="AW177" s="7"/>
      <c r="AX177" s="21"/>
      <c r="AY177" s="72"/>
      <c r="AZ177" s="71"/>
      <c r="BA177" s="70" t="str">
        <f aca="false">IF(Tasks[[#This Row],[Task Name]]="","",IF(Tasks[[#This Row],[_IsSummary]],SUM(INDEX(Tasks[_LeafEV],Tasks[[#This Row],[_Row]]+1):INDEX(Tasks[_LeafEV],Tasks[[#This Row],[_Row]]+Tasks[[#This Row],[_Descendants]])),Tasks[[#This Row],[_LeafEV]]))</f>
        <v/>
      </c>
      <c r="BB177" s="70" t="str">
        <f aca="false">IF(Tasks[[#This Row],[Task Name]]="","",IF(Tasks[[#This Row],[_IsSummary]],SUM(INDEX(Tasks[_LeafBudget],Tasks[[#This Row],[_Row]]+1):INDEX(Tasks[_LeafBudget],Tasks[[#This Row],[_Row]]+Tasks[[#This Row],[_Descendants]])),Tasks[[#This Row],[_LeafBudget]]))</f>
        <v/>
      </c>
      <c r="BC177" s="70" t="str">
        <f aca="false">IF(Tasks[[#This Row],[Task Name]]="","",IF(Tasks[[#This Row],[_IsSummary]],SUM(INDEX(Tasks[_LeafPV],Tasks[[#This Row],[_Row]]+1):INDEX(Tasks[_LeafPV],Tasks[[#This Row],[_Row]]+Tasks[[#This Row],[_Descendants]])),Tasks[[#This Row],[_LeafPV]]))</f>
        <v/>
      </c>
      <c r="BD177" s="70" t="str">
        <f aca="false">IF(Tasks[[#This Row],[Task Name]]="","",IF(Tasks[[#This Row],[_IsSummary]],SUM(INDEX(Tasks[_LeafAC],Tasks[[#This Row],[_Row]]+1):INDEX(Tasks[_LeafAC],Tasks[[#This Row],[_Row]]+Tasks[[#This Row],[_Descendants]])),Tasks[[#This Row],[_LeafAC]]))</f>
        <v/>
      </c>
      <c r="BE177" s="45" t="str">
        <f aca="false">IF(Tasks[[#This Row],[Task Name]]="","",MAX(1,N(Tasks[[#This Row],[Level]])))</f>
        <v/>
      </c>
      <c r="BF177" s="45" t="n">
        <f aca="false">ROW()-ROW(Tasks[[#Headers],[ID]])</f>
        <v>172</v>
      </c>
      <c r="BG177" s="45" t="n">
        <f aca="false">IF(OR(Tasks[[#This Row],[Task Name]]="",Tasks[[#This Row],[_Level]]&lt;=1),0,IFERROR(LOOKUP(2,1/(Tasks[[#Headers],[_Level]]:Tasks[[#This Row],[_Level]]=Tasks[[#This Row],[_Level]]-1),ROW(Tasks[[#Headers],[_Level]]:Tasks[[#This Row],[_Level]])),0))</f>
        <v>0</v>
      </c>
      <c r="BH177" s="45" t="n">
        <f aca="false">IFERROR(N(INDEX(Tasks[_Level],Tasks[[#This Row],[_Row]]+1)),0)</f>
        <v>0</v>
      </c>
      <c r="BI177" s="73" t="b">
        <f aca="false">AND(Tasks[[#This Row],[Task Name]]&lt;&gt;"",Tasks[[#This Row],[_NextLevel]]&gt;Tasks[[#This Row],[_Level]])</f>
        <v>0</v>
      </c>
      <c r="BJ177" s="45" t="n">
        <f aca="false">IF(Tasks[[#This Row],[_IsSummary]],COUNTIF(Tasks[WBS],Tasks[[#This Row],[WBS]]&amp;".*"),0)</f>
        <v>0</v>
      </c>
      <c r="BK177" s="45" t="n">
        <f aca="false">IF(AND(Tasks[[#This Row],[Task Name]]&lt;&gt;"",NOT(Tasks[[#This Row],[_IsSummary]])),1,0)</f>
        <v>0</v>
      </c>
      <c r="BL177" s="45" t="n">
        <f aca="false">IF(N(Tasks[[#This Row],[_Pred1UID]])=0,0,IFERROR(MATCH(Tasks[[#This Row],[_Pred1UID]],Tasks[UID],0),-1))</f>
        <v>0</v>
      </c>
      <c r="BM177" s="45" t="n">
        <f aca="false">IF(N(Tasks[[#This Row],[_Pred2UID]])=0,0,IFERROR(MATCH(Tasks[[#This Row],[_Pred2UID]],Tasks[UID],0),-1))</f>
        <v>0</v>
      </c>
      <c r="BN177" s="45" t="n">
        <f aca="false">IF(N(Tasks[[#This Row],[_Pred3UID]])=0,0,IFERROR(MATCH(Tasks[[#This Row],[_Pred3UID]],Tasks[UID],0),-1))</f>
        <v>0</v>
      </c>
      <c r="BO177" s="45" t="n">
        <f aca="false">IF(N(Tasks[[#This Row],[_Pred4UID]])=0,0,IFERROR(MATCH(Tasks[[#This Row],[_Pred4UID]],Tasks[UID],0),-1))</f>
        <v>0</v>
      </c>
      <c r="BP17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7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77" s="74" t="n">
        <f aca="false">IF(OR(Tasks[[#This Row],[_ConstraintCode]]=2,Tasks[[#This Row],[_ConstraintCode]]=3,Tasks[[#This Row],[_ConstraintCode]]=4,Tasks[[#This Row],[_ConstraintCode]]=6),Tasks[[#This Row],[_ConstraintStart]],0)</f>
        <v>0</v>
      </c>
      <c r="BS177" s="74" t="n">
        <f aca="false">IF(OR(Tasks[[#This Row],[_ConstraintCode]]=2,Tasks[[#This Row],[_ConstraintCode]]=3,Tasks[[#This Row],[_ConstraintCode]]=5,Tasks[[#This Row],[_ConstraintCode]]=7),Tasks[[#This Row],[_ConstraintStart]],2958465)</f>
        <v>2958465</v>
      </c>
      <c r="BT17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77" s="74" t="str">
        <f aca="false">IF(NOT(Tasks[[#This Row],[_IsLeaf]]=1),"",IF(N(Tasks[[#This Row],[Duration]])&lt;=0,Tasks[[#This Row],[_LeafCalcStart]],WORKDAY.INTL(Tasks[[#This Row],[_LeafCalcStart]],Tasks[[#This Row],[Duration]]-1,WorkWeek,Holidays)))</f>
        <v/>
      </c>
      <c r="BV17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7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77" s="45" t="str">
        <f aca="false">IF(Tasks[[#This Row],[Predecessors]]="","",TRIM(MID(SUBSTITUTE(SUBSTITUTE(SUBSTITUTE(UPPER(Tasks[[#This Row],[Predecessors]]),";",",")," ",""),",",REPT(" ",99)),1,99)))</f>
        <v/>
      </c>
      <c r="BY177" s="45" t="str">
        <f aca="false">IF(Tasks[[#This Row],[_Pred1Text]]="","",IFERROR(VALUE(LEFT(Tasks[[#This Row],[_Pred1Text]],MIN(FIND("F",Tasks[[#This Row],[_Pred1Text]]&amp;"F"),FIND("S",Tasks[[#This Row],[_Pred1Text]]&amp;"S"),FIND("+",Tasks[[#This Row],[_Pred1Text]]&amp;"+"),FIND("-",Tasks[[#This Row],[_Pred1Text]]&amp;"-"))-1)),""))</f>
        <v/>
      </c>
      <c r="BZ17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7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77" s="45" t="str">
        <f aca="false">IF(Tasks[[#This Row],[_Pred1Text]]="","",TRIM(MID(SUBSTITUTE(SUBSTITUTE(SUBSTITUTE(UPPER(Tasks[[#This Row],[Predecessors]]),";",",")," ",""),",",REPT(" ",99)),100,99)))</f>
        <v/>
      </c>
      <c r="CC177" s="45" t="str">
        <f aca="false">IF(Tasks[[#This Row],[_Pred2Text]]="","",IFERROR(VALUE(LEFT(Tasks[[#This Row],[_Pred2Text]],MIN(FIND("F",Tasks[[#This Row],[_Pred2Text]]&amp;"F"),FIND("S",Tasks[[#This Row],[_Pred2Text]]&amp;"S"),FIND("+",Tasks[[#This Row],[_Pred2Text]]&amp;"+"),FIND("-",Tasks[[#This Row],[_Pred2Text]]&amp;"-"))-1)),""))</f>
        <v/>
      </c>
      <c r="CD17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7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77" s="45" t="str">
        <f aca="false">IF(Tasks[[#This Row],[_Pred2Text]]="","",TRIM(MID(SUBSTITUTE(SUBSTITUTE(SUBSTITUTE(UPPER(Tasks[[#This Row],[Predecessors]]),";",",")," ",""),",",REPT(" ",99)),199,99)))</f>
        <v/>
      </c>
      <c r="CG177" s="45" t="str">
        <f aca="false">IF(Tasks[[#This Row],[_Pred3Text]]="","",IFERROR(VALUE(LEFT(Tasks[[#This Row],[_Pred3Text]],MIN(FIND("F",Tasks[[#This Row],[_Pred3Text]]&amp;"F"),FIND("S",Tasks[[#This Row],[_Pred3Text]]&amp;"S"),FIND("+",Tasks[[#This Row],[_Pred3Text]]&amp;"+"),FIND("-",Tasks[[#This Row],[_Pred3Text]]&amp;"-"))-1)),""))</f>
        <v/>
      </c>
      <c r="CH17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7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77" s="45" t="str">
        <f aca="false">IF(Tasks[[#This Row],[_Pred3Text]]="","",TRIM(MID(SUBSTITUTE(SUBSTITUTE(SUBSTITUTE(UPPER(Tasks[[#This Row],[Predecessors]]),";",",")," ",""),",",REPT(" ",99)),298,99)))</f>
        <v/>
      </c>
      <c r="CK177" s="45" t="str">
        <f aca="false">IF(Tasks[[#This Row],[_Pred4Text]]="","",IFERROR(VALUE(LEFT(Tasks[[#This Row],[_Pred4Text]],MIN(FIND("F",Tasks[[#This Row],[_Pred4Text]]&amp;"F"),FIND("S",Tasks[[#This Row],[_Pred4Text]]&amp;"S"),FIND("+",Tasks[[#This Row],[_Pred4Text]]&amp;"+"),FIND("-",Tasks[[#This Row],[_Pred4Text]]&amp;"-"))-1)),""))</f>
        <v/>
      </c>
      <c r="CL17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7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77" s="45" t="str">
        <f aca="false">IF(OR(Tasks[[#This Row],[Task Name]]="",Tasks[[#This Row],[Resources]]=""),"",TRIM(MID(SUBSTITUTE(Tasks[[#This Row],[Resources]],",",REPT(" ",99)),1,99)))</f>
        <v/>
      </c>
      <c r="CO177" s="45" t="str">
        <f aca="false">IF(Tasks[[#This Row],[_Res1Text]]="","",TRIM(MID(SUBSTITUTE(Tasks[[#This Row],[Resources]],",",REPT(" ",99)),100,99)))</f>
        <v/>
      </c>
      <c r="CP177" s="45" t="str">
        <f aca="false">IF(Tasks[[#This Row],[_Res2Text]]="","",TRIM(MID(SUBSTITUTE(Tasks[[#This Row],[Resources]],",",REPT(" ",99)),199,99)))</f>
        <v/>
      </c>
      <c r="CQ177" s="45" t="str">
        <f aca="false">IF(Tasks[[#This Row],[_Res3Text]]="","",TRIM(MID(SUBSTITUTE(Tasks[[#This Row],[Resources]],",",REPT(" ",99)),298,99)))</f>
        <v/>
      </c>
      <c r="CR17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7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7" s="45" t="n">
        <f aca="false">IF(NOT(Tasks[[#This Row],[_IsLeaf]]=1),0,(Tasks[[#This Row],[_Resource1]]&lt;&gt;"")+(Tasks[[#This Row],[_Res2]]&lt;&gt;"")+(Tasks[[#This Row],[_Res3]]&lt;&gt;"")+(Tasks[[#This Row],[_Res4]]&lt;&gt;""))</f>
        <v>0</v>
      </c>
      <c r="CU17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7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7" s="45" t="n">
        <f aca="false">IF(OR(NOT(Tasks[[#This Row],[_IsLeaf]]=1),Tasks[[#This Row],[_Res2]]=""),0,IF(ISNA(MATCH(Tasks[[#This Row],[_Res2]],res_Name,0)),0,N(Tasks[[#This Row],[Duration]])*HoursPerDay*IF(Tasks[[#This Row],[_Res2Units]]="",DefaultUnits,Tasks[[#This Row],[_Res2Units]])))</f>
        <v>0</v>
      </c>
      <c r="CX177" s="45" t="n">
        <f aca="false">IF(Tasks[[#This Row],[_Res2Work]]=0,0,Tasks[[#This Row],[_Res2Work]]*IFERROR(INDEX(res_Rate,MATCH(Tasks[[#This Row],[_Res2]],res_Name,0)),0))</f>
        <v>0</v>
      </c>
      <c r="CY177" s="45" t="n">
        <f aca="false">IF(AND(AND(Tasks[[#This Row],[_IsLeaf]]=1,Tasks[[#This Row],[_LeafTotalWork]]&gt;0),Tasks[[#This Row],[_Res2Work]]&gt;0),Tasks[[#This Row],[_Res2Work]]/(Tasks[[#This Row],[_FinishWorkday]]-Tasks[[#This Row],[_StartWorkday]]+1),0)</f>
        <v>0</v>
      </c>
      <c r="CZ177" s="45" t="n">
        <f aca="false">Tasks[[#This Row],[_Res2WorkPerWD]]*MAX(0,Tasks[[#This Row],[_StartWorkday]]-1)</f>
        <v>0</v>
      </c>
      <c r="DA177" s="45" t="n">
        <f aca="false">Tasks[[#This Row],[_Res2Work]]*Tasks[[#This Row],[_LeafProgress]]</f>
        <v>0</v>
      </c>
      <c r="DB177" s="45" t="n">
        <f aca="false">IF(Tasks[[#This Row],[_LeafTotalCost]]=0,0,Tasks[[#This Row],[_LeafAC]]*Tasks[[#This Row],[_Res2Cost]]/Tasks[[#This Row],[_LeafTotalCost]])</f>
        <v>0</v>
      </c>
      <c r="DC17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7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77" s="45" t="n">
        <f aca="false">IF(OR(NOT(Tasks[[#This Row],[_IsLeaf]]=1),Tasks[[#This Row],[_Res3]]=""),0,IF(ISNA(MATCH(Tasks[[#This Row],[_Res3]],res_Name,0)),0,N(Tasks[[#This Row],[Duration]])*HoursPerDay*IF(Tasks[[#This Row],[_Res3Units]]="",DefaultUnits,Tasks[[#This Row],[_Res3Units]])))</f>
        <v>0</v>
      </c>
      <c r="DF177" s="45" t="n">
        <f aca="false">IF(Tasks[[#This Row],[_Res3Work]]=0,0,Tasks[[#This Row],[_Res3Work]]*IFERROR(INDEX(res_Rate,MATCH(Tasks[[#This Row],[_Res3]],res_Name,0)),0))</f>
        <v>0</v>
      </c>
      <c r="DG177" s="45" t="n">
        <f aca="false">IF(AND(AND(Tasks[[#This Row],[_IsLeaf]]=1,Tasks[[#This Row],[_LeafTotalWork]]&gt;0),Tasks[[#This Row],[_Res3Work]]&gt;0),Tasks[[#This Row],[_Res3Work]]/(Tasks[[#This Row],[_FinishWorkday]]-Tasks[[#This Row],[_StartWorkday]]+1),0)</f>
        <v>0</v>
      </c>
      <c r="DH177" s="45" t="n">
        <f aca="false">Tasks[[#This Row],[_Res3WorkPerWD]]*MAX(0,Tasks[[#This Row],[_StartWorkday]]-1)</f>
        <v>0</v>
      </c>
      <c r="DI177" s="45" t="n">
        <f aca="false">Tasks[[#This Row],[_Res3Work]]*Tasks[[#This Row],[_LeafProgress]]</f>
        <v>0</v>
      </c>
      <c r="DJ177" s="45" t="n">
        <f aca="false">IF(Tasks[[#This Row],[_LeafTotalCost]]=0,0,Tasks[[#This Row],[_LeafAC]]*Tasks[[#This Row],[_Res3Cost]]/Tasks[[#This Row],[_LeafTotalCost]])</f>
        <v>0</v>
      </c>
      <c r="DK17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7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77" s="45" t="n">
        <f aca="false">IF(OR(NOT(Tasks[[#This Row],[_IsLeaf]]=1),Tasks[[#This Row],[_Res4]]=""),0,IF(ISNA(MATCH(Tasks[[#This Row],[_Res4]],res_Name,0)),0,N(Tasks[[#This Row],[Duration]])*HoursPerDay*IF(Tasks[[#This Row],[_Res4Units]]="",DefaultUnits,Tasks[[#This Row],[_Res4Units]])))</f>
        <v>0</v>
      </c>
      <c r="DN177" s="45" t="n">
        <f aca="false">IF(Tasks[[#This Row],[_Res4Work]]=0,0,Tasks[[#This Row],[_Res4Work]]*IFERROR(INDEX(res_Rate,MATCH(Tasks[[#This Row],[_Res4]],res_Name,0)),0))</f>
        <v>0</v>
      </c>
      <c r="DO177" s="45" t="n">
        <f aca="false">IF(AND(AND(Tasks[[#This Row],[_IsLeaf]]=1,Tasks[[#This Row],[_LeafTotalWork]]&gt;0),Tasks[[#This Row],[_Res4Work]]&gt;0),Tasks[[#This Row],[_Res4Work]]/(Tasks[[#This Row],[_FinishWorkday]]-Tasks[[#This Row],[_StartWorkday]]+1),0)</f>
        <v>0</v>
      </c>
      <c r="DP177" s="45" t="n">
        <f aca="false">Tasks[[#This Row],[_Res4WorkPerWD]]*MAX(0,Tasks[[#This Row],[_StartWorkday]]-1)</f>
        <v>0</v>
      </c>
      <c r="DQ177" s="45" t="n">
        <f aca="false">Tasks[[#This Row],[_Res4Work]]*Tasks[[#This Row],[_LeafProgress]]</f>
        <v>0</v>
      </c>
      <c r="DR177" s="45" t="n">
        <f aca="false">IF(Tasks[[#This Row],[_LeafTotalCost]]=0,0,Tasks[[#This Row],[_LeafAC]]*Tasks[[#This Row],[_Res4Cost]]/Tasks[[#This Row],[_LeafTotalCost]])</f>
        <v>0</v>
      </c>
      <c r="DS177" s="45" t="n">
        <f aca="false">IF(ISNUMBER(Tasks[[#This Row],[% Complete]]),Tasks[[#This Row],[% Complete]],IF(Tasks[[#This Row],[Stage]]="",0,IFERROR(INDEX(stg_Pct,MATCH(Tasks[[#This Row],[Stage]],stg_Name,0)),0)))</f>
        <v>0</v>
      </c>
      <c r="DT177" s="45" t="n">
        <f aca="false">IF(NOT(Tasks[[#This Row],[_IsLeaf]]=1),0,IF(N(Tasks[[#This Row],[Actual Finish]])&gt;0,1,MIN(1,Tasks[[#This Row],[_Pct]])))</f>
        <v>0</v>
      </c>
      <c r="DU177" s="45" t="n">
        <f aca="false">IF(OR(NOT(Tasks[[#This Row],[_IsLeaf]]=1),Tasks[[#This Row],[_Resource1]]=""),0,IF(ISNA(MATCH(Tasks[[#This Row],[_Resource1]],res_Name,0)),0,N(Tasks[[#This Row],[Duration]])*HoursPerDay*IF(Tasks[[#This Row],[_Units1]]="",DefaultUnits,Tasks[[#This Row],[_Units1]])))</f>
        <v>0</v>
      </c>
      <c r="DV177" s="45" t="n">
        <f aca="false">IF(Tasks[[#This Row],[_LeafWork]]=0,0,Tasks[[#This Row],[_LeafWork]]*IFERROR(INDEX(res_Rate,MATCH(Tasks[[#This Row],[_Resource1]],res_Name,0)),0))</f>
        <v>0</v>
      </c>
      <c r="DW177" s="45" t="n">
        <f aca="false">Tasks[[#This Row],[_LeafWork]]+Tasks[[#This Row],[_Res2Work]]+Tasks[[#This Row],[_Res3Work]]+Tasks[[#This Row],[_Res4Work]]</f>
        <v>0</v>
      </c>
      <c r="DX177" s="45" t="n">
        <f aca="false">Tasks[[#This Row],[_LeafCost]]+Tasks[[#This Row],[_Res2Cost]]+Tasks[[#This Row],[_Res3Cost]]+Tasks[[#This Row],[_Res4Cost]]</f>
        <v>0</v>
      </c>
      <c r="DY177" s="45" t="n">
        <f aca="false">IF(Tasks[[#This Row],[_LeafTotalCost]]=0,Tasks[[#This Row],[_LeafAC]],Tasks[[#This Row],[_LeafAC]]*Tasks[[#This Row],[_LeafCost]]/Tasks[[#This Row],[_LeafTotalCost]])</f>
        <v>0</v>
      </c>
      <c r="DZ17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7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7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7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7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7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7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7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77" s="45" t="n">
        <f aca="false">IF(NOT(Tasks[[#This Row],[_IsLeaf]]=1),0,MAX(_xlfn.MAXIFS(Tasks[_Row],Tasks[_Pred1UID],Tasks[[#This Row],[UID]]),_xlfn.MAXIFS(Tasks[_Row],Tasks[_Pred2UID],Tasks[[#This Row],[UID]]),_xlfn.MAXIFS(Tasks[_Row],Tasks[_Pred3UID],Tasks[[#This Row],[UID]]),_xlfn.MAXIFS(Tasks[_Row],Tasks[_Pred4UID],Tasks[[#This Row],[UID]])))</f>
        <v>0</v>
      </c>
      <c r="EI17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7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77" s="74" t="str">
        <f aca="false">IF(NOT(Tasks[[#This Row],[_IsLeaf]]=1),"",IF(N(Tasks[[#This Row],[Duration]])&lt;=0,Tasks[[#This Row],[_LeafLateFinish]],WORKDAY.INTL(Tasks[[#This Row],[_LeafLateFinish]],-(Tasks[[#This Row],[Duration]]-1),WorkWeek,Holidays)))</f>
        <v/>
      </c>
      <c r="EL17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77" s="73" t="b">
        <f aca="false">AND(Tasks[[#This Row],[_IsLeaf]]=1,Tasks[[#This Row],[_LeafProgress]]&lt;1,N(Tasks[[#This Row],[_LeafTotalSlack]])&lt;=CriticalSlackDays)</f>
        <v>0</v>
      </c>
      <c r="EN177" s="45" t="n">
        <f aca="false">IF(AND(Tasks[[#This Row],[_IsLeaf]]=1,Tasks[[#This Row],[_ConstraintCode]]=1,Tasks[[#This Row],[Mode]]&lt;&gt;"Manual",N(Tasks[[#This Row],[Actual Start]])=0),MAX(0,N(Tasks[[#This Row],[Free Slack]])),0)</f>
        <v>0</v>
      </c>
      <c r="EO177" s="74" t="str">
        <f aca="false">IF(NOT(Tasks[[#This Row],[_IsLeaf]]=1),"",IF(Tasks[[#This Row],[_AlapShift]]=0,Tasks[[#This Row],[_LeafCalcStart]],WORKDAY.INTL(Tasks[[#This Row],[_LeafCalcStart]],Tasks[[#This Row],[_AlapShift]],WorkWeek,Holidays)))</f>
        <v/>
      </c>
      <c r="EP177" s="74" t="str">
        <f aca="false">IF(NOT(Tasks[[#This Row],[_IsLeaf]]=1),"",IF(Tasks[[#This Row],[_AlapShift]]=0,Tasks[[#This Row],[_LeafCalcFinish]],WORKDAY.INTL(Tasks[[#This Row],[_LeafCalcFinish]],Tasks[[#This Row],[_AlapShift]],WorkWeek,Holidays)))</f>
        <v/>
      </c>
      <c r="EQ177" s="74" t="str">
        <f aca="false">IF(NOT(Tasks[[#This Row],[_IsLeaf]]=1),"",IF(Tasks[[#This Row],[_AlapShift]]=0,Tasks[[#This Row],[_LeafFcstStart]],WORKDAY.INTL(Tasks[[#This Row],[_LeafFcstStart]],Tasks[[#This Row],[_AlapShift]],WorkWeek,Holidays)))</f>
        <v/>
      </c>
      <c r="ER177" s="74" t="str">
        <f aca="false">IF(NOT(Tasks[[#This Row],[_IsLeaf]]=1),"",IF(Tasks[[#This Row],[_AlapShift]]=0,Tasks[[#This Row],[_LeafFcstFinish]],WORKDAY.INTL(Tasks[[#This Row],[_LeafFcstFinish]],Tasks[[#This Row],[_AlapShift]],WorkWeek,Holidays)))</f>
        <v/>
      </c>
      <c r="ES177" s="74" t="str">
        <f aca="false">IF(Tasks[[#This Row],[Task Name]]="","",IF(Tasks[[#This Row],[_IsSummary]],MIN(INDEX(Tasks[_ShownCalcStart],Tasks[[#This Row],[_Row]]+1):INDEX(Tasks[_ShownCalcStart],Tasks[[#This Row],[_Row]]+Tasks[[#This Row],[_Descendants]])),Tasks[[#This Row],[_ShownCalcStart]]))</f>
        <v/>
      </c>
      <c r="ET177" s="74" t="str">
        <f aca="false">IF(Tasks[[#This Row],[Task Name]]="","",IF(Tasks[[#This Row],[_IsSummary]],MAX(INDEX(Tasks[_ShownCalcFinish],Tasks[[#This Row],[_Row]]+1):INDEX(Tasks[_ShownCalcFinish],Tasks[[#This Row],[_Row]]+Tasks[[#This Row],[_Descendants]])),Tasks[[#This Row],[_ShownCalcFinish]]))</f>
        <v/>
      </c>
      <c r="EU17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7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7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7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7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7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7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7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7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7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7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7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77" s="45" t="n">
        <f aca="false">IF(AND(Tasks[[#This Row],[_IsLeaf]]=1,Tasks[[#This Row],[_LeafTotalWork]]&gt;0),NETWORKDAYS.INTL(ProjectStart,Tasks[[#This Row],[_ShownFcstStart]],WorkWeek,Holidays),0)</f>
        <v>0</v>
      </c>
      <c r="FH177" s="45" t="n">
        <f aca="false">IF(AND(Tasks[[#This Row],[_IsLeaf]]=1,Tasks[[#This Row],[_LeafTotalWork]]&gt;0),MAX(Tasks[[#This Row],[_StartWorkday]],NETWORKDAYS.INTL(ProjectStart,Tasks[[#This Row],[_ShownFcstFinish]],WorkWeek,Holidays)),0)</f>
        <v>0</v>
      </c>
      <c r="FI177" s="45" t="n">
        <f aca="false">IF(AND(Tasks[[#This Row],[_IsLeaf]]=1,Tasks[[#This Row],[_LeafTotalWork]]&gt;0),Tasks[[#This Row],[_LeafWork]]/(Tasks[[#This Row],[_FinishWorkday]]-Tasks[[#This Row],[_StartWorkday]]+1),0)</f>
        <v>0</v>
      </c>
      <c r="FJ177" s="45" t="n">
        <f aca="false">Tasks[[#This Row],[_WorkPerWorkday]]*(Tasks[[#This Row],[_StartWorkday]]-1)</f>
        <v>-0</v>
      </c>
      <c r="FK177" s="45" t="n">
        <f aca="false">IF(Tasks[[#This Row],[_IsLeaf]]=1,MAX(N(Tasks[[#This Row],[Duration]]),0.1),0)</f>
        <v>0</v>
      </c>
      <c r="FL177" s="45" t="n">
        <f aca="false">Tasks[[#This Row],[_WeightDur]]*Tasks[[#This Row],[_LeafProgress]]</f>
        <v>0</v>
      </c>
      <c r="FM17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77" s="45" t="str">
        <f aca="false">IF(AND(Tasks[[#This Row],[_IsLeaf]]=1,N(Tasks[[#This Row],[Duration]])=0,Tasks[[#This Row],[_LeafProgress]]&lt;1),Tasks[[#This Row],[_ShownFcstFinish]]+Tasks[[#This Row],[_Row]]/100000,"")</f>
        <v/>
      </c>
      <c r="FO17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77" s="45" t="n">
        <f aca="false">IF(NOT(Tasks[[#This Row],[_IsLeaf]]=1),0,IF(Tasks[[#This Row],[Baseline Cost]]="",Tasks[[#This Row],[_LeafTotalCost]],N(Tasks[[#This Row],[Baseline Cost]])))</f>
        <v>0</v>
      </c>
      <c r="FQ177" s="45" t="n">
        <f aca="false">Tasks[[#This Row],[_LeafBudget]]*Tasks[[#This Row],[_PlannedPct]]</f>
        <v>0</v>
      </c>
      <c r="FR177" s="45" t="n">
        <f aca="false">Tasks[[#This Row],[_LeafBudget]]*Tasks[[#This Row],[_LeafProgress]]</f>
        <v>0</v>
      </c>
      <c r="FS177" s="45" t="n">
        <f aca="false">IF(NOT(Tasks[[#This Row],[_IsLeaf]]=1),0,IF(Tasks[[#This Row],[Actual Cost]]="",Tasks[[#This Row],[_LeafTotalCost]]*Tasks[[#This Row],[_LeafProgress]],N(Tasks[[#This Row],[Actual Cost]])))</f>
        <v>0</v>
      </c>
      <c r="FT177" s="45" t="str">
        <f aca="false">IF(Tasks[[#This Row],[Task Name]]="","",LEFT(Tasks[[#This Row],[WBS]],FIND(".",Tasks[[#This Row],[WBS]]&amp;".")-1))</f>
        <v/>
      </c>
      <c r="FU177" s="45" t="str">
        <f aca="false">IF(AND(Tasks[[#This Row],[Task Name]]&lt;&gt;"",Tasks[[#This Row],[_Level]]=1),Tasks[[#This Row],[_Row]],"")</f>
        <v/>
      </c>
      <c r="FV177" s="45" t="str">
        <f aca="false">IF(AND(Tasks[[#This Row],[_IsLeaf]]=1,N(Tasks[[#This Row],[Duration]])=0),Tasks[[#This Row],[Planned Finish]]+Tasks[[#This Row],[_Row]]/100000,"")</f>
        <v/>
      </c>
      <c r="FW177" s="45" t="str">
        <f aca="false">IF(AND(Tasks[[#This Row],[_IsLeaf]]=1,Tasks[[#This Row],[_LeafProgress]]&lt;1,OR(N(Tasks[[#This Row],[Finish Var]])&gt;0,Tasks[[#This Row],[Status]]="Late Start")),MAX(0,Tasks[[#This Row],[Finish Var]])+1-Tasks[[#This Row],[_Row]]/1000000,"")</f>
        <v/>
      </c>
      <c r="FX177" s="45" t="str">
        <f aca="false">IF(AND(Tasks[[#This Row],[_IsLeaf]]=1,N(Tasks[[#This Row],[Actual Start]])=0,Tasks[[#This Row],[_ShownFcstStart]]&gt;=StatusDate,Tasks[[#This Row],[_ShownFcstStart]]&lt;=LookaheadEnd),Tasks[[#This Row],[_ShownFcstStart]]+Tasks[[#This Row],[_Row]]/100000,"")</f>
        <v/>
      </c>
      <c r="FY177" s="45" t="str">
        <f aca="false">IF(AND(Tasks[[#This Row],[_IsLeaf]]=1,Tasks[[#This Row],[_LeafProgress]]&lt;1,Tasks[[#This Row],[_ShownFcstFinish]]&gt;=StatusDate,Tasks[[#This Row],[_ShownFcstFinish]]&lt;=LookaheadEnd),Tasks[[#This Row],[_ShownFcstFinish]]+Tasks[[#This Row],[_Row]]/100000,"")</f>
        <v/>
      </c>
      <c r="FZ177" s="45" t="str">
        <f aca="false">IF(Tasks[[#This Row],[_LeafCritical]],Tasks[[#This Row],[_ShownFcstStart]]+Tasks[[#This Row],[_Row]]/100000,"")</f>
        <v/>
      </c>
      <c r="GA177" s="45" t="n">
        <f aca="false">Tasks[[#This Row],[_LeafWork]]*Tasks[[#This Row],[_LeafProgress]]</f>
        <v>0</v>
      </c>
      <c r="GB177" s="74" t="str">
        <f aca="false">IF(AND(Tasks[[#This Row],[_IsLeaf]]=1,Tasks[[#This Row],[_LeafProgress]]&gt;=1),IF(N(Tasks[[#This Row],[Actual Finish]])&gt;0,Tasks[[#This Row],[Actual Finish]],Tasks[[#This Row],[_ShownFcstFinish]]),"")</f>
        <v/>
      </c>
    </row>
    <row r="178" customFormat="false" ht="15" hidden="false" customHeight="false" outlineLevel="0" collapsed="false">
      <c r="A178" s="67" t="str">
        <f aca="false">IF(Tasks[[#This Row],[Task Name]]="","",COUNTA(Tasks[[#Headers],[Task Name]]:Tasks[[#This Row],[Task Name]])-1)</f>
        <v/>
      </c>
      <c r="B178" s="21" t="n">
        <v>173</v>
      </c>
      <c r="C17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21"/>
      <c r="E178" s="22"/>
      <c r="F178" s="21"/>
      <c r="G178" s="22"/>
      <c r="H178" s="22"/>
      <c r="I178" s="22"/>
      <c r="J178" s="7"/>
      <c r="K178" s="7"/>
      <c r="L178" s="22"/>
      <c r="M178" s="58" t="str">
        <f aca="false">IF(Tasks[[#This Row],[Task Name]]="","",IF(Tasks[[#This Row],[_IsSummary]],MIN(INDEX(Tasks[_ShownFcstStart],Tasks[[#This Row],[_Row]]+1):INDEX(Tasks[_ShownFcstStart],Tasks[[#This Row],[_Row]]+Tasks[[#This Row],[_Descendants]])),Tasks[[#This Row],[_ShownFcstStart]]))</f>
        <v/>
      </c>
      <c r="N178" s="58" t="str">
        <f aca="false">IF(Tasks[[#This Row],[Task Name]]="","",IF(Tasks[[#This Row],[_IsSummary]],MAX(INDEX(Tasks[_ShownFcstFinish],Tasks[[#This Row],[_Row]]+1):INDEX(Tasks[_ShownFcstFinish],Tasks[[#This Row],[_Row]]+Tasks[[#This Row],[_Descendants]])),Tasks[[#This Row],[_ShownFcstFinish]]))</f>
        <v/>
      </c>
      <c r="O178" s="20" t="str">
        <f aca="false">IF(Tasks[[#This Row],[Task Name]]="","",IF(Tasks[[#This Row],[Progress]]&gt;=1,"Complete",IF(OR(N(Tasks[[#This Row],[Actual Start]])&gt;0,Tasks[[#This Row],[Progress]]&gt;0),IF(Tasks[[#This Row],[Finish Var]]&gt;0,"Behind","In Progress"),IF(Tasks[[#This Row],[Planned Start]]&lt;StatusDate,"Late Start","Not Started"))))</f>
        <v/>
      </c>
      <c r="P178" s="20" t="str">
        <f aca="false">IF(Tasks[[#This Row],[Task Name]]="","",IF(IF(Tasks[[#This Row],[_IsSummary]],COUNTIF(INDEX(Tasks[_LeafCritical],Tasks[[#This Row],[_Row]]+1):INDEX(Tasks[_LeafCritical],Tasks[[#This Row],[_Row]]+Tasks[[#This Row],[_Descendants]]),TRUE())&gt;0,Tasks[[#This Row],[_LeafCritical]]),"Yes",""))</f>
        <v/>
      </c>
      <c r="Q17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78" s="67" t="str">
        <f aca="false">IF(Tasks[[#This Row],[Task Name]]="","",IF(Tasks[[#This Row],[_Level]]&lt;=OutlineShowLevel,"Yes","No"))</f>
        <v/>
      </c>
      <c r="S178" s="7"/>
      <c r="T178" s="21"/>
      <c r="U178" s="22"/>
      <c r="V178" s="7"/>
      <c r="W178" s="67" t="str">
        <f aca="false">IF(Tasks[[#This Row],[Task Name]]="","",IF(Tasks[[#This Row],[Finish]]&gt;=Tasks[[#This Row],[Planned Finish]],NETWORKDAYS.INTL(Tasks[[#This Row],[Planned Finish]],Tasks[[#This Row],[Finish]],WorkWeek,Holidays)-1,1-NETWORKDAYS.INTL(Tasks[[#This Row],[Finish]],Tasks[[#This Row],[Planned Finish]],WorkWeek,Holidays)))</f>
        <v/>
      </c>
      <c r="X178" s="58" t="str">
        <f aca="false">IF(Tasks[[#This Row],[Task Name]]="","",IF(N(Tasks[[#This Row],[Baseline Start]])&gt;0,Tasks[[#This Row],[Baseline Start]],Tasks[[#This Row],[_CalcStart]]))</f>
        <v/>
      </c>
      <c r="Y178" s="58" t="str">
        <f aca="false">IF(Tasks[[#This Row],[Task Name]]="","",IF(N(Tasks[[#This Row],[Baseline Finish]])&gt;0,Tasks[[#This Row],[Baseline Finish]],Tasks[[#This Row],[_CalcFinish]]))</f>
        <v/>
      </c>
      <c r="Z178" s="67" t="str">
        <f aca="false">IF(Tasks[[#This Row],[Task Name]]="","",IF(Tasks[[#This Row],[Start]]&gt;=Tasks[[#This Row],[Planned Start]],NETWORKDAYS.INTL(Tasks[[#This Row],[Planned Start]],Tasks[[#This Row],[Start]],WorkWeek,Holidays)-1,1-NETWORKDAYS.INTL(Tasks[[#This Row],[Start]],Tasks[[#This Row],[Planned Start]],WorkWeek,Holidays)))</f>
        <v/>
      </c>
      <c r="AA178" s="58" t="str">
        <f aca="false">IF(Tasks[[#This Row],[Task Name]]="","",IF(Tasks[[#This Row],[_IsSummary]],MIN(INDEX(Tasks[_LeafLateStart],Tasks[[#This Row],[_Row]]+1):INDEX(Tasks[_LeafLateStart],Tasks[[#This Row],[_Row]]+Tasks[[#This Row],[_Descendants]])),Tasks[[#This Row],[_LeafLateStart]]))</f>
        <v/>
      </c>
      <c r="AB178" s="58" t="str">
        <f aca="false">IF(Tasks[[#This Row],[Task Name]]="","",IF(Tasks[[#This Row],[_IsSummary]],MAX(INDEX(Tasks[_LeafLateFinish],Tasks[[#This Row],[_Row]]+1):INDEX(Tasks[_LeafLateFinish],Tasks[[#This Row],[_Row]]+Tasks[[#This Row],[_Descendants]])),Tasks[[#This Row],[_LeafLateFinish]]))</f>
        <v/>
      </c>
      <c r="AC178" s="67" t="str">
        <f aca="false">IF(Tasks[[#This Row],[Task Name]]="","",IF(Tasks[[#This Row],[_IsSummary]],MIN(INDEX(Tasks[_LeafTotalSlack],Tasks[[#This Row],[_Row]]+1):INDEX(Tasks[_LeafTotalSlack],Tasks[[#This Row],[_Row]]+Tasks[[#This Row],[_Descendants]])),Tasks[[#This Row],[_LeafTotalSlack]]))</f>
        <v/>
      </c>
      <c r="AD17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7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7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78" s="60"/>
      <c r="AH17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7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78" s="69" t="str">
        <f aca="false">IF(Tasks[[#This Row],[Task Name]]="","",IF(Tasks[[#This Row],[_IsSummary]],SUM(INDEX(Tasks[_LeafTotalWork],Tasks[[#This Row],[_Row]]+1):INDEX(Tasks[_LeafTotalWork],Tasks[[#This Row],[_Row]]+Tasks[[#This Row],[_Descendants]])),Tasks[[#This Row],[_LeafTotalWork]]))</f>
        <v/>
      </c>
      <c r="AK17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78" s="70" t="str">
        <f aca="false">IF(Tasks[[#This Row],[Task Name]]="","",IF(Tasks[[#This Row],[_IsSummary]],SUM(INDEX(Tasks[_LeafTotalCost],Tasks[[#This Row],[_Row]]+1):INDEX(Tasks[_LeafTotalCost],Tasks[[#This Row],[_Row]]+Tasks[[#This Row],[_Descendants]])),Tasks[[#This Row],[_LeafTotalCost]]))</f>
        <v/>
      </c>
      <c r="AM178" s="71"/>
      <c r="AN178" s="20" t="str">
        <f aca="false">IF(OR(Tasks[[#This Row],[Task Name]]="",Tasks[[#This Row],[Baseline Duration]]=""),"",Tasks[[#This Row],[BL Source Duration]]-N(Tasks[[#This Row],[Baseline Duration]]))</f>
        <v/>
      </c>
      <c r="AO178" s="69" t="str">
        <f aca="false">IF(OR(Tasks[[#This Row],[Task Name]]="",Tasks[[#This Row],[Baseline Work]]=""),"",Tasks[[#This Row],[Work]]-N(Tasks[[#This Row],[Baseline Work]]))</f>
        <v/>
      </c>
      <c r="AP178" s="70" t="str">
        <f aca="false">IF(OR(Tasks[[#This Row],[Task Name]]="",Tasks[[#This Row],[Baseline Cost]]=""),"",Tasks[[#This Row],[Cost]]-N(Tasks[[#This Row],[Baseline Cost]]))</f>
        <v/>
      </c>
      <c r="AQ178" s="58" t="str">
        <f aca="false">IF(Tasks[[#This Row],[Task Name]]="","",Tasks[[#This Row],[Start]])</f>
        <v/>
      </c>
      <c r="AR178" s="58" t="str">
        <f aca="false">IF(Tasks[[#This Row],[Task Name]]="","",Tasks[[#This Row],[Finish]])</f>
        <v/>
      </c>
      <c r="AS178" s="67" t="str">
        <f aca="false">IF(Tasks[[#This Row],[Task Name]]="","",IF(Tasks[[#This Row],[_IsSummary]],NETWORKDAYS.INTL(Tasks[[#This Row],[Start]],Tasks[[#This Row],[Finish]],WorkWeek,Holidays),N(Tasks[[#This Row],[Duration]])))</f>
        <v/>
      </c>
      <c r="AT178" s="69" t="str">
        <f aca="false">IF(Tasks[[#This Row],[Task Name]]="","",Tasks[[#This Row],[Work]])</f>
        <v/>
      </c>
      <c r="AU178" s="70" t="str">
        <f aca="false">IF(Tasks[[#This Row],[Task Name]]="","",Tasks[[#This Row],[Cost]])</f>
        <v/>
      </c>
      <c r="AV178" s="7"/>
      <c r="AW178" s="7"/>
      <c r="AX178" s="21"/>
      <c r="AY178" s="72"/>
      <c r="AZ178" s="71"/>
      <c r="BA178" s="70" t="str">
        <f aca="false">IF(Tasks[[#This Row],[Task Name]]="","",IF(Tasks[[#This Row],[_IsSummary]],SUM(INDEX(Tasks[_LeafEV],Tasks[[#This Row],[_Row]]+1):INDEX(Tasks[_LeafEV],Tasks[[#This Row],[_Row]]+Tasks[[#This Row],[_Descendants]])),Tasks[[#This Row],[_LeafEV]]))</f>
        <v/>
      </c>
      <c r="BB178" s="70" t="str">
        <f aca="false">IF(Tasks[[#This Row],[Task Name]]="","",IF(Tasks[[#This Row],[_IsSummary]],SUM(INDEX(Tasks[_LeafBudget],Tasks[[#This Row],[_Row]]+1):INDEX(Tasks[_LeafBudget],Tasks[[#This Row],[_Row]]+Tasks[[#This Row],[_Descendants]])),Tasks[[#This Row],[_LeafBudget]]))</f>
        <v/>
      </c>
      <c r="BC178" s="70" t="str">
        <f aca="false">IF(Tasks[[#This Row],[Task Name]]="","",IF(Tasks[[#This Row],[_IsSummary]],SUM(INDEX(Tasks[_LeafPV],Tasks[[#This Row],[_Row]]+1):INDEX(Tasks[_LeafPV],Tasks[[#This Row],[_Row]]+Tasks[[#This Row],[_Descendants]])),Tasks[[#This Row],[_LeafPV]]))</f>
        <v/>
      </c>
      <c r="BD178" s="70" t="str">
        <f aca="false">IF(Tasks[[#This Row],[Task Name]]="","",IF(Tasks[[#This Row],[_IsSummary]],SUM(INDEX(Tasks[_LeafAC],Tasks[[#This Row],[_Row]]+1):INDEX(Tasks[_LeafAC],Tasks[[#This Row],[_Row]]+Tasks[[#This Row],[_Descendants]])),Tasks[[#This Row],[_LeafAC]]))</f>
        <v/>
      </c>
      <c r="BE178" s="45" t="str">
        <f aca="false">IF(Tasks[[#This Row],[Task Name]]="","",MAX(1,N(Tasks[[#This Row],[Level]])))</f>
        <v/>
      </c>
      <c r="BF178" s="45" t="n">
        <f aca="false">ROW()-ROW(Tasks[[#Headers],[ID]])</f>
        <v>173</v>
      </c>
      <c r="BG178" s="45" t="n">
        <f aca="false">IF(OR(Tasks[[#This Row],[Task Name]]="",Tasks[[#This Row],[_Level]]&lt;=1),0,IFERROR(LOOKUP(2,1/(Tasks[[#Headers],[_Level]]:Tasks[[#This Row],[_Level]]=Tasks[[#This Row],[_Level]]-1),ROW(Tasks[[#Headers],[_Level]]:Tasks[[#This Row],[_Level]])),0))</f>
        <v>0</v>
      </c>
      <c r="BH178" s="45" t="n">
        <f aca="false">IFERROR(N(INDEX(Tasks[_Level],Tasks[[#This Row],[_Row]]+1)),0)</f>
        <v>0</v>
      </c>
      <c r="BI178" s="73" t="b">
        <f aca="false">AND(Tasks[[#This Row],[Task Name]]&lt;&gt;"",Tasks[[#This Row],[_NextLevel]]&gt;Tasks[[#This Row],[_Level]])</f>
        <v>0</v>
      </c>
      <c r="BJ178" s="45" t="n">
        <f aca="false">IF(Tasks[[#This Row],[_IsSummary]],COUNTIF(Tasks[WBS],Tasks[[#This Row],[WBS]]&amp;".*"),0)</f>
        <v>0</v>
      </c>
      <c r="BK178" s="45" t="n">
        <f aca="false">IF(AND(Tasks[[#This Row],[Task Name]]&lt;&gt;"",NOT(Tasks[[#This Row],[_IsSummary]])),1,0)</f>
        <v>0</v>
      </c>
      <c r="BL178" s="45" t="n">
        <f aca="false">IF(N(Tasks[[#This Row],[_Pred1UID]])=0,0,IFERROR(MATCH(Tasks[[#This Row],[_Pred1UID]],Tasks[UID],0),-1))</f>
        <v>0</v>
      </c>
      <c r="BM178" s="45" t="n">
        <f aca="false">IF(N(Tasks[[#This Row],[_Pred2UID]])=0,0,IFERROR(MATCH(Tasks[[#This Row],[_Pred2UID]],Tasks[UID],0),-1))</f>
        <v>0</v>
      </c>
      <c r="BN178" s="45" t="n">
        <f aca="false">IF(N(Tasks[[#This Row],[_Pred3UID]])=0,0,IFERROR(MATCH(Tasks[[#This Row],[_Pred3UID]],Tasks[UID],0),-1))</f>
        <v>0</v>
      </c>
      <c r="BO178" s="45" t="n">
        <f aca="false">IF(N(Tasks[[#This Row],[_Pred4UID]])=0,0,IFERROR(MATCH(Tasks[[#This Row],[_Pred4UID]],Tasks[UID],0),-1))</f>
        <v>0</v>
      </c>
      <c r="BP17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7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78" s="74" t="n">
        <f aca="false">IF(OR(Tasks[[#This Row],[_ConstraintCode]]=2,Tasks[[#This Row],[_ConstraintCode]]=3,Tasks[[#This Row],[_ConstraintCode]]=4,Tasks[[#This Row],[_ConstraintCode]]=6),Tasks[[#This Row],[_ConstraintStart]],0)</f>
        <v>0</v>
      </c>
      <c r="BS178" s="74" t="n">
        <f aca="false">IF(OR(Tasks[[#This Row],[_ConstraintCode]]=2,Tasks[[#This Row],[_ConstraintCode]]=3,Tasks[[#This Row],[_ConstraintCode]]=5,Tasks[[#This Row],[_ConstraintCode]]=7),Tasks[[#This Row],[_ConstraintStart]],2958465)</f>
        <v>2958465</v>
      </c>
      <c r="BT17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78" s="74" t="str">
        <f aca="false">IF(NOT(Tasks[[#This Row],[_IsLeaf]]=1),"",IF(N(Tasks[[#This Row],[Duration]])&lt;=0,Tasks[[#This Row],[_LeafCalcStart]],WORKDAY.INTL(Tasks[[#This Row],[_LeafCalcStart]],Tasks[[#This Row],[Duration]]-1,WorkWeek,Holidays)))</f>
        <v/>
      </c>
      <c r="BV17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7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78" s="45" t="str">
        <f aca="false">IF(Tasks[[#This Row],[Predecessors]]="","",TRIM(MID(SUBSTITUTE(SUBSTITUTE(SUBSTITUTE(UPPER(Tasks[[#This Row],[Predecessors]]),";",",")," ",""),",",REPT(" ",99)),1,99)))</f>
        <v/>
      </c>
      <c r="BY178" s="45" t="str">
        <f aca="false">IF(Tasks[[#This Row],[_Pred1Text]]="","",IFERROR(VALUE(LEFT(Tasks[[#This Row],[_Pred1Text]],MIN(FIND("F",Tasks[[#This Row],[_Pred1Text]]&amp;"F"),FIND("S",Tasks[[#This Row],[_Pred1Text]]&amp;"S"),FIND("+",Tasks[[#This Row],[_Pred1Text]]&amp;"+"),FIND("-",Tasks[[#This Row],[_Pred1Text]]&amp;"-"))-1)),""))</f>
        <v/>
      </c>
      <c r="BZ17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7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78" s="45" t="str">
        <f aca="false">IF(Tasks[[#This Row],[_Pred1Text]]="","",TRIM(MID(SUBSTITUTE(SUBSTITUTE(SUBSTITUTE(UPPER(Tasks[[#This Row],[Predecessors]]),";",",")," ",""),",",REPT(" ",99)),100,99)))</f>
        <v/>
      </c>
      <c r="CC178" s="45" t="str">
        <f aca="false">IF(Tasks[[#This Row],[_Pred2Text]]="","",IFERROR(VALUE(LEFT(Tasks[[#This Row],[_Pred2Text]],MIN(FIND("F",Tasks[[#This Row],[_Pred2Text]]&amp;"F"),FIND("S",Tasks[[#This Row],[_Pred2Text]]&amp;"S"),FIND("+",Tasks[[#This Row],[_Pred2Text]]&amp;"+"),FIND("-",Tasks[[#This Row],[_Pred2Text]]&amp;"-"))-1)),""))</f>
        <v/>
      </c>
      <c r="CD17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7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78" s="45" t="str">
        <f aca="false">IF(Tasks[[#This Row],[_Pred2Text]]="","",TRIM(MID(SUBSTITUTE(SUBSTITUTE(SUBSTITUTE(UPPER(Tasks[[#This Row],[Predecessors]]),";",",")," ",""),",",REPT(" ",99)),199,99)))</f>
        <v/>
      </c>
      <c r="CG178" s="45" t="str">
        <f aca="false">IF(Tasks[[#This Row],[_Pred3Text]]="","",IFERROR(VALUE(LEFT(Tasks[[#This Row],[_Pred3Text]],MIN(FIND("F",Tasks[[#This Row],[_Pred3Text]]&amp;"F"),FIND("S",Tasks[[#This Row],[_Pred3Text]]&amp;"S"),FIND("+",Tasks[[#This Row],[_Pred3Text]]&amp;"+"),FIND("-",Tasks[[#This Row],[_Pred3Text]]&amp;"-"))-1)),""))</f>
        <v/>
      </c>
      <c r="CH17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7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78" s="45" t="str">
        <f aca="false">IF(Tasks[[#This Row],[_Pred3Text]]="","",TRIM(MID(SUBSTITUTE(SUBSTITUTE(SUBSTITUTE(UPPER(Tasks[[#This Row],[Predecessors]]),";",",")," ",""),",",REPT(" ",99)),298,99)))</f>
        <v/>
      </c>
      <c r="CK178" s="45" t="str">
        <f aca="false">IF(Tasks[[#This Row],[_Pred4Text]]="","",IFERROR(VALUE(LEFT(Tasks[[#This Row],[_Pred4Text]],MIN(FIND("F",Tasks[[#This Row],[_Pred4Text]]&amp;"F"),FIND("S",Tasks[[#This Row],[_Pred4Text]]&amp;"S"),FIND("+",Tasks[[#This Row],[_Pred4Text]]&amp;"+"),FIND("-",Tasks[[#This Row],[_Pred4Text]]&amp;"-"))-1)),""))</f>
        <v/>
      </c>
      <c r="CL17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7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78" s="45" t="str">
        <f aca="false">IF(OR(Tasks[[#This Row],[Task Name]]="",Tasks[[#This Row],[Resources]]=""),"",TRIM(MID(SUBSTITUTE(Tasks[[#This Row],[Resources]],",",REPT(" ",99)),1,99)))</f>
        <v/>
      </c>
      <c r="CO178" s="45" t="str">
        <f aca="false">IF(Tasks[[#This Row],[_Res1Text]]="","",TRIM(MID(SUBSTITUTE(Tasks[[#This Row],[Resources]],",",REPT(" ",99)),100,99)))</f>
        <v/>
      </c>
      <c r="CP178" s="45" t="str">
        <f aca="false">IF(Tasks[[#This Row],[_Res2Text]]="","",TRIM(MID(SUBSTITUTE(Tasks[[#This Row],[Resources]],",",REPT(" ",99)),199,99)))</f>
        <v/>
      </c>
      <c r="CQ178" s="45" t="str">
        <f aca="false">IF(Tasks[[#This Row],[_Res3Text]]="","",TRIM(MID(SUBSTITUTE(Tasks[[#This Row],[Resources]],",",REPT(" ",99)),298,99)))</f>
        <v/>
      </c>
      <c r="CR17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7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8" s="45" t="n">
        <f aca="false">IF(NOT(Tasks[[#This Row],[_IsLeaf]]=1),0,(Tasks[[#This Row],[_Resource1]]&lt;&gt;"")+(Tasks[[#This Row],[_Res2]]&lt;&gt;"")+(Tasks[[#This Row],[_Res3]]&lt;&gt;"")+(Tasks[[#This Row],[_Res4]]&lt;&gt;""))</f>
        <v>0</v>
      </c>
      <c r="CU17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7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8" s="45" t="n">
        <f aca="false">IF(OR(NOT(Tasks[[#This Row],[_IsLeaf]]=1),Tasks[[#This Row],[_Res2]]=""),0,IF(ISNA(MATCH(Tasks[[#This Row],[_Res2]],res_Name,0)),0,N(Tasks[[#This Row],[Duration]])*HoursPerDay*IF(Tasks[[#This Row],[_Res2Units]]="",DefaultUnits,Tasks[[#This Row],[_Res2Units]])))</f>
        <v>0</v>
      </c>
      <c r="CX178" s="45" t="n">
        <f aca="false">IF(Tasks[[#This Row],[_Res2Work]]=0,0,Tasks[[#This Row],[_Res2Work]]*IFERROR(INDEX(res_Rate,MATCH(Tasks[[#This Row],[_Res2]],res_Name,0)),0))</f>
        <v>0</v>
      </c>
      <c r="CY178" s="45" t="n">
        <f aca="false">IF(AND(AND(Tasks[[#This Row],[_IsLeaf]]=1,Tasks[[#This Row],[_LeafTotalWork]]&gt;0),Tasks[[#This Row],[_Res2Work]]&gt;0),Tasks[[#This Row],[_Res2Work]]/(Tasks[[#This Row],[_FinishWorkday]]-Tasks[[#This Row],[_StartWorkday]]+1),0)</f>
        <v>0</v>
      </c>
      <c r="CZ178" s="45" t="n">
        <f aca="false">Tasks[[#This Row],[_Res2WorkPerWD]]*MAX(0,Tasks[[#This Row],[_StartWorkday]]-1)</f>
        <v>0</v>
      </c>
      <c r="DA178" s="45" t="n">
        <f aca="false">Tasks[[#This Row],[_Res2Work]]*Tasks[[#This Row],[_LeafProgress]]</f>
        <v>0</v>
      </c>
      <c r="DB178" s="45" t="n">
        <f aca="false">IF(Tasks[[#This Row],[_LeafTotalCost]]=0,0,Tasks[[#This Row],[_LeafAC]]*Tasks[[#This Row],[_Res2Cost]]/Tasks[[#This Row],[_LeafTotalCost]])</f>
        <v>0</v>
      </c>
      <c r="DC17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7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78" s="45" t="n">
        <f aca="false">IF(OR(NOT(Tasks[[#This Row],[_IsLeaf]]=1),Tasks[[#This Row],[_Res3]]=""),0,IF(ISNA(MATCH(Tasks[[#This Row],[_Res3]],res_Name,0)),0,N(Tasks[[#This Row],[Duration]])*HoursPerDay*IF(Tasks[[#This Row],[_Res3Units]]="",DefaultUnits,Tasks[[#This Row],[_Res3Units]])))</f>
        <v>0</v>
      </c>
      <c r="DF178" s="45" t="n">
        <f aca="false">IF(Tasks[[#This Row],[_Res3Work]]=0,0,Tasks[[#This Row],[_Res3Work]]*IFERROR(INDEX(res_Rate,MATCH(Tasks[[#This Row],[_Res3]],res_Name,0)),0))</f>
        <v>0</v>
      </c>
      <c r="DG178" s="45" t="n">
        <f aca="false">IF(AND(AND(Tasks[[#This Row],[_IsLeaf]]=1,Tasks[[#This Row],[_LeafTotalWork]]&gt;0),Tasks[[#This Row],[_Res3Work]]&gt;0),Tasks[[#This Row],[_Res3Work]]/(Tasks[[#This Row],[_FinishWorkday]]-Tasks[[#This Row],[_StartWorkday]]+1),0)</f>
        <v>0</v>
      </c>
      <c r="DH178" s="45" t="n">
        <f aca="false">Tasks[[#This Row],[_Res3WorkPerWD]]*MAX(0,Tasks[[#This Row],[_StartWorkday]]-1)</f>
        <v>0</v>
      </c>
      <c r="DI178" s="45" t="n">
        <f aca="false">Tasks[[#This Row],[_Res3Work]]*Tasks[[#This Row],[_LeafProgress]]</f>
        <v>0</v>
      </c>
      <c r="DJ178" s="45" t="n">
        <f aca="false">IF(Tasks[[#This Row],[_LeafTotalCost]]=0,0,Tasks[[#This Row],[_LeafAC]]*Tasks[[#This Row],[_Res3Cost]]/Tasks[[#This Row],[_LeafTotalCost]])</f>
        <v>0</v>
      </c>
      <c r="DK17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7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78" s="45" t="n">
        <f aca="false">IF(OR(NOT(Tasks[[#This Row],[_IsLeaf]]=1),Tasks[[#This Row],[_Res4]]=""),0,IF(ISNA(MATCH(Tasks[[#This Row],[_Res4]],res_Name,0)),0,N(Tasks[[#This Row],[Duration]])*HoursPerDay*IF(Tasks[[#This Row],[_Res4Units]]="",DefaultUnits,Tasks[[#This Row],[_Res4Units]])))</f>
        <v>0</v>
      </c>
      <c r="DN178" s="45" t="n">
        <f aca="false">IF(Tasks[[#This Row],[_Res4Work]]=0,0,Tasks[[#This Row],[_Res4Work]]*IFERROR(INDEX(res_Rate,MATCH(Tasks[[#This Row],[_Res4]],res_Name,0)),0))</f>
        <v>0</v>
      </c>
      <c r="DO178" s="45" t="n">
        <f aca="false">IF(AND(AND(Tasks[[#This Row],[_IsLeaf]]=1,Tasks[[#This Row],[_LeafTotalWork]]&gt;0),Tasks[[#This Row],[_Res4Work]]&gt;0),Tasks[[#This Row],[_Res4Work]]/(Tasks[[#This Row],[_FinishWorkday]]-Tasks[[#This Row],[_StartWorkday]]+1),0)</f>
        <v>0</v>
      </c>
      <c r="DP178" s="45" t="n">
        <f aca="false">Tasks[[#This Row],[_Res4WorkPerWD]]*MAX(0,Tasks[[#This Row],[_StartWorkday]]-1)</f>
        <v>0</v>
      </c>
      <c r="DQ178" s="45" t="n">
        <f aca="false">Tasks[[#This Row],[_Res4Work]]*Tasks[[#This Row],[_LeafProgress]]</f>
        <v>0</v>
      </c>
      <c r="DR178" s="45" t="n">
        <f aca="false">IF(Tasks[[#This Row],[_LeafTotalCost]]=0,0,Tasks[[#This Row],[_LeafAC]]*Tasks[[#This Row],[_Res4Cost]]/Tasks[[#This Row],[_LeafTotalCost]])</f>
        <v>0</v>
      </c>
      <c r="DS178" s="45" t="n">
        <f aca="false">IF(ISNUMBER(Tasks[[#This Row],[% Complete]]),Tasks[[#This Row],[% Complete]],IF(Tasks[[#This Row],[Stage]]="",0,IFERROR(INDEX(stg_Pct,MATCH(Tasks[[#This Row],[Stage]],stg_Name,0)),0)))</f>
        <v>0</v>
      </c>
      <c r="DT178" s="45" t="n">
        <f aca="false">IF(NOT(Tasks[[#This Row],[_IsLeaf]]=1),0,IF(N(Tasks[[#This Row],[Actual Finish]])&gt;0,1,MIN(1,Tasks[[#This Row],[_Pct]])))</f>
        <v>0</v>
      </c>
      <c r="DU178" s="45" t="n">
        <f aca="false">IF(OR(NOT(Tasks[[#This Row],[_IsLeaf]]=1),Tasks[[#This Row],[_Resource1]]=""),0,IF(ISNA(MATCH(Tasks[[#This Row],[_Resource1]],res_Name,0)),0,N(Tasks[[#This Row],[Duration]])*HoursPerDay*IF(Tasks[[#This Row],[_Units1]]="",DefaultUnits,Tasks[[#This Row],[_Units1]])))</f>
        <v>0</v>
      </c>
      <c r="DV178" s="45" t="n">
        <f aca="false">IF(Tasks[[#This Row],[_LeafWork]]=0,0,Tasks[[#This Row],[_LeafWork]]*IFERROR(INDEX(res_Rate,MATCH(Tasks[[#This Row],[_Resource1]],res_Name,0)),0))</f>
        <v>0</v>
      </c>
      <c r="DW178" s="45" t="n">
        <f aca="false">Tasks[[#This Row],[_LeafWork]]+Tasks[[#This Row],[_Res2Work]]+Tasks[[#This Row],[_Res3Work]]+Tasks[[#This Row],[_Res4Work]]</f>
        <v>0</v>
      </c>
      <c r="DX178" s="45" t="n">
        <f aca="false">Tasks[[#This Row],[_LeafCost]]+Tasks[[#This Row],[_Res2Cost]]+Tasks[[#This Row],[_Res3Cost]]+Tasks[[#This Row],[_Res4Cost]]</f>
        <v>0</v>
      </c>
      <c r="DY178" s="45" t="n">
        <f aca="false">IF(Tasks[[#This Row],[_LeafTotalCost]]=0,Tasks[[#This Row],[_LeafAC]],Tasks[[#This Row],[_LeafAC]]*Tasks[[#This Row],[_LeafCost]]/Tasks[[#This Row],[_LeafTotalCost]])</f>
        <v>0</v>
      </c>
      <c r="DZ17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7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7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7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7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7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7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7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78" s="45" t="n">
        <f aca="false">IF(NOT(Tasks[[#This Row],[_IsLeaf]]=1),0,MAX(_xlfn.MAXIFS(Tasks[_Row],Tasks[_Pred1UID],Tasks[[#This Row],[UID]]),_xlfn.MAXIFS(Tasks[_Row],Tasks[_Pred2UID],Tasks[[#This Row],[UID]]),_xlfn.MAXIFS(Tasks[_Row],Tasks[_Pred3UID],Tasks[[#This Row],[UID]]),_xlfn.MAXIFS(Tasks[_Row],Tasks[_Pred4UID],Tasks[[#This Row],[UID]])))</f>
        <v>0</v>
      </c>
      <c r="EI17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7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78" s="74" t="str">
        <f aca="false">IF(NOT(Tasks[[#This Row],[_IsLeaf]]=1),"",IF(N(Tasks[[#This Row],[Duration]])&lt;=0,Tasks[[#This Row],[_LeafLateFinish]],WORKDAY.INTL(Tasks[[#This Row],[_LeafLateFinish]],-(Tasks[[#This Row],[Duration]]-1),WorkWeek,Holidays)))</f>
        <v/>
      </c>
      <c r="EL17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78" s="73" t="b">
        <f aca="false">AND(Tasks[[#This Row],[_IsLeaf]]=1,Tasks[[#This Row],[_LeafProgress]]&lt;1,N(Tasks[[#This Row],[_LeafTotalSlack]])&lt;=CriticalSlackDays)</f>
        <v>0</v>
      </c>
      <c r="EN178" s="45" t="n">
        <f aca="false">IF(AND(Tasks[[#This Row],[_IsLeaf]]=1,Tasks[[#This Row],[_ConstraintCode]]=1,Tasks[[#This Row],[Mode]]&lt;&gt;"Manual",N(Tasks[[#This Row],[Actual Start]])=0),MAX(0,N(Tasks[[#This Row],[Free Slack]])),0)</f>
        <v>0</v>
      </c>
      <c r="EO178" s="74" t="str">
        <f aca="false">IF(NOT(Tasks[[#This Row],[_IsLeaf]]=1),"",IF(Tasks[[#This Row],[_AlapShift]]=0,Tasks[[#This Row],[_LeafCalcStart]],WORKDAY.INTL(Tasks[[#This Row],[_LeafCalcStart]],Tasks[[#This Row],[_AlapShift]],WorkWeek,Holidays)))</f>
        <v/>
      </c>
      <c r="EP178" s="74" t="str">
        <f aca="false">IF(NOT(Tasks[[#This Row],[_IsLeaf]]=1),"",IF(Tasks[[#This Row],[_AlapShift]]=0,Tasks[[#This Row],[_LeafCalcFinish]],WORKDAY.INTL(Tasks[[#This Row],[_LeafCalcFinish]],Tasks[[#This Row],[_AlapShift]],WorkWeek,Holidays)))</f>
        <v/>
      </c>
      <c r="EQ178" s="74" t="str">
        <f aca="false">IF(NOT(Tasks[[#This Row],[_IsLeaf]]=1),"",IF(Tasks[[#This Row],[_AlapShift]]=0,Tasks[[#This Row],[_LeafFcstStart]],WORKDAY.INTL(Tasks[[#This Row],[_LeafFcstStart]],Tasks[[#This Row],[_AlapShift]],WorkWeek,Holidays)))</f>
        <v/>
      </c>
      <c r="ER178" s="74" t="str">
        <f aca="false">IF(NOT(Tasks[[#This Row],[_IsLeaf]]=1),"",IF(Tasks[[#This Row],[_AlapShift]]=0,Tasks[[#This Row],[_LeafFcstFinish]],WORKDAY.INTL(Tasks[[#This Row],[_LeafFcstFinish]],Tasks[[#This Row],[_AlapShift]],WorkWeek,Holidays)))</f>
        <v/>
      </c>
      <c r="ES178" s="74" t="str">
        <f aca="false">IF(Tasks[[#This Row],[Task Name]]="","",IF(Tasks[[#This Row],[_IsSummary]],MIN(INDEX(Tasks[_ShownCalcStart],Tasks[[#This Row],[_Row]]+1):INDEX(Tasks[_ShownCalcStart],Tasks[[#This Row],[_Row]]+Tasks[[#This Row],[_Descendants]])),Tasks[[#This Row],[_ShownCalcStart]]))</f>
        <v/>
      </c>
      <c r="ET178" s="74" t="str">
        <f aca="false">IF(Tasks[[#This Row],[Task Name]]="","",IF(Tasks[[#This Row],[_IsSummary]],MAX(INDEX(Tasks[_ShownCalcFinish],Tasks[[#This Row],[_Row]]+1):INDEX(Tasks[_ShownCalcFinish],Tasks[[#This Row],[_Row]]+Tasks[[#This Row],[_Descendants]])),Tasks[[#This Row],[_ShownCalcFinish]]))</f>
        <v/>
      </c>
      <c r="EU17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7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7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7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7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7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7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7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7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7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7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7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78" s="45" t="n">
        <f aca="false">IF(AND(Tasks[[#This Row],[_IsLeaf]]=1,Tasks[[#This Row],[_LeafTotalWork]]&gt;0),NETWORKDAYS.INTL(ProjectStart,Tasks[[#This Row],[_ShownFcstStart]],WorkWeek,Holidays),0)</f>
        <v>0</v>
      </c>
      <c r="FH178" s="45" t="n">
        <f aca="false">IF(AND(Tasks[[#This Row],[_IsLeaf]]=1,Tasks[[#This Row],[_LeafTotalWork]]&gt;0),MAX(Tasks[[#This Row],[_StartWorkday]],NETWORKDAYS.INTL(ProjectStart,Tasks[[#This Row],[_ShownFcstFinish]],WorkWeek,Holidays)),0)</f>
        <v>0</v>
      </c>
      <c r="FI178" s="45" t="n">
        <f aca="false">IF(AND(Tasks[[#This Row],[_IsLeaf]]=1,Tasks[[#This Row],[_LeafTotalWork]]&gt;0),Tasks[[#This Row],[_LeafWork]]/(Tasks[[#This Row],[_FinishWorkday]]-Tasks[[#This Row],[_StartWorkday]]+1),0)</f>
        <v>0</v>
      </c>
      <c r="FJ178" s="45" t="n">
        <f aca="false">Tasks[[#This Row],[_WorkPerWorkday]]*(Tasks[[#This Row],[_StartWorkday]]-1)</f>
        <v>-0</v>
      </c>
      <c r="FK178" s="45" t="n">
        <f aca="false">IF(Tasks[[#This Row],[_IsLeaf]]=1,MAX(N(Tasks[[#This Row],[Duration]]),0.1),0)</f>
        <v>0</v>
      </c>
      <c r="FL178" s="45" t="n">
        <f aca="false">Tasks[[#This Row],[_WeightDur]]*Tasks[[#This Row],[_LeafProgress]]</f>
        <v>0</v>
      </c>
      <c r="FM17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78" s="45" t="str">
        <f aca="false">IF(AND(Tasks[[#This Row],[_IsLeaf]]=1,N(Tasks[[#This Row],[Duration]])=0,Tasks[[#This Row],[_LeafProgress]]&lt;1),Tasks[[#This Row],[_ShownFcstFinish]]+Tasks[[#This Row],[_Row]]/100000,"")</f>
        <v/>
      </c>
      <c r="FO17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78" s="45" t="n">
        <f aca="false">IF(NOT(Tasks[[#This Row],[_IsLeaf]]=1),0,IF(Tasks[[#This Row],[Baseline Cost]]="",Tasks[[#This Row],[_LeafTotalCost]],N(Tasks[[#This Row],[Baseline Cost]])))</f>
        <v>0</v>
      </c>
      <c r="FQ178" s="45" t="n">
        <f aca="false">Tasks[[#This Row],[_LeafBudget]]*Tasks[[#This Row],[_PlannedPct]]</f>
        <v>0</v>
      </c>
      <c r="FR178" s="45" t="n">
        <f aca="false">Tasks[[#This Row],[_LeafBudget]]*Tasks[[#This Row],[_LeafProgress]]</f>
        <v>0</v>
      </c>
      <c r="FS178" s="45" t="n">
        <f aca="false">IF(NOT(Tasks[[#This Row],[_IsLeaf]]=1),0,IF(Tasks[[#This Row],[Actual Cost]]="",Tasks[[#This Row],[_LeafTotalCost]]*Tasks[[#This Row],[_LeafProgress]],N(Tasks[[#This Row],[Actual Cost]])))</f>
        <v>0</v>
      </c>
      <c r="FT178" s="45" t="str">
        <f aca="false">IF(Tasks[[#This Row],[Task Name]]="","",LEFT(Tasks[[#This Row],[WBS]],FIND(".",Tasks[[#This Row],[WBS]]&amp;".")-1))</f>
        <v/>
      </c>
      <c r="FU178" s="45" t="str">
        <f aca="false">IF(AND(Tasks[[#This Row],[Task Name]]&lt;&gt;"",Tasks[[#This Row],[_Level]]=1),Tasks[[#This Row],[_Row]],"")</f>
        <v/>
      </c>
      <c r="FV178" s="45" t="str">
        <f aca="false">IF(AND(Tasks[[#This Row],[_IsLeaf]]=1,N(Tasks[[#This Row],[Duration]])=0),Tasks[[#This Row],[Planned Finish]]+Tasks[[#This Row],[_Row]]/100000,"")</f>
        <v/>
      </c>
      <c r="FW178" s="45" t="str">
        <f aca="false">IF(AND(Tasks[[#This Row],[_IsLeaf]]=1,Tasks[[#This Row],[_LeafProgress]]&lt;1,OR(N(Tasks[[#This Row],[Finish Var]])&gt;0,Tasks[[#This Row],[Status]]="Late Start")),MAX(0,Tasks[[#This Row],[Finish Var]])+1-Tasks[[#This Row],[_Row]]/1000000,"")</f>
        <v/>
      </c>
      <c r="FX178" s="45" t="str">
        <f aca="false">IF(AND(Tasks[[#This Row],[_IsLeaf]]=1,N(Tasks[[#This Row],[Actual Start]])=0,Tasks[[#This Row],[_ShownFcstStart]]&gt;=StatusDate,Tasks[[#This Row],[_ShownFcstStart]]&lt;=LookaheadEnd),Tasks[[#This Row],[_ShownFcstStart]]+Tasks[[#This Row],[_Row]]/100000,"")</f>
        <v/>
      </c>
      <c r="FY178" s="45" t="str">
        <f aca="false">IF(AND(Tasks[[#This Row],[_IsLeaf]]=1,Tasks[[#This Row],[_LeafProgress]]&lt;1,Tasks[[#This Row],[_ShownFcstFinish]]&gt;=StatusDate,Tasks[[#This Row],[_ShownFcstFinish]]&lt;=LookaheadEnd),Tasks[[#This Row],[_ShownFcstFinish]]+Tasks[[#This Row],[_Row]]/100000,"")</f>
        <v/>
      </c>
      <c r="FZ178" s="45" t="str">
        <f aca="false">IF(Tasks[[#This Row],[_LeafCritical]],Tasks[[#This Row],[_ShownFcstStart]]+Tasks[[#This Row],[_Row]]/100000,"")</f>
        <v/>
      </c>
      <c r="GA178" s="45" t="n">
        <f aca="false">Tasks[[#This Row],[_LeafWork]]*Tasks[[#This Row],[_LeafProgress]]</f>
        <v>0</v>
      </c>
      <c r="GB178" s="74" t="str">
        <f aca="false">IF(AND(Tasks[[#This Row],[_IsLeaf]]=1,Tasks[[#This Row],[_LeafProgress]]&gt;=1),IF(N(Tasks[[#This Row],[Actual Finish]])&gt;0,Tasks[[#This Row],[Actual Finish]],Tasks[[#This Row],[_ShownFcstFinish]]),"")</f>
        <v/>
      </c>
    </row>
    <row r="179" customFormat="false" ht="15" hidden="false" customHeight="false" outlineLevel="0" collapsed="false">
      <c r="A179" s="67" t="str">
        <f aca="false">IF(Tasks[[#This Row],[Task Name]]="","",COUNTA(Tasks[[#Headers],[Task Name]]:Tasks[[#This Row],[Task Name]])-1)</f>
        <v/>
      </c>
      <c r="B179" s="21" t="n">
        <v>174</v>
      </c>
      <c r="C17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21"/>
      <c r="E179" s="22"/>
      <c r="F179" s="21"/>
      <c r="G179" s="22"/>
      <c r="H179" s="22"/>
      <c r="I179" s="22"/>
      <c r="J179" s="7"/>
      <c r="K179" s="7"/>
      <c r="L179" s="22"/>
      <c r="M179" s="58" t="str">
        <f aca="false">IF(Tasks[[#This Row],[Task Name]]="","",IF(Tasks[[#This Row],[_IsSummary]],MIN(INDEX(Tasks[_ShownFcstStart],Tasks[[#This Row],[_Row]]+1):INDEX(Tasks[_ShownFcstStart],Tasks[[#This Row],[_Row]]+Tasks[[#This Row],[_Descendants]])),Tasks[[#This Row],[_ShownFcstStart]]))</f>
        <v/>
      </c>
      <c r="N179" s="58" t="str">
        <f aca="false">IF(Tasks[[#This Row],[Task Name]]="","",IF(Tasks[[#This Row],[_IsSummary]],MAX(INDEX(Tasks[_ShownFcstFinish],Tasks[[#This Row],[_Row]]+1):INDEX(Tasks[_ShownFcstFinish],Tasks[[#This Row],[_Row]]+Tasks[[#This Row],[_Descendants]])),Tasks[[#This Row],[_ShownFcstFinish]]))</f>
        <v/>
      </c>
      <c r="O179" s="20" t="str">
        <f aca="false">IF(Tasks[[#This Row],[Task Name]]="","",IF(Tasks[[#This Row],[Progress]]&gt;=1,"Complete",IF(OR(N(Tasks[[#This Row],[Actual Start]])&gt;0,Tasks[[#This Row],[Progress]]&gt;0),IF(Tasks[[#This Row],[Finish Var]]&gt;0,"Behind","In Progress"),IF(Tasks[[#This Row],[Planned Start]]&lt;StatusDate,"Late Start","Not Started"))))</f>
        <v/>
      </c>
      <c r="P179" s="20" t="str">
        <f aca="false">IF(Tasks[[#This Row],[Task Name]]="","",IF(IF(Tasks[[#This Row],[_IsSummary]],COUNTIF(INDEX(Tasks[_LeafCritical],Tasks[[#This Row],[_Row]]+1):INDEX(Tasks[_LeafCritical],Tasks[[#This Row],[_Row]]+Tasks[[#This Row],[_Descendants]]),TRUE())&gt;0,Tasks[[#This Row],[_LeafCritical]]),"Yes",""))</f>
        <v/>
      </c>
      <c r="Q17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79" s="67" t="str">
        <f aca="false">IF(Tasks[[#This Row],[Task Name]]="","",IF(Tasks[[#This Row],[_Level]]&lt;=OutlineShowLevel,"Yes","No"))</f>
        <v/>
      </c>
      <c r="S179" s="7"/>
      <c r="T179" s="21"/>
      <c r="U179" s="22"/>
      <c r="V179" s="7"/>
      <c r="W179" s="67" t="str">
        <f aca="false">IF(Tasks[[#This Row],[Task Name]]="","",IF(Tasks[[#This Row],[Finish]]&gt;=Tasks[[#This Row],[Planned Finish]],NETWORKDAYS.INTL(Tasks[[#This Row],[Planned Finish]],Tasks[[#This Row],[Finish]],WorkWeek,Holidays)-1,1-NETWORKDAYS.INTL(Tasks[[#This Row],[Finish]],Tasks[[#This Row],[Planned Finish]],WorkWeek,Holidays)))</f>
        <v/>
      </c>
      <c r="X179" s="58" t="str">
        <f aca="false">IF(Tasks[[#This Row],[Task Name]]="","",IF(N(Tasks[[#This Row],[Baseline Start]])&gt;0,Tasks[[#This Row],[Baseline Start]],Tasks[[#This Row],[_CalcStart]]))</f>
        <v/>
      </c>
      <c r="Y179" s="58" t="str">
        <f aca="false">IF(Tasks[[#This Row],[Task Name]]="","",IF(N(Tasks[[#This Row],[Baseline Finish]])&gt;0,Tasks[[#This Row],[Baseline Finish]],Tasks[[#This Row],[_CalcFinish]]))</f>
        <v/>
      </c>
      <c r="Z179" s="67" t="str">
        <f aca="false">IF(Tasks[[#This Row],[Task Name]]="","",IF(Tasks[[#This Row],[Start]]&gt;=Tasks[[#This Row],[Planned Start]],NETWORKDAYS.INTL(Tasks[[#This Row],[Planned Start]],Tasks[[#This Row],[Start]],WorkWeek,Holidays)-1,1-NETWORKDAYS.INTL(Tasks[[#This Row],[Start]],Tasks[[#This Row],[Planned Start]],WorkWeek,Holidays)))</f>
        <v/>
      </c>
      <c r="AA179" s="58" t="str">
        <f aca="false">IF(Tasks[[#This Row],[Task Name]]="","",IF(Tasks[[#This Row],[_IsSummary]],MIN(INDEX(Tasks[_LeafLateStart],Tasks[[#This Row],[_Row]]+1):INDEX(Tasks[_LeafLateStart],Tasks[[#This Row],[_Row]]+Tasks[[#This Row],[_Descendants]])),Tasks[[#This Row],[_LeafLateStart]]))</f>
        <v/>
      </c>
      <c r="AB179" s="58" t="str">
        <f aca="false">IF(Tasks[[#This Row],[Task Name]]="","",IF(Tasks[[#This Row],[_IsSummary]],MAX(INDEX(Tasks[_LeafLateFinish],Tasks[[#This Row],[_Row]]+1):INDEX(Tasks[_LeafLateFinish],Tasks[[#This Row],[_Row]]+Tasks[[#This Row],[_Descendants]])),Tasks[[#This Row],[_LeafLateFinish]]))</f>
        <v/>
      </c>
      <c r="AC179" s="67" t="str">
        <f aca="false">IF(Tasks[[#This Row],[Task Name]]="","",IF(Tasks[[#This Row],[_IsSummary]],MIN(INDEX(Tasks[_LeafTotalSlack],Tasks[[#This Row],[_Row]]+1):INDEX(Tasks[_LeafTotalSlack],Tasks[[#This Row],[_Row]]+Tasks[[#This Row],[_Descendants]])),Tasks[[#This Row],[_LeafTotalSlack]]))</f>
        <v/>
      </c>
      <c r="AD17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7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7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79" s="60"/>
      <c r="AH17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7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79" s="69" t="str">
        <f aca="false">IF(Tasks[[#This Row],[Task Name]]="","",IF(Tasks[[#This Row],[_IsSummary]],SUM(INDEX(Tasks[_LeafTotalWork],Tasks[[#This Row],[_Row]]+1):INDEX(Tasks[_LeafTotalWork],Tasks[[#This Row],[_Row]]+Tasks[[#This Row],[_Descendants]])),Tasks[[#This Row],[_LeafTotalWork]]))</f>
        <v/>
      </c>
      <c r="AK17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79" s="70" t="str">
        <f aca="false">IF(Tasks[[#This Row],[Task Name]]="","",IF(Tasks[[#This Row],[_IsSummary]],SUM(INDEX(Tasks[_LeafTotalCost],Tasks[[#This Row],[_Row]]+1):INDEX(Tasks[_LeafTotalCost],Tasks[[#This Row],[_Row]]+Tasks[[#This Row],[_Descendants]])),Tasks[[#This Row],[_LeafTotalCost]]))</f>
        <v/>
      </c>
      <c r="AM179" s="71"/>
      <c r="AN179" s="20" t="str">
        <f aca="false">IF(OR(Tasks[[#This Row],[Task Name]]="",Tasks[[#This Row],[Baseline Duration]]=""),"",Tasks[[#This Row],[BL Source Duration]]-N(Tasks[[#This Row],[Baseline Duration]]))</f>
        <v/>
      </c>
      <c r="AO179" s="69" t="str">
        <f aca="false">IF(OR(Tasks[[#This Row],[Task Name]]="",Tasks[[#This Row],[Baseline Work]]=""),"",Tasks[[#This Row],[Work]]-N(Tasks[[#This Row],[Baseline Work]]))</f>
        <v/>
      </c>
      <c r="AP179" s="70" t="str">
        <f aca="false">IF(OR(Tasks[[#This Row],[Task Name]]="",Tasks[[#This Row],[Baseline Cost]]=""),"",Tasks[[#This Row],[Cost]]-N(Tasks[[#This Row],[Baseline Cost]]))</f>
        <v/>
      </c>
      <c r="AQ179" s="58" t="str">
        <f aca="false">IF(Tasks[[#This Row],[Task Name]]="","",Tasks[[#This Row],[Start]])</f>
        <v/>
      </c>
      <c r="AR179" s="58" t="str">
        <f aca="false">IF(Tasks[[#This Row],[Task Name]]="","",Tasks[[#This Row],[Finish]])</f>
        <v/>
      </c>
      <c r="AS179" s="67" t="str">
        <f aca="false">IF(Tasks[[#This Row],[Task Name]]="","",IF(Tasks[[#This Row],[_IsSummary]],NETWORKDAYS.INTL(Tasks[[#This Row],[Start]],Tasks[[#This Row],[Finish]],WorkWeek,Holidays),N(Tasks[[#This Row],[Duration]])))</f>
        <v/>
      </c>
      <c r="AT179" s="69" t="str">
        <f aca="false">IF(Tasks[[#This Row],[Task Name]]="","",Tasks[[#This Row],[Work]])</f>
        <v/>
      </c>
      <c r="AU179" s="70" t="str">
        <f aca="false">IF(Tasks[[#This Row],[Task Name]]="","",Tasks[[#This Row],[Cost]])</f>
        <v/>
      </c>
      <c r="AV179" s="7"/>
      <c r="AW179" s="7"/>
      <c r="AX179" s="21"/>
      <c r="AY179" s="72"/>
      <c r="AZ179" s="71"/>
      <c r="BA179" s="70" t="str">
        <f aca="false">IF(Tasks[[#This Row],[Task Name]]="","",IF(Tasks[[#This Row],[_IsSummary]],SUM(INDEX(Tasks[_LeafEV],Tasks[[#This Row],[_Row]]+1):INDEX(Tasks[_LeafEV],Tasks[[#This Row],[_Row]]+Tasks[[#This Row],[_Descendants]])),Tasks[[#This Row],[_LeafEV]]))</f>
        <v/>
      </c>
      <c r="BB179" s="70" t="str">
        <f aca="false">IF(Tasks[[#This Row],[Task Name]]="","",IF(Tasks[[#This Row],[_IsSummary]],SUM(INDEX(Tasks[_LeafBudget],Tasks[[#This Row],[_Row]]+1):INDEX(Tasks[_LeafBudget],Tasks[[#This Row],[_Row]]+Tasks[[#This Row],[_Descendants]])),Tasks[[#This Row],[_LeafBudget]]))</f>
        <v/>
      </c>
      <c r="BC179" s="70" t="str">
        <f aca="false">IF(Tasks[[#This Row],[Task Name]]="","",IF(Tasks[[#This Row],[_IsSummary]],SUM(INDEX(Tasks[_LeafPV],Tasks[[#This Row],[_Row]]+1):INDEX(Tasks[_LeafPV],Tasks[[#This Row],[_Row]]+Tasks[[#This Row],[_Descendants]])),Tasks[[#This Row],[_LeafPV]]))</f>
        <v/>
      </c>
      <c r="BD179" s="70" t="str">
        <f aca="false">IF(Tasks[[#This Row],[Task Name]]="","",IF(Tasks[[#This Row],[_IsSummary]],SUM(INDEX(Tasks[_LeafAC],Tasks[[#This Row],[_Row]]+1):INDEX(Tasks[_LeafAC],Tasks[[#This Row],[_Row]]+Tasks[[#This Row],[_Descendants]])),Tasks[[#This Row],[_LeafAC]]))</f>
        <v/>
      </c>
      <c r="BE179" s="45" t="str">
        <f aca="false">IF(Tasks[[#This Row],[Task Name]]="","",MAX(1,N(Tasks[[#This Row],[Level]])))</f>
        <v/>
      </c>
      <c r="BF179" s="45" t="n">
        <f aca="false">ROW()-ROW(Tasks[[#Headers],[ID]])</f>
        <v>174</v>
      </c>
      <c r="BG179" s="45" t="n">
        <f aca="false">IF(OR(Tasks[[#This Row],[Task Name]]="",Tasks[[#This Row],[_Level]]&lt;=1),0,IFERROR(LOOKUP(2,1/(Tasks[[#Headers],[_Level]]:Tasks[[#This Row],[_Level]]=Tasks[[#This Row],[_Level]]-1),ROW(Tasks[[#Headers],[_Level]]:Tasks[[#This Row],[_Level]])),0))</f>
        <v>0</v>
      </c>
      <c r="BH179" s="45" t="n">
        <f aca="false">IFERROR(N(INDEX(Tasks[_Level],Tasks[[#This Row],[_Row]]+1)),0)</f>
        <v>0</v>
      </c>
      <c r="BI179" s="73" t="b">
        <f aca="false">AND(Tasks[[#This Row],[Task Name]]&lt;&gt;"",Tasks[[#This Row],[_NextLevel]]&gt;Tasks[[#This Row],[_Level]])</f>
        <v>0</v>
      </c>
      <c r="BJ179" s="45" t="n">
        <f aca="false">IF(Tasks[[#This Row],[_IsSummary]],COUNTIF(Tasks[WBS],Tasks[[#This Row],[WBS]]&amp;".*"),0)</f>
        <v>0</v>
      </c>
      <c r="BK179" s="45" t="n">
        <f aca="false">IF(AND(Tasks[[#This Row],[Task Name]]&lt;&gt;"",NOT(Tasks[[#This Row],[_IsSummary]])),1,0)</f>
        <v>0</v>
      </c>
      <c r="BL179" s="45" t="n">
        <f aca="false">IF(N(Tasks[[#This Row],[_Pred1UID]])=0,0,IFERROR(MATCH(Tasks[[#This Row],[_Pred1UID]],Tasks[UID],0),-1))</f>
        <v>0</v>
      </c>
      <c r="BM179" s="45" t="n">
        <f aca="false">IF(N(Tasks[[#This Row],[_Pred2UID]])=0,0,IFERROR(MATCH(Tasks[[#This Row],[_Pred2UID]],Tasks[UID],0),-1))</f>
        <v>0</v>
      </c>
      <c r="BN179" s="45" t="n">
        <f aca="false">IF(N(Tasks[[#This Row],[_Pred3UID]])=0,0,IFERROR(MATCH(Tasks[[#This Row],[_Pred3UID]],Tasks[UID],0),-1))</f>
        <v>0</v>
      </c>
      <c r="BO179" s="45" t="n">
        <f aca="false">IF(N(Tasks[[#This Row],[_Pred4UID]])=0,0,IFERROR(MATCH(Tasks[[#This Row],[_Pred4UID]],Tasks[UID],0),-1))</f>
        <v>0</v>
      </c>
      <c r="BP17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7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79" s="74" t="n">
        <f aca="false">IF(OR(Tasks[[#This Row],[_ConstraintCode]]=2,Tasks[[#This Row],[_ConstraintCode]]=3,Tasks[[#This Row],[_ConstraintCode]]=4,Tasks[[#This Row],[_ConstraintCode]]=6),Tasks[[#This Row],[_ConstraintStart]],0)</f>
        <v>0</v>
      </c>
      <c r="BS179" s="74" t="n">
        <f aca="false">IF(OR(Tasks[[#This Row],[_ConstraintCode]]=2,Tasks[[#This Row],[_ConstraintCode]]=3,Tasks[[#This Row],[_ConstraintCode]]=5,Tasks[[#This Row],[_ConstraintCode]]=7),Tasks[[#This Row],[_ConstraintStart]],2958465)</f>
        <v>2958465</v>
      </c>
      <c r="BT17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79" s="74" t="str">
        <f aca="false">IF(NOT(Tasks[[#This Row],[_IsLeaf]]=1),"",IF(N(Tasks[[#This Row],[Duration]])&lt;=0,Tasks[[#This Row],[_LeafCalcStart]],WORKDAY.INTL(Tasks[[#This Row],[_LeafCalcStart]],Tasks[[#This Row],[Duration]]-1,WorkWeek,Holidays)))</f>
        <v/>
      </c>
      <c r="BV17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7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79" s="45" t="str">
        <f aca="false">IF(Tasks[[#This Row],[Predecessors]]="","",TRIM(MID(SUBSTITUTE(SUBSTITUTE(SUBSTITUTE(UPPER(Tasks[[#This Row],[Predecessors]]),";",",")," ",""),",",REPT(" ",99)),1,99)))</f>
        <v/>
      </c>
      <c r="BY179" s="45" t="str">
        <f aca="false">IF(Tasks[[#This Row],[_Pred1Text]]="","",IFERROR(VALUE(LEFT(Tasks[[#This Row],[_Pred1Text]],MIN(FIND("F",Tasks[[#This Row],[_Pred1Text]]&amp;"F"),FIND("S",Tasks[[#This Row],[_Pred1Text]]&amp;"S"),FIND("+",Tasks[[#This Row],[_Pred1Text]]&amp;"+"),FIND("-",Tasks[[#This Row],[_Pred1Text]]&amp;"-"))-1)),""))</f>
        <v/>
      </c>
      <c r="BZ17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7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79" s="45" t="str">
        <f aca="false">IF(Tasks[[#This Row],[_Pred1Text]]="","",TRIM(MID(SUBSTITUTE(SUBSTITUTE(SUBSTITUTE(UPPER(Tasks[[#This Row],[Predecessors]]),";",",")," ",""),",",REPT(" ",99)),100,99)))</f>
        <v/>
      </c>
      <c r="CC179" s="45" t="str">
        <f aca="false">IF(Tasks[[#This Row],[_Pred2Text]]="","",IFERROR(VALUE(LEFT(Tasks[[#This Row],[_Pred2Text]],MIN(FIND("F",Tasks[[#This Row],[_Pred2Text]]&amp;"F"),FIND("S",Tasks[[#This Row],[_Pred2Text]]&amp;"S"),FIND("+",Tasks[[#This Row],[_Pred2Text]]&amp;"+"),FIND("-",Tasks[[#This Row],[_Pred2Text]]&amp;"-"))-1)),""))</f>
        <v/>
      </c>
      <c r="CD17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7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79" s="45" t="str">
        <f aca="false">IF(Tasks[[#This Row],[_Pred2Text]]="","",TRIM(MID(SUBSTITUTE(SUBSTITUTE(SUBSTITUTE(UPPER(Tasks[[#This Row],[Predecessors]]),";",",")," ",""),",",REPT(" ",99)),199,99)))</f>
        <v/>
      </c>
      <c r="CG179" s="45" t="str">
        <f aca="false">IF(Tasks[[#This Row],[_Pred3Text]]="","",IFERROR(VALUE(LEFT(Tasks[[#This Row],[_Pred3Text]],MIN(FIND("F",Tasks[[#This Row],[_Pred3Text]]&amp;"F"),FIND("S",Tasks[[#This Row],[_Pred3Text]]&amp;"S"),FIND("+",Tasks[[#This Row],[_Pred3Text]]&amp;"+"),FIND("-",Tasks[[#This Row],[_Pred3Text]]&amp;"-"))-1)),""))</f>
        <v/>
      </c>
      <c r="CH17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7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79" s="45" t="str">
        <f aca="false">IF(Tasks[[#This Row],[_Pred3Text]]="","",TRIM(MID(SUBSTITUTE(SUBSTITUTE(SUBSTITUTE(UPPER(Tasks[[#This Row],[Predecessors]]),";",",")," ",""),",",REPT(" ",99)),298,99)))</f>
        <v/>
      </c>
      <c r="CK179" s="45" t="str">
        <f aca="false">IF(Tasks[[#This Row],[_Pred4Text]]="","",IFERROR(VALUE(LEFT(Tasks[[#This Row],[_Pred4Text]],MIN(FIND("F",Tasks[[#This Row],[_Pred4Text]]&amp;"F"),FIND("S",Tasks[[#This Row],[_Pred4Text]]&amp;"S"),FIND("+",Tasks[[#This Row],[_Pred4Text]]&amp;"+"),FIND("-",Tasks[[#This Row],[_Pred4Text]]&amp;"-"))-1)),""))</f>
        <v/>
      </c>
      <c r="CL17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7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79" s="45" t="str">
        <f aca="false">IF(OR(Tasks[[#This Row],[Task Name]]="",Tasks[[#This Row],[Resources]]=""),"",TRIM(MID(SUBSTITUTE(Tasks[[#This Row],[Resources]],",",REPT(" ",99)),1,99)))</f>
        <v/>
      </c>
      <c r="CO179" s="45" t="str">
        <f aca="false">IF(Tasks[[#This Row],[_Res1Text]]="","",TRIM(MID(SUBSTITUTE(Tasks[[#This Row],[Resources]],",",REPT(" ",99)),100,99)))</f>
        <v/>
      </c>
      <c r="CP179" s="45" t="str">
        <f aca="false">IF(Tasks[[#This Row],[_Res2Text]]="","",TRIM(MID(SUBSTITUTE(Tasks[[#This Row],[Resources]],",",REPT(" ",99)),199,99)))</f>
        <v/>
      </c>
      <c r="CQ179" s="45" t="str">
        <f aca="false">IF(Tasks[[#This Row],[_Res3Text]]="","",TRIM(MID(SUBSTITUTE(Tasks[[#This Row],[Resources]],",",REPT(" ",99)),298,99)))</f>
        <v/>
      </c>
      <c r="CR17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7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9" s="45" t="n">
        <f aca="false">IF(NOT(Tasks[[#This Row],[_IsLeaf]]=1),0,(Tasks[[#This Row],[_Resource1]]&lt;&gt;"")+(Tasks[[#This Row],[_Res2]]&lt;&gt;"")+(Tasks[[#This Row],[_Res3]]&lt;&gt;"")+(Tasks[[#This Row],[_Res4]]&lt;&gt;""))</f>
        <v>0</v>
      </c>
      <c r="CU17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7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9" s="45" t="n">
        <f aca="false">IF(OR(NOT(Tasks[[#This Row],[_IsLeaf]]=1),Tasks[[#This Row],[_Res2]]=""),0,IF(ISNA(MATCH(Tasks[[#This Row],[_Res2]],res_Name,0)),0,N(Tasks[[#This Row],[Duration]])*HoursPerDay*IF(Tasks[[#This Row],[_Res2Units]]="",DefaultUnits,Tasks[[#This Row],[_Res2Units]])))</f>
        <v>0</v>
      </c>
      <c r="CX179" s="45" t="n">
        <f aca="false">IF(Tasks[[#This Row],[_Res2Work]]=0,0,Tasks[[#This Row],[_Res2Work]]*IFERROR(INDEX(res_Rate,MATCH(Tasks[[#This Row],[_Res2]],res_Name,0)),0))</f>
        <v>0</v>
      </c>
      <c r="CY179" s="45" t="n">
        <f aca="false">IF(AND(AND(Tasks[[#This Row],[_IsLeaf]]=1,Tasks[[#This Row],[_LeafTotalWork]]&gt;0),Tasks[[#This Row],[_Res2Work]]&gt;0),Tasks[[#This Row],[_Res2Work]]/(Tasks[[#This Row],[_FinishWorkday]]-Tasks[[#This Row],[_StartWorkday]]+1),0)</f>
        <v>0</v>
      </c>
      <c r="CZ179" s="45" t="n">
        <f aca="false">Tasks[[#This Row],[_Res2WorkPerWD]]*MAX(0,Tasks[[#This Row],[_StartWorkday]]-1)</f>
        <v>0</v>
      </c>
      <c r="DA179" s="45" t="n">
        <f aca="false">Tasks[[#This Row],[_Res2Work]]*Tasks[[#This Row],[_LeafProgress]]</f>
        <v>0</v>
      </c>
      <c r="DB179" s="45" t="n">
        <f aca="false">IF(Tasks[[#This Row],[_LeafTotalCost]]=0,0,Tasks[[#This Row],[_LeafAC]]*Tasks[[#This Row],[_Res2Cost]]/Tasks[[#This Row],[_LeafTotalCost]])</f>
        <v>0</v>
      </c>
      <c r="DC17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7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79" s="45" t="n">
        <f aca="false">IF(OR(NOT(Tasks[[#This Row],[_IsLeaf]]=1),Tasks[[#This Row],[_Res3]]=""),0,IF(ISNA(MATCH(Tasks[[#This Row],[_Res3]],res_Name,0)),0,N(Tasks[[#This Row],[Duration]])*HoursPerDay*IF(Tasks[[#This Row],[_Res3Units]]="",DefaultUnits,Tasks[[#This Row],[_Res3Units]])))</f>
        <v>0</v>
      </c>
      <c r="DF179" s="45" t="n">
        <f aca="false">IF(Tasks[[#This Row],[_Res3Work]]=0,0,Tasks[[#This Row],[_Res3Work]]*IFERROR(INDEX(res_Rate,MATCH(Tasks[[#This Row],[_Res3]],res_Name,0)),0))</f>
        <v>0</v>
      </c>
      <c r="DG179" s="45" t="n">
        <f aca="false">IF(AND(AND(Tasks[[#This Row],[_IsLeaf]]=1,Tasks[[#This Row],[_LeafTotalWork]]&gt;0),Tasks[[#This Row],[_Res3Work]]&gt;0),Tasks[[#This Row],[_Res3Work]]/(Tasks[[#This Row],[_FinishWorkday]]-Tasks[[#This Row],[_StartWorkday]]+1),0)</f>
        <v>0</v>
      </c>
      <c r="DH179" s="45" t="n">
        <f aca="false">Tasks[[#This Row],[_Res3WorkPerWD]]*MAX(0,Tasks[[#This Row],[_StartWorkday]]-1)</f>
        <v>0</v>
      </c>
      <c r="DI179" s="45" t="n">
        <f aca="false">Tasks[[#This Row],[_Res3Work]]*Tasks[[#This Row],[_LeafProgress]]</f>
        <v>0</v>
      </c>
      <c r="DJ179" s="45" t="n">
        <f aca="false">IF(Tasks[[#This Row],[_LeafTotalCost]]=0,0,Tasks[[#This Row],[_LeafAC]]*Tasks[[#This Row],[_Res3Cost]]/Tasks[[#This Row],[_LeafTotalCost]])</f>
        <v>0</v>
      </c>
      <c r="DK17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7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79" s="45" t="n">
        <f aca="false">IF(OR(NOT(Tasks[[#This Row],[_IsLeaf]]=1),Tasks[[#This Row],[_Res4]]=""),0,IF(ISNA(MATCH(Tasks[[#This Row],[_Res4]],res_Name,0)),0,N(Tasks[[#This Row],[Duration]])*HoursPerDay*IF(Tasks[[#This Row],[_Res4Units]]="",DefaultUnits,Tasks[[#This Row],[_Res4Units]])))</f>
        <v>0</v>
      </c>
      <c r="DN179" s="45" t="n">
        <f aca="false">IF(Tasks[[#This Row],[_Res4Work]]=0,0,Tasks[[#This Row],[_Res4Work]]*IFERROR(INDEX(res_Rate,MATCH(Tasks[[#This Row],[_Res4]],res_Name,0)),0))</f>
        <v>0</v>
      </c>
      <c r="DO179" s="45" t="n">
        <f aca="false">IF(AND(AND(Tasks[[#This Row],[_IsLeaf]]=1,Tasks[[#This Row],[_LeafTotalWork]]&gt;0),Tasks[[#This Row],[_Res4Work]]&gt;0),Tasks[[#This Row],[_Res4Work]]/(Tasks[[#This Row],[_FinishWorkday]]-Tasks[[#This Row],[_StartWorkday]]+1),0)</f>
        <v>0</v>
      </c>
      <c r="DP179" s="45" t="n">
        <f aca="false">Tasks[[#This Row],[_Res4WorkPerWD]]*MAX(0,Tasks[[#This Row],[_StartWorkday]]-1)</f>
        <v>0</v>
      </c>
      <c r="DQ179" s="45" t="n">
        <f aca="false">Tasks[[#This Row],[_Res4Work]]*Tasks[[#This Row],[_LeafProgress]]</f>
        <v>0</v>
      </c>
      <c r="DR179" s="45" t="n">
        <f aca="false">IF(Tasks[[#This Row],[_LeafTotalCost]]=0,0,Tasks[[#This Row],[_LeafAC]]*Tasks[[#This Row],[_Res4Cost]]/Tasks[[#This Row],[_LeafTotalCost]])</f>
        <v>0</v>
      </c>
      <c r="DS179" s="45" t="n">
        <f aca="false">IF(ISNUMBER(Tasks[[#This Row],[% Complete]]),Tasks[[#This Row],[% Complete]],IF(Tasks[[#This Row],[Stage]]="",0,IFERROR(INDEX(stg_Pct,MATCH(Tasks[[#This Row],[Stage]],stg_Name,0)),0)))</f>
        <v>0</v>
      </c>
      <c r="DT179" s="45" t="n">
        <f aca="false">IF(NOT(Tasks[[#This Row],[_IsLeaf]]=1),0,IF(N(Tasks[[#This Row],[Actual Finish]])&gt;0,1,MIN(1,Tasks[[#This Row],[_Pct]])))</f>
        <v>0</v>
      </c>
      <c r="DU179" s="45" t="n">
        <f aca="false">IF(OR(NOT(Tasks[[#This Row],[_IsLeaf]]=1),Tasks[[#This Row],[_Resource1]]=""),0,IF(ISNA(MATCH(Tasks[[#This Row],[_Resource1]],res_Name,0)),0,N(Tasks[[#This Row],[Duration]])*HoursPerDay*IF(Tasks[[#This Row],[_Units1]]="",DefaultUnits,Tasks[[#This Row],[_Units1]])))</f>
        <v>0</v>
      </c>
      <c r="DV179" s="45" t="n">
        <f aca="false">IF(Tasks[[#This Row],[_LeafWork]]=0,0,Tasks[[#This Row],[_LeafWork]]*IFERROR(INDEX(res_Rate,MATCH(Tasks[[#This Row],[_Resource1]],res_Name,0)),0))</f>
        <v>0</v>
      </c>
      <c r="DW179" s="45" t="n">
        <f aca="false">Tasks[[#This Row],[_LeafWork]]+Tasks[[#This Row],[_Res2Work]]+Tasks[[#This Row],[_Res3Work]]+Tasks[[#This Row],[_Res4Work]]</f>
        <v>0</v>
      </c>
      <c r="DX179" s="45" t="n">
        <f aca="false">Tasks[[#This Row],[_LeafCost]]+Tasks[[#This Row],[_Res2Cost]]+Tasks[[#This Row],[_Res3Cost]]+Tasks[[#This Row],[_Res4Cost]]</f>
        <v>0</v>
      </c>
      <c r="DY179" s="45" t="n">
        <f aca="false">IF(Tasks[[#This Row],[_LeafTotalCost]]=0,Tasks[[#This Row],[_LeafAC]],Tasks[[#This Row],[_LeafAC]]*Tasks[[#This Row],[_LeafCost]]/Tasks[[#This Row],[_LeafTotalCost]])</f>
        <v>0</v>
      </c>
      <c r="DZ17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7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7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7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7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7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7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7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79" s="45" t="n">
        <f aca="false">IF(NOT(Tasks[[#This Row],[_IsLeaf]]=1),0,MAX(_xlfn.MAXIFS(Tasks[_Row],Tasks[_Pred1UID],Tasks[[#This Row],[UID]]),_xlfn.MAXIFS(Tasks[_Row],Tasks[_Pred2UID],Tasks[[#This Row],[UID]]),_xlfn.MAXIFS(Tasks[_Row],Tasks[_Pred3UID],Tasks[[#This Row],[UID]]),_xlfn.MAXIFS(Tasks[_Row],Tasks[_Pred4UID],Tasks[[#This Row],[UID]])))</f>
        <v>0</v>
      </c>
      <c r="EI17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7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79" s="74" t="str">
        <f aca="false">IF(NOT(Tasks[[#This Row],[_IsLeaf]]=1),"",IF(N(Tasks[[#This Row],[Duration]])&lt;=0,Tasks[[#This Row],[_LeafLateFinish]],WORKDAY.INTL(Tasks[[#This Row],[_LeafLateFinish]],-(Tasks[[#This Row],[Duration]]-1),WorkWeek,Holidays)))</f>
        <v/>
      </c>
      <c r="EL17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79" s="73" t="b">
        <f aca="false">AND(Tasks[[#This Row],[_IsLeaf]]=1,Tasks[[#This Row],[_LeafProgress]]&lt;1,N(Tasks[[#This Row],[_LeafTotalSlack]])&lt;=CriticalSlackDays)</f>
        <v>0</v>
      </c>
      <c r="EN179" s="45" t="n">
        <f aca="false">IF(AND(Tasks[[#This Row],[_IsLeaf]]=1,Tasks[[#This Row],[_ConstraintCode]]=1,Tasks[[#This Row],[Mode]]&lt;&gt;"Manual",N(Tasks[[#This Row],[Actual Start]])=0),MAX(0,N(Tasks[[#This Row],[Free Slack]])),0)</f>
        <v>0</v>
      </c>
      <c r="EO179" s="74" t="str">
        <f aca="false">IF(NOT(Tasks[[#This Row],[_IsLeaf]]=1),"",IF(Tasks[[#This Row],[_AlapShift]]=0,Tasks[[#This Row],[_LeafCalcStart]],WORKDAY.INTL(Tasks[[#This Row],[_LeafCalcStart]],Tasks[[#This Row],[_AlapShift]],WorkWeek,Holidays)))</f>
        <v/>
      </c>
      <c r="EP179" s="74" t="str">
        <f aca="false">IF(NOT(Tasks[[#This Row],[_IsLeaf]]=1),"",IF(Tasks[[#This Row],[_AlapShift]]=0,Tasks[[#This Row],[_LeafCalcFinish]],WORKDAY.INTL(Tasks[[#This Row],[_LeafCalcFinish]],Tasks[[#This Row],[_AlapShift]],WorkWeek,Holidays)))</f>
        <v/>
      </c>
      <c r="EQ179" s="74" t="str">
        <f aca="false">IF(NOT(Tasks[[#This Row],[_IsLeaf]]=1),"",IF(Tasks[[#This Row],[_AlapShift]]=0,Tasks[[#This Row],[_LeafFcstStart]],WORKDAY.INTL(Tasks[[#This Row],[_LeafFcstStart]],Tasks[[#This Row],[_AlapShift]],WorkWeek,Holidays)))</f>
        <v/>
      </c>
      <c r="ER179" s="74" t="str">
        <f aca="false">IF(NOT(Tasks[[#This Row],[_IsLeaf]]=1),"",IF(Tasks[[#This Row],[_AlapShift]]=0,Tasks[[#This Row],[_LeafFcstFinish]],WORKDAY.INTL(Tasks[[#This Row],[_LeafFcstFinish]],Tasks[[#This Row],[_AlapShift]],WorkWeek,Holidays)))</f>
        <v/>
      </c>
      <c r="ES179" s="74" t="str">
        <f aca="false">IF(Tasks[[#This Row],[Task Name]]="","",IF(Tasks[[#This Row],[_IsSummary]],MIN(INDEX(Tasks[_ShownCalcStart],Tasks[[#This Row],[_Row]]+1):INDEX(Tasks[_ShownCalcStart],Tasks[[#This Row],[_Row]]+Tasks[[#This Row],[_Descendants]])),Tasks[[#This Row],[_ShownCalcStart]]))</f>
        <v/>
      </c>
      <c r="ET179" s="74" t="str">
        <f aca="false">IF(Tasks[[#This Row],[Task Name]]="","",IF(Tasks[[#This Row],[_IsSummary]],MAX(INDEX(Tasks[_ShownCalcFinish],Tasks[[#This Row],[_Row]]+1):INDEX(Tasks[_ShownCalcFinish],Tasks[[#This Row],[_Row]]+Tasks[[#This Row],[_Descendants]])),Tasks[[#This Row],[_ShownCalcFinish]]))</f>
        <v/>
      </c>
      <c r="EU17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7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7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7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7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7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7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7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7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7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7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7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79" s="45" t="n">
        <f aca="false">IF(AND(Tasks[[#This Row],[_IsLeaf]]=1,Tasks[[#This Row],[_LeafTotalWork]]&gt;0),NETWORKDAYS.INTL(ProjectStart,Tasks[[#This Row],[_ShownFcstStart]],WorkWeek,Holidays),0)</f>
        <v>0</v>
      </c>
      <c r="FH179" s="45" t="n">
        <f aca="false">IF(AND(Tasks[[#This Row],[_IsLeaf]]=1,Tasks[[#This Row],[_LeafTotalWork]]&gt;0),MAX(Tasks[[#This Row],[_StartWorkday]],NETWORKDAYS.INTL(ProjectStart,Tasks[[#This Row],[_ShownFcstFinish]],WorkWeek,Holidays)),0)</f>
        <v>0</v>
      </c>
      <c r="FI179" s="45" t="n">
        <f aca="false">IF(AND(Tasks[[#This Row],[_IsLeaf]]=1,Tasks[[#This Row],[_LeafTotalWork]]&gt;0),Tasks[[#This Row],[_LeafWork]]/(Tasks[[#This Row],[_FinishWorkday]]-Tasks[[#This Row],[_StartWorkday]]+1),0)</f>
        <v>0</v>
      </c>
      <c r="FJ179" s="45" t="n">
        <f aca="false">Tasks[[#This Row],[_WorkPerWorkday]]*(Tasks[[#This Row],[_StartWorkday]]-1)</f>
        <v>-0</v>
      </c>
      <c r="FK179" s="45" t="n">
        <f aca="false">IF(Tasks[[#This Row],[_IsLeaf]]=1,MAX(N(Tasks[[#This Row],[Duration]]),0.1),0)</f>
        <v>0</v>
      </c>
      <c r="FL179" s="45" t="n">
        <f aca="false">Tasks[[#This Row],[_WeightDur]]*Tasks[[#This Row],[_LeafProgress]]</f>
        <v>0</v>
      </c>
      <c r="FM17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79" s="45" t="str">
        <f aca="false">IF(AND(Tasks[[#This Row],[_IsLeaf]]=1,N(Tasks[[#This Row],[Duration]])=0,Tasks[[#This Row],[_LeafProgress]]&lt;1),Tasks[[#This Row],[_ShownFcstFinish]]+Tasks[[#This Row],[_Row]]/100000,"")</f>
        <v/>
      </c>
      <c r="FO17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79" s="45" t="n">
        <f aca="false">IF(NOT(Tasks[[#This Row],[_IsLeaf]]=1),0,IF(Tasks[[#This Row],[Baseline Cost]]="",Tasks[[#This Row],[_LeafTotalCost]],N(Tasks[[#This Row],[Baseline Cost]])))</f>
        <v>0</v>
      </c>
      <c r="FQ179" s="45" t="n">
        <f aca="false">Tasks[[#This Row],[_LeafBudget]]*Tasks[[#This Row],[_PlannedPct]]</f>
        <v>0</v>
      </c>
      <c r="FR179" s="45" t="n">
        <f aca="false">Tasks[[#This Row],[_LeafBudget]]*Tasks[[#This Row],[_LeafProgress]]</f>
        <v>0</v>
      </c>
      <c r="FS179" s="45" t="n">
        <f aca="false">IF(NOT(Tasks[[#This Row],[_IsLeaf]]=1),0,IF(Tasks[[#This Row],[Actual Cost]]="",Tasks[[#This Row],[_LeafTotalCost]]*Tasks[[#This Row],[_LeafProgress]],N(Tasks[[#This Row],[Actual Cost]])))</f>
        <v>0</v>
      </c>
      <c r="FT179" s="45" t="str">
        <f aca="false">IF(Tasks[[#This Row],[Task Name]]="","",LEFT(Tasks[[#This Row],[WBS]],FIND(".",Tasks[[#This Row],[WBS]]&amp;".")-1))</f>
        <v/>
      </c>
      <c r="FU179" s="45" t="str">
        <f aca="false">IF(AND(Tasks[[#This Row],[Task Name]]&lt;&gt;"",Tasks[[#This Row],[_Level]]=1),Tasks[[#This Row],[_Row]],"")</f>
        <v/>
      </c>
      <c r="FV179" s="45" t="str">
        <f aca="false">IF(AND(Tasks[[#This Row],[_IsLeaf]]=1,N(Tasks[[#This Row],[Duration]])=0),Tasks[[#This Row],[Planned Finish]]+Tasks[[#This Row],[_Row]]/100000,"")</f>
        <v/>
      </c>
      <c r="FW179" s="45" t="str">
        <f aca="false">IF(AND(Tasks[[#This Row],[_IsLeaf]]=1,Tasks[[#This Row],[_LeafProgress]]&lt;1,OR(N(Tasks[[#This Row],[Finish Var]])&gt;0,Tasks[[#This Row],[Status]]="Late Start")),MAX(0,Tasks[[#This Row],[Finish Var]])+1-Tasks[[#This Row],[_Row]]/1000000,"")</f>
        <v/>
      </c>
      <c r="FX179" s="45" t="str">
        <f aca="false">IF(AND(Tasks[[#This Row],[_IsLeaf]]=1,N(Tasks[[#This Row],[Actual Start]])=0,Tasks[[#This Row],[_ShownFcstStart]]&gt;=StatusDate,Tasks[[#This Row],[_ShownFcstStart]]&lt;=LookaheadEnd),Tasks[[#This Row],[_ShownFcstStart]]+Tasks[[#This Row],[_Row]]/100000,"")</f>
        <v/>
      </c>
      <c r="FY179" s="45" t="str">
        <f aca="false">IF(AND(Tasks[[#This Row],[_IsLeaf]]=1,Tasks[[#This Row],[_LeafProgress]]&lt;1,Tasks[[#This Row],[_ShownFcstFinish]]&gt;=StatusDate,Tasks[[#This Row],[_ShownFcstFinish]]&lt;=LookaheadEnd),Tasks[[#This Row],[_ShownFcstFinish]]+Tasks[[#This Row],[_Row]]/100000,"")</f>
        <v/>
      </c>
      <c r="FZ179" s="45" t="str">
        <f aca="false">IF(Tasks[[#This Row],[_LeafCritical]],Tasks[[#This Row],[_ShownFcstStart]]+Tasks[[#This Row],[_Row]]/100000,"")</f>
        <v/>
      </c>
      <c r="GA179" s="45" t="n">
        <f aca="false">Tasks[[#This Row],[_LeafWork]]*Tasks[[#This Row],[_LeafProgress]]</f>
        <v>0</v>
      </c>
      <c r="GB179" s="74" t="str">
        <f aca="false">IF(AND(Tasks[[#This Row],[_IsLeaf]]=1,Tasks[[#This Row],[_LeafProgress]]&gt;=1),IF(N(Tasks[[#This Row],[Actual Finish]])&gt;0,Tasks[[#This Row],[Actual Finish]],Tasks[[#This Row],[_ShownFcstFinish]]),"")</f>
        <v/>
      </c>
    </row>
    <row r="180" customFormat="false" ht="15" hidden="false" customHeight="false" outlineLevel="0" collapsed="false">
      <c r="A180" s="67" t="str">
        <f aca="false">IF(Tasks[[#This Row],[Task Name]]="","",COUNTA(Tasks[[#Headers],[Task Name]]:Tasks[[#This Row],[Task Name]])-1)</f>
        <v/>
      </c>
      <c r="B180" s="21" t="n">
        <v>175</v>
      </c>
      <c r="C18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21"/>
      <c r="E180" s="22"/>
      <c r="F180" s="21"/>
      <c r="G180" s="22"/>
      <c r="H180" s="22"/>
      <c r="I180" s="22"/>
      <c r="J180" s="7"/>
      <c r="K180" s="7"/>
      <c r="L180" s="22"/>
      <c r="M180" s="58" t="str">
        <f aca="false">IF(Tasks[[#This Row],[Task Name]]="","",IF(Tasks[[#This Row],[_IsSummary]],MIN(INDEX(Tasks[_ShownFcstStart],Tasks[[#This Row],[_Row]]+1):INDEX(Tasks[_ShownFcstStart],Tasks[[#This Row],[_Row]]+Tasks[[#This Row],[_Descendants]])),Tasks[[#This Row],[_ShownFcstStart]]))</f>
        <v/>
      </c>
      <c r="N180" s="58" t="str">
        <f aca="false">IF(Tasks[[#This Row],[Task Name]]="","",IF(Tasks[[#This Row],[_IsSummary]],MAX(INDEX(Tasks[_ShownFcstFinish],Tasks[[#This Row],[_Row]]+1):INDEX(Tasks[_ShownFcstFinish],Tasks[[#This Row],[_Row]]+Tasks[[#This Row],[_Descendants]])),Tasks[[#This Row],[_ShownFcstFinish]]))</f>
        <v/>
      </c>
      <c r="O180" s="20" t="str">
        <f aca="false">IF(Tasks[[#This Row],[Task Name]]="","",IF(Tasks[[#This Row],[Progress]]&gt;=1,"Complete",IF(OR(N(Tasks[[#This Row],[Actual Start]])&gt;0,Tasks[[#This Row],[Progress]]&gt;0),IF(Tasks[[#This Row],[Finish Var]]&gt;0,"Behind","In Progress"),IF(Tasks[[#This Row],[Planned Start]]&lt;StatusDate,"Late Start","Not Started"))))</f>
        <v/>
      </c>
      <c r="P180" s="20" t="str">
        <f aca="false">IF(Tasks[[#This Row],[Task Name]]="","",IF(IF(Tasks[[#This Row],[_IsSummary]],COUNTIF(INDEX(Tasks[_LeafCritical],Tasks[[#This Row],[_Row]]+1):INDEX(Tasks[_LeafCritical],Tasks[[#This Row],[_Row]]+Tasks[[#This Row],[_Descendants]]),TRUE())&gt;0,Tasks[[#This Row],[_LeafCritical]]),"Yes",""))</f>
        <v/>
      </c>
      <c r="Q18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80" s="67" t="str">
        <f aca="false">IF(Tasks[[#This Row],[Task Name]]="","",IF(Tasks[[#This Row],[_Level]]&lt;=OutlineShowLevel,"Yes","No"))</f>
        <v/>
      </c>
      <c r="S180" s="7"/>
      <c r="T180" s="21"/>
      <c r="U180" s="22"/>
      <c r="V180" s="7"/>
      <c r="W180" s="67" t="str">
        <f aca="false">IF(Tasks[[#This Row],[Task Name]]="","",IF(Tasks[[#This Row],[Finish]]&gt;=Tasks[[#This Row],[Planned Finish]],NETWORKDAYS.INTL(Tasks[[#This Row],[Planned Finish]],Tasks[[#This Row],[Finish]],WorkWeek,Holidays)-1,1-NETWORKDAYS.INTL(Tasks[[#This Row],[Finish]],Tasks[[#This Row],[Planned Finish]],WorkWeek,Holidays)))</f>
        <v/>
      </c>
      <c r="X180" s="58" t="str">
        <f aca="false">IF(Tasks[[#This Row],[Task Name]]="","",IF(N(Tasks[[#This Row],[Baseline Start]])&gt;0,Tasks[[#This Row],[Baseline Start]],Tasks[[#This Row],[_CalcStart]]))</f>
        <v/>
      </c>
      <c r="Y180" s="58" t="str">
        <f aca="false">IF(Tasks[[#This Row],[Task Name]]="","",IF(N(Tasks[[#This Row],[Baseline Finish]])&gt;0,Tasks[[#This Row],[Baseline Finish]],Tasks[[#This Row],[_CalcFinish]]))</f>
        <v/>
      </c>
      <c r="Z180" s="67" t="str">
        <f aca="false">IF(Tasks[[#This Row],[Task Name]]="","",IF(Tasks[[#This Row],[Start]]&gt;=Tasks[[#This Row],[Planned Start]],NETWORKDAYS.INTL(Tasks[[#This Row],[Planned Start]],Tasks[[#This Row],[Start]],WorkWeek,Holidays)-1,1-NETWORKDAYS.INTL(Tasks[[#This Row],[Start]],Tasks[[#This Row],[Planned Start]],WorkWeek,Holidays)))</f>
        <v/>
      </c>
      <c r="AA180" s="58" t="str">
        <f aca="false">IF(Tasks[[#This Row],[Task Name]]="","",IF(Tasks[[#This Row],[_IsSummary]],MIN(INDEX(Tasks[_LeafLateStart],Tasks[[#This Row],[_Row]]+1):INDEX(Tasks[_LeafLateStart],Tasks[[#This Row],[_Row]]+Tasks[[#This Row],[_Descendants]])),Tasks[[#This Row],[_LeafLateStart]]))</f>
        <v/>
      </c>
      <c r="AB180" s="58" t="str">
        <f aca="false">IF(Tasks[[#This Row],[Task Name]]="","",IF(Tasks[[#This Row],[_IsSummary]],MAX(INDEX(Tasks[_LeafLateFinish],Tasks[[#This Row],[_Row]]+1):INDEX(Tasks[_LeafLateFinish],Tasks[[#This Row],[_Row]]+Tasks[[#This Row],[_Descendants]])),Tasks[[#This Row],[_LeafLateFinish]]))</f>
        <v/>
      </c>
      <c r="AC180" s="67" t="str">
        <f aca="false">IF(Tasks[[#This Row],[Task Name]]="","",IF(Tasks[[#This Row],[_IsSummary]],MIN(INDEX(Tasks[_LeafTotalSlack],Tasks[[#This Row],[_Row]]+1):INDEX(Tasks[_LeafTotalSlack],Tasks[[#This Row],[_Row]]+Tasks[[#This Row],[_Descendants]])),Tasks[[#This Row],[_LeafTotalSlack]]))</f>
        <v/>
      </c>
      <c r="AD18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8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8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80" s="60"/>
      <c r="AH18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8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80" s="69" t="str">
        <f aca="false">IF(Tasks[[#This Row],[Task Name]]="","",IF(Tasks[[#This Row],[_IsSummary]],SUM(INDEX(Tasks[_LeafTotalWork],Tasks[[#This Row],[_Row]]+1):INDEX(Tasks[_LeafTotalWork],Tasks[[#This Row],[_Row]]+Tasks[[#This Row],[_Descendants]])),Tasks[[#This Row],[_LeafTotalWork]]))</f>
        <v/>
      </c>
      <c r="AK18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80" s="70" t="str">
        <f aca="false">IF(Tasks[[#This Row],[Task Name]]="","",IF(Tasks[[#This Row],[_IsSummary]],SUM(INDEX(Tasks[_LeafTotalCost],Tasks[[#This Row],[_Row]]+1):INDEX(Tasks[_LeafTotalCost],Tasks[[#This Row],[_Row]]+Tasks[[#This Row],[_Descendants]])),Tasks[[#This Row],[_LeafTotalCost]]))</f>
        <v/>
      </c>
      <c r="AM180" s="71"/>
      <c r="AN180" s="20" t="str">
        <f aca="false">IF(OR(Tasks[[#This Row],[Task Name]]="",Tasks[[#This Row],[Baseline Duration]]=""),"",Tasks[[#This Row],[BL Source Duration]]-N(Tasks[[#This Row],[Baseline Duration]]))</f>
        <v/>
      </c>
      <c r="AO180" s="69" t="str">
        <f aca="false">IF(OR(Tasks[[#This Row],[Task Name]]="",Tasks[[#This Row],[Baseline Work]]=""),"",Tasks[[#This Row],[Work]]-N(Tasks[[#This Row],[Baseline Work]]))</f>
        <v/>
      </c>
      <c r="AP180" s="70" t="str">
        <f aca="false">IF(OR(Tasks[[#This Row],[Task Name]]="",Tasks[[#This Row],[Baseline Cost]]=""),"",Tasks[[#This Row],[Cost]]-N(Tasks[[#This Row],[Baseline Cost]]))</f>
        <v/>
      </c>
      <c r="AQ180" s="58" t="str">
        <f aca="false">IF(Tasks[[#This Row],[Task Name]]="","",Tasks[[#This Row],[Start]])</f>
        <v/>
      </c>
      <c r="AR180" s="58" t="str">
        <f aca="false">IF(Tasks[[#This Row],[Task Name]]="","",Tasks[[#This Row],[Finish]])</f>
        <v/>
      </c>
      <c r="AS180" s="67" t="str">
        <f aca="false">IF(Tasks[[#This Row],[Task Name]]="","",IF(Tasks[[#This Row],[_IsSummary]],NETWORKDAYS.INTL(Tasks[[#This Row],[Start]],Tasks[[#This Row],[Finish]],WorkWeek,Holidays),N(Tasks[[#This Row],[Duration]])))</f>
        <v/>
      </c>
      <c r="AT180" s="69" t="str">
        <f aca="false">IF(Tasks[[#This Row],[Task Name]]="","",Tasks[[#This Row],[Work]])</f>
        <v/>
      </c>
      <c r="AU180" s="70" t="str">
        <f aca="false">IF(Tasks[[#This Row],[Task Name]]="","",Tasks[[#This Row],[Cost]])</f>
        <v/>
      </c>
      <c r="AV180" s="7"/>
      <c r="AW180" s="7"/>
      <c r="AX180" s="21"/>
      <c r="AY180" s="72"/>
      <c r="AZ180" s="71"/>
      <c r="BA180" s="70" t="str">
        <f aca="false">IF(Tasks[[#This Row],[Task Name]]="","",IF(Tasks[[#This Row],[_IsSummary]],SUM(INDEX(Tasks[_LeafEV],Tasks[[#This Row],[_Row]]+1):INDEX(Tasks[_LeafEV],Tasks[[#This Row],[_Row]]+Tasks[[#This Row],[_Descendants]])),Tasks[[#This Row],[_LeafEV]]))</f>
        <v/>
      </c>
      <c r="BB180" s="70" t="str">
        <f aca="false">IF(Tasks[[#This Row],[Task Name]]="","",IF(Tasks[[#This Row],[_IsSummary]],SUM(INDEX(Tasks[_LeafBudget],Tasks[[#This Row],[_Row]]+1):INDEX(Tasks[_LeafBudget],Tasks[[#This Row],[_Row]]+Tasks[[#This Row],[_Descendants]])),Tasks[[#This Row],[_LeafBudget]]))</f>
        <v/>
      </c>
      <c r="BC180" s="70" t="str">
        <f aca="false">IF(Tasks[[#This Row],[Task Name]]="","",IF(Tasks[[#This Row],[_IsSummary]],SUM(INDEX(Tasks[_LeafPV],Tasks[[#This Row],[_Row]]+1):INDEX(Tasks[_LeafPV],Tasks[[#This Row],[_Row]]+Tasks[[#This Row],[_Descendants]])),Tasks[[#This Row],[_LeafPV]]))</f>
        <v/>
      </c>
      <c r="BD180" s="70" t="str">
        <f aca="false">IF(Tasks[[#This Row],[Task Name]]="","",IF(Tasks[[#This Row],[_IsSummary]],SUM(INDEX(Tasks[_LeafAC],Tasks[[#This Row],[_Row]]+1):INDEX(Tasks[_LeafAC],Tasks[[#This Row],[_Row]]+Tasks[[#This Row],[_Descendants]])),Tasks[[#This Row],[_LeafAC]]))</f>
        <v/>
      </c>
      <c r="BE180" s="45" t="str">
        <f aca="false">IF(Tasks[[#This Row],[Task Name]]="","",MAX(1,N(Tasks[[#This Row],[Level]])))</f>
        <v/>
      </c>
      <c r="BF180" s="45" t="n">
        <f aca="false">ROW()-ROW(Tasks[[#Headers],[ID]])</f>
        <v>175</v>
      </c>
      <c r="BG180" s="45" t="n">
        <f aca="false">IF(OR(Tasks[[#This Row],[Task Name]]="",Tasks[[#This Row],[_Level]]&lt;=1),0,IFERROR(LOOKUP(2,1/(Tasks[[#Headers],[_Level]]:Tasks[[#This Row],[_Level]]=Tasks[[#This Row],[_Level]]-1),ROW(Tasks[[#Headers],[_Level]]:Tasks[[#This Row],[_Level]])),0))</f>
        <v>0</v>
      </c>
      <c r="BH180" s="45" t="n">
        <f aca="false">IFERROR(N(INDEX(Tasks[_Level],Tasks[[#This Row],[_Row]]+1)),0)</f>
        <v>0</v>
      </c>
      <c r="BI180" s="73" t="b">
        <f aca="false">AND(Tasks[[#This Row],[Task Name]]&lt;&gt;"",Tasks[[#This Row],[_NextLevel]]&gt;Tasks[[#This Row],[_Level]])</f>
        <v>0</v>
      </c>
      <c r="BJ180" s="45" t="n">
        <f aca="false">IF(Tasks[[#This Row],[_IsSummary]],COUNTIF(Tasks[WBS],Tasks[[#This Row],[WBS]]&amp;".*"),0)</f>
        <v>0</v>
      </c>
      <c r="BK180" s="45" t="n">
        <f aca="false">IF(AND(Tasks[[#This Row],[Task Name]]&lt;&gt;"",NOT(Tasks[[#This Row],[_IsSummary]])),1,0)</f>
        <v>0</v>
      </c>
      <c r="BL180" s="45" t="n">
        <f aca="false">IF(N(Tasks[[#This Row],[_Pred1UID]])=0,0,IFERROR(MATCH(Tasks[[#This Row],[_Pred1UID]],Tasks[UID],0),-1))</f>
        <v>0</v>
      </c>
      <c r="BM180" s="45" t="n">
        <f aca="false">IF(N(Tasks[[#This Row],[_Pred2UID]])=0,0,IFERROR(MATCH(Tasks[[#This Row],[_Pred2UID]],Tasks[UID],0),-1))</f>
        <v>0</v>
      </c>
      <c r="BN180" s="45" t="n">
        <f aca="false">IF(N(Tasks[[#This Row],[_Pred3UID]])=0,0,IFERROR(MATCH(Tasks[[#This Row],[_Pred3UID]],Tasks[UID],0),-1))</f>
        <v>0</v>
      </c>
      <c r="BO180" s="45" t="n">
        <f aca="false">IF(N(Tasks[[#This Row],[_Pred4UID]])=0,0,IFERROR(MATCH(Tasks[[#This Row],[_Pred4UID]],Tasks[UID],0),-1))</f>
        <v>0</v>
      </c>
      <c r="BP18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8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80" s="74" t="n">
        <f aca="false">IF(OR(Tasks[[#This Row],[_ConstraintCode]]=2,Tasks[[#This Row],[_ConstraintCode]]=3,Tasks[[#This Row],[_ConstraintCode]]=4,Tasks[[#This Row],[_ConstraintCode]]=6),Tasks[[#This Row],[_ConstraintStart]],0)</f>
        <v>0</v>
      </c>
      <c r="BS180" s="74" t="n">
        <f aca="false">IF(OR(Tasks[[#This Row],[_ConstraintCode]]=2,Tasks[[#This Row],[_ConstraintCode]]=3,Tasks[[#This Row],[_ConstraintCode]]=5,Tasks[[#This Row],[_ConstraintCode]]=7),Tasks[[#This Row],[_ConstraintStart]],2958465)</f>
        <v>2958465</v>
      </c>
      <c r="BT18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80" s="74" t="str">
        <f aca="false">IF(NOT(Tasks[[#This Row],[_IsLeaf]]=1),"",IF(N(Tasks[[#This Row],[Duration]])&lt;=0,Tasks[[#This Row],[_LeafCalcStart]],WORKDAY.INTL(Tasks[[#This Row],[_LeafCalcStart]],Tasks[[#This Row],[Duration]]-1,WorkWeek,Holidays)))</f>
        <v/>
      </c>
      <c r="BV18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8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80" s="45" t="str">
        <f aca="false">IF(Tasks[[#This Row],[Predecessors]]="","",TRIM(MID(SUBSTITUTE(SUBSTITUTE(SUBSTITUTE(UPPER(Tasks[[#This Row],[Predecessors]]),";",",")," ",""),",",REPT(" ",99)),1,99)))</f>
        <v/>
      </c>
      <c r="BY180" s="45" t="str">
        <f aca="false">IF(Tasks[[#This Row],[_Pred1Text]]="","",IFERROR(VALUE(LEFT(Tasks[[#This Row],[_Pred1Text]],MIN(FIND("F",Tasks[[#This Row],[_Pred1Text]]&amp;"F"),FIND("S",Tasks[[#This Row],[_Pred1Text]]&amp;"S"),FIND("+",Tasks[[#This Row],[_Pred1Text]]&amp;"+"),FIND("-",Tasks[[#This Row],[_Pred1Text]]&amp;"-"))-1)),""))</f>
        <v/>
      </c>
      <c r="BZ18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8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80" s="45" t="str">
        <f aca="false">IF(Tasks[[#This Row],[_Pred1Text]]="","",TRIM(MID(SUBSTITUTE(SUBSTITUTE(SUBSTITUTE(UPPER(Tasks[[#This Row],[Predecessors]]),";",",")," ",""),",",REPT(" ",99)),100,99)))</f>
        <v/>
      </c>
      <c r="CC180" s="45" t="str">
        <f aca="false">IF(Tasks[[#This Row],[_Pred2Text]]="","",IFERROR(VALUE(LEFT(Tasks[[#This Row],[_Pred2Text]],MIN(FIND("F",Tasks[[#This Row],[_Pred2Text]]&amp;"F"),FIND("S",Tasks[[#This Row],[_Pred2Text]]&amp;"S"),FIND("+",Tasks[[#This Row],[_Pred2Text]]&amp;"+"),FIND("-",Tasks[[#This Row],[_Pred2Text]]&amp;"-"))-1)),""))</f>
        <v/>
      </c>
      <c r="CD18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8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80" s="45" t="str">
        <f aca="false">IF(Tasks[[#This Row],[_Pred2Text]]="","",TRIM(MID(SUBSTITUTE(SUBSTITUTE(SUBSTITUTE(UPPER(Tasks[[#This Row],[Predecessors]]),";",",")," ",""),",",REPT(" ",99)),199,99)))</f>
        <v/>
      </c>
      <c r="CG180" s="45" t="str">
        <f aca="false">IF(Tasks[[#This Row],[_Pred3Text]]="","",IFERROR(VALUE(LEFT(Tasks[[#This Row],[_Pred3Text]],MIN(FIND("F",Tasks[[#This Row],[_Pred3Text]]&amp;"F"),FIND("S",Tasks[[#This Row],[_Pred3Text]]&amp;"S"),FIND("+",Tasks[[#This Row],[_Pred3Text]]&amp;"+"),FIND("-",Tasks[[#This Row],[_Pred3Text]]&amp;"-"))-1)),""))</f>
        <v/>
      </c>
      <c r="CH18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8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80" s="45" t="str">
        <f aca="false">IF(Tasks[[#This Row],[_Pred3Text]]="","",TRIM(MID(SUBSTITUTE(SUBSTITUTE(SUBSTITUTE(UPPER(Tasks[[#This Row],[Predecessors]]),";",",")," ",""),",",REPT(" ",99)),298,99)))</f>
        <v/>
      </c>
      <c r="CK180" s="45" t="str">
        <f aca="false">IF(Tasks[[#This Row],[_Pred4Text]]="","",IFERROR(VALUE(LEFT(Tasks[[#This Row],[_Pred4Text]],MIN(FIND("F",Tasks[[#This Row],[_Pred4Text]]&amp;"F"),FIND("S",Tasks[[#This Row],[_Pred4Text]]&amp;"S"),FIND("+",Tasks[[#This Row],[_Pred4Text]]&amp;"+"),FIND("-",Tasks[[#This Row],[_Pred4Text]]&amp;"-"))-1)),""))</f>
        <v/>
      </c>
      <c r="CL18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8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80" s="45" t="str">
        <f aca="false">IF(OR(Tasks[[#This Row],[Task Name]]="",Tasks[[#This Row],[Resources]]=""),"",TRIM(MID(SUBSTITUTE(Tasks[[#This Row],[Resources]],",",REPT(" ",99)),1,99)))</f>
        <v/>
      </c>
      <c r="CO180" s="45" t="str">
        <f aca="false">IF(Tasks[[#This Row],[_Res1Text]]="","",TRIM(MID(SUBSTITUTE(Tasks[[#This Row],[Resources]],",",REPT(" ",99)),100,99)))</f>
        <v/>
      </c>
      <c r="CP180" s="45" t="str">
        <f aca="false">IF(Tasks[[#This Row],[_Res2Text]]="","",TRIM(MID(SUBSTITUTE(Tasks[[#This Row],[Resources]],",",REPT(" ",99)),199,99)))</f>
        <v/>
      </c>
      <c r="CQ180" s="45" t="str">
        <f aca="false">IF(Tasks[[#This Row],[_Res3Text]]="","",TRIM(MID(SUBSTITUTE(Tasks[[#This Row],[Resources]],",",REPT(" ",99)),298,99)))</f>
        <v/>
      </c>
      <c r="CR18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8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0" s="45" t="n">
        <f aca="false">IF(NOT(Tasks[[#This Row],[_IsLeaf]]=1),0,(Tasks[[#This Row],[_Resource1]]&lt;&gt;"")+(Tasks[[#This Row],[_Res2]]&lt;&gt;"")+(Tasks[[#This Row],[_Res3]]&lt;&gt;"")+(Tasks[[#This Row],[_Res4]]&lt;&gt;""))</f>
        <v>0</v>
      </c>
      <c r="CU18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8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0" s="45" t="n">
        <f aca="false">IF(OR(NOT(Tasks[[#This Row],[_IsLeaf]]=1),Tasks[[#This Row],[_Res2]]=""),0,IF(ISNA(MATCH(Tasks[[#This Row],[_Res2]],res_Name,0)),0,N(Tasks[[#This Row],[Duration]])*HoursPerDay*IF(Tasks[[#This Row],[_Res2Units]]="",DefaultUnits,Tasks[[#This Row],[_Res2Units]])))</f>
        <v>0</v>
      </c>
      <c r="CX180" s="45" t="n">
        <f aca="false">IF(Tasks[[#This Row],[_Res2Work]]=0,0,Tasks[[#This Row],[_Res2Work]]*IFERROR(INDEX(res_Rate,MATCH(Tasks[[#This Row],[_Res2]],res_Name,0)),0))</f>
        <v>0</v>
      </c>
      <c r="CY180" s="45" t="n">
        <f aca="false">IF(AND(AND(Tasks[[#This Row],[_IsLeaf]]=1,Tasks[[#This Row],[_LeafTotalWork]]&gt;0),Tasks[[#This Row],[_Res2Work]]&gt;0),Tasks[[#This Row],[_Res2Work]]/(Tasks[[#This Row],[_FinishWorkday]]-Tasks[[#This Row],[_StartWorkday]]+1),0)</f>
        <v>0</v>
      </c>
      <c r="CZ180" s="45" t="n">
        <f aca="false">Tasks[[#This Row],[_Res2WorkPerWD]]*MAX(0,Tasks[[#This Row],[_StartWorkday]]-1)</f>
        <v>0</v>
      </c>
      <c r="DA180" s="45" t="n">
        <f aca="false">Tasks[[#This Row],[_Res2Work]]*Tasks[[#This Row],[_LeafProgress]]</f>
        <v>0</v>
      </c>
      <c r="DB180" s="45" t="n">
        <f aca="false">IF(Tasks[[#This Row],[_LeafTotalCost]]=0,0,Tasks[[#This Row],[_LeafAC]]*Tasks[[#This Row],[_Res2Cost]]/Tasks[[#This Row],[_LeafTotalCost]])</f>
        <v>0</v>
      </c>
      <c r="DC18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8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80" s="45" t="n">
        <f aca="false">IF(OR(NOT(Tasks[[#This Row],[_IsLeaf]]=1),Tasks[[#This Row],[_Res3]]=""),0,IF(ISNA(MATCH(Tasks[[#This Row],[_Res3]],res_Name,0)),0,N(Tasks[[#This Row],[Duration]])*HoursPerDay*IF(Tasks[[#This Row],[_Res3Units]]="",DefaultUnits,Tasks[[#This Row],[_Res3Units]])))</f>
        <v>0</v>
      </c>
      <c r="DF180" s="45" t="n">
        <f aca="false">IF(Tasks[[#This Row],[_Res3Work]]=0,0,Tasks[[#This Row],[_Res3Work]]*IFERROR(INDEX(res_Rate,MATCH(Tasks[[#This Row],[_Res3]],res_Name,0)),0))</f>
        <v>0</v>
      </c>
      <c r="DG180" s="45" t="n">
        <f aca="false">IF(AND(AND(Tasks[[#This Row],[_IsLeaf]]=1,Tasks[[#This Row],[_LeafTotalWork]]&gt;0),Tasks[[#This Row],[_Res3Work]]&gt;0),Tasks[[#This Row],[_Res3Work]]/(Tasks[[#This Row],[_FinishWorkday]]-Tasks[[#This Row],[_StartWorkday]]+1),0)</f>
        <v>0</v>
      </c>
      <c r="DH180" s="45" t="n">
        <f aca="false">Tasks[[#This Row],[_Res3WorkPerWD]]*MAX(0,Tasks[[#This Row],[_StartWorkday]]-1)</f>
        <v>0</v>
      </c>
      <c r="DI180" s="45" t="n">
        <f aca="false">Tasks[[#This Row],[_Res3Work]]*Tasks[[#This Row],[_LeafProgress]]</f>
        <v>0</v>
      </c>
      <c r="DJ180" s="45" t="n">
        <f aca="false">IF(Tasks[[#This Row],[_LeafTotalCost]]=0,0,Tasks[[#This Row],[_LeafAC]]*Tasks[[#This Row],[_Res3Cost]]/Tasks[[#This Row],[_LeafTotalCost]])</f>
        <v>0</v>
      </c>
      <c r="DK18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8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80" s="45" t="n">
        <f aca="false">IF(OR(NOT(Tasks[[#This Row],[_IsLeaf]]=1),Tasks[[#This Row],[_Res4]]=""),0,IF(ISNA(MATCH(Tasks[[#This Row],[_Res4]],res_Name,0)),0,N(Tasks[[#This Row],[Duration]])*HoursPerDay*IF(Tasks[[#This Row],[_Res4Units]]="",DefaultUnits,Tasks[[#This Row],[_Res4Units]])))</f>
        <v>0</v>
      </c>
      <c r="DN180" s="45" t="n">
        <f aca="false">IF(Tasks[[#This Row],[_Res4Work]]=0,0,Tasks[[#This Row],[_Res4Work]]*IFERROR(INDEX(res_Rate,MATCH(Tasks[[#This Row],[_Res4]],res_Name,0)),0))</f>
        <v>0</v>
      </c>
      <c r="DO180" s="45" t="n">
        <f aca="false">IF(AND(AND(Tasks[[#This Row],[_IsLeaf]]=1,Tasks[[#This Row],[_LeafTotalWork]]&gt;0),Tasks[[#This Row],[_Res4Work]]&gt;0),Tasks[[#This Row],[_Res4Work]]/(Tasks[[#This Row],[_FinishWorkday]]-Tasks[[#This Row],[_StartWorkday]]+1),0)</f>
        <v>0</v>
      </c>
      <c r="DP180" s="45" t="n">
        <f aca="false">Tasks[[#This Row],[_Res4WorkPerWD]]*MAX(0,Tasks[[#This Row],[_StartWorkday]]-1)</f>
        <v>0</v>
      </c>
      <c r="DQ180" s="45" t="n">
        <f aca="false">Tasks[[#This Row],[_Res4Work]]*Tasks[[#This Row],[_LeafProgress]]</f>
        <v>0</v>
      </c>
      <c r="DR180" s="45" t="n">
        <f aca="false">IF(Tasks[[#This Row],[_LeafTotalCost]]=0,0,Tasks[[#This Row],[_LeafAC]]*Tasks[[#This Row],[_Res4Cost]]/Tasks[[#This Row],[_LeafTotalCost]])</f>
        <v>0</v>
      </c>
      <c r="DS180" s="45" t="n">
        <f aca="false">IF(ISNUMBER(Tasks[[#This Row],[% Complete]]),Tasks[[#This Row],[% Complete]],IF(Tasks[[#This Row],[Stage]]="",0,IFERROR(INDEX(stg_Pct,MATCH(Tasks[[#This Row],[Stage]],stg_Name,0)),0)))</f>
        <v>0</v>
      </c>
      <c r="DT180" s="45" t="n">
        <f aca="false">IF(NOT(Tasks[[#This Row],[_IsLeaf]]=1),0,IF(N(Tasks[[#This Row],[Actual Finish]])&gt;0,1,MIN(1,Tasks[[#This Row],[_Pct]])))</f>
        <v>0</v>
      </c>
      <c r="DU180" s="45" t="n">
        <f aca="false">IF(OR(NOT(Tasks[[#This Row],[_IsLeaf]]=1),Tasks[[#This Row],[_Resource1]]=""),0,IF(ISNA(MATCH(Tasks[[#This Row],[_Resource1]],res_Name,0)),0,N(Tasks[[#This Row],[Duration]])*HoursPerDay*IF(Tasks[[#This Row],[_Units1]]="",DefaultUnits,Tasks[[#This Row],[_Units1]])))</f>
        <v>0</v>
      </c>
      <c r="DV180" s="45" t="n">
        <f aca="false">IF(Tasks[[#This Row],[_LeafWork]]=0,0,Tasks[[#This Row],[_LeafWork]]*IFERROR(INDEX(res_Rate,MATCH(Tasks[[#This Row],[_Resource1]],res_Name,0)),0))</f>
        <v>0</v>
      </c>
      <c r="DW180" s="45" t="n">
        <f aca="false">Tasks[[#This Row],[_LeafWork]]+Tasks[[#This Row],[_Res2Work]]+Tasks[[#This Row],[_Res3Work]]+Tasks[[#This Row],[_Res4Work]]</f>
        <v>0</v>
      </c>
      <c r="DX180" s="45" t="n">
        <f aca="false">Tasks[[#This Row],[_LeafCost]]+Tasks[[#This Row],[_Res2Cost]]+Tasks[[#This Row],[_Res3Cost]]+Tasks[[#This Row],[_Res4Cost]]</f>
        <v>0</v>
      </c>
      <c r="DY180" s="45" t="n">
        <f aca="false">IF(Tasks[[#This Row],[_LeafTotalCost]]=0,Tasks[[#This Row],[_LeafAC]],Tasks[[#This Row],[_LeafAC]]*Tasks[[#This Row],[_LeafCost]]/Tasks[[#This Row],[_LeafTotalCost]])</f>
        <v>0</v>
      </c>
      <c r="DZ18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8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8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8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8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8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8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8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80" s="45" t="n">
        <f aca="false">IF(NOT(Tasks[[#This Row],[_IsLeaf]]=1),0,MAX(_xlfn.MAXIFS(Tasks[_Row],Tasks[_Pred1UID],Tasks[[#This Row],[UID]]),_xlfn.MAXIFS(Tasks[_Row],Tasks[_Pred2UID],Tasks[[#This Row],[UID]]),_xlfn.MAXIFS(Tasks[_Row],Tasks[_Pred3UID],Tasks[[#This Row],[UID]]),_xlfn.MAXIFS(Tasks[_Row],Tasks[_Pred4UID],Tasks[[#This Row],[UID]])))</f>
        <v>0</v>
      </c>
      <c r="EI18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8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80" s="74" t="str">
        <f aca="false">IF(NOT(Tasks[[#This Row],[_IsLeaf]]=1),"",IF(N(Tasks[[#This Row],[Duration]])&lt;=0,Tasks[[#This Row],[_LeafLateFinish]],WORKDAY.INTL(Tasks[[#This Row],[_LeafLateFinish]],-(Tasks[[#This Row],[Duration]]-1),WorkWeek,Holidays)))</f>
        <v/>
      </c>
      <c r="EL18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80" s="73" t="b">
        <f aca="false">AND(Tasks[[#This Row],[_IsLeaf]]=1,Tasks[[#This Row],[_LeafProgress]]&lt;1,N(Tasks[[#This Row],[_LeafTotalSlack]])&lt;=CriticalSlackDays)</f>
        <v>0</v>
      </c>
      <c r="EN180" s="45" t="n">
        <f aca="false">IF(AND(Tasks[[#This Row],[_IsLeaf]]=1,Tasks[[#This Row],[_ConstraintCode]]=1,Tasks[[#This Row],[Mode]]&lt;&gt;"Manual",N(Tasks[[#This Row],[Actual Start]])=0),MAX(0,N(Tasks[[#This Row],[Free Slack]])),0)</f>
        <v>0</v>
      </c>
      <c r="EO180" s="74" t="str">
        <f aca="false">IF(NOT(Tasks[[#This Row],[_IsLeaf]]=1),"",IF(Tasks[[#This Row],[_AlapShift]]=0,Tasks[[#This Row],[_LeafCalcStart]],WORKDAY.INTL(Tasks[[#This Row],[_LeafCalcStart]],Tasks[[#This Row],[_AlapShift]],WorkWeek,Holidays)))</f>
        <v/>
      </c>
      <c r="EP180" s="74" t="str">
        <f aca="false">IF(NOT(Tasks[[#This Row],[_IsLeaf]]=1),"",IF(Tasks[[#This Row],[_AlapShift]]=0,Tasks[[#This Row],[_LeafCalcFinish]],WORKDAY.INTL(Tasks[[#This Row],[_LeafCalcFinish]],Tasks[[#This Row],[_AlapShift]],WorkWeek,Holidays)))</f>
        <v/>
      </c>
      <c r="EQ180" s="74" t="str">
        <f aca="false">IF(NOT(Tasks[[#This Row],[_IsLeaf]]=1),"",IF(Tasks[[#This Row],[_AlapShift]]=0,Tasks[[#This Row],[_LeafFcstStart]],WORKDAY.INTL(Tasks[[#This Row],[_LeafFcstStart]],Tasks[[#This Row],[_AlapShift]],WorkWeek,Holidays)))</f>
        <v/>
      </c>
      <c r="ER180" s="74" t="str">
        <f aca="false">IF(NOT(Tasks[[#This Row],[_IsLeaf]]=1),"",IF(Tasks[[#This Row],[_AlapShift]]=0,Tasks[[#This Row],[_LeafFcstFinish]],WORKDAY.INTL(Tasks[[#This Row],[_LeafFcstFinish]],Tasks[[#This Row],[_AlapShift]],WorkWeek,Holidays)))</f>
        <v/>
      </c>
      <c r="ES180" s="74" t="str">
        <f aca="false">IF(Tasks[[#This Row],[Task Name]]="","",IF(Tasks[[#This Row],[_IsSummary]],MIN(INDEX(Tasks[_ShownCalcStart],Tasks[[#This Row],[_Row]]+1):INDEX(Tasks[_ShownCalcStart],Tasks[[#This Row],[_Row]]+Tasks[[#This Row],[_Descendants]])),Tasks[[#This Row],[_ShownCalcStart]]))</f>
        <v/>
      </c>
      <c r="ET180" s="74" t="str">
        <f aca="false">IF(Tasks[[#This Row],[Task Name]]="","",IF(Tasks[[#This Row],[_IsSummary]],MAX(INDEX(Tasks[_ShownCalcFinish],Tasks[[#This Row],[_Row]]+1):INDEX(Tasks[_ShownCalcFinish],Tasks[[#This Row],[_Row]]+Tasks[[#This Row],[_Descendants]])),Tasks[[#This Row],[_ShownCalcFinish]]))</f>
        <v/>
      </c>
      <c r="EU18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8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8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8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8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8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8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8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8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8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8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8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80" s="45" t="n">
        <f aca="false">IF(AND(Tasks[[#This Row],[_IsLeaf]]=1,Tasks[[#This Row],[_LeafTotalWork]]&gt;0),NETWORKDAYS.INTL(ProjectStart,Tasks[[#This Row],[_ShownFcstStart]],WorkWeek,Holidays),0)</f>
        <v>0</v>
      </c>
      <c r="FH180" s="45" t="n">
        <f aca="false">IF(AND(Tasks[[#This Row],[_IsLeaf]]=1,Tasks[[#This Row],[_LeafTotalWork]]&gt;0),MAX(Tasks[[#This Row],[_StartWorkday]],NETWORKDAYS.INTL(ProjectStart,Tasks[[#This Row],[_ShownFcstFinish]],WorkWeek,Holidays)),0)</f>
        <v>0</v>
      </c>
      <c r="FI180" s="45" t="n">
        <f aca="false">IF(AND(Tasks[[#This Row],[_IsLeaf]]=1,Tasks[[#This Row],[_LeafTotalWork]]&gt;0),Tasks[[#This Row],[_LeafWork]]/(Tasks[[#This Row],[_FinishWorkday]]-Tasks[[#This Row],[_StartWorkday]]+1),0)</f>
        <v>0</v>
      </c>
      <c r="FJ180" s="45" t="n">
        <f aca="false">Tasks[[#This Row],[_WorkPerWorkday]]*(Tasks[[#This Row],[_StartWorkday]]-1)</f>
        <v>-0</v>
      </c>
      <c r="FK180" s="45" t="n">
        <f aca="false">IF(Tasks[[#This Row],[_IsLeaf]]=1,MAX(N(Tasks[[#This Row],[Duration]]),0.1),0)</f>
        <v>0</v>
      </c>
      <c r="FL180" s="45" t="n">
        <f aca="false">Tasks[[#This Row],[_WeightDur]]*Tasks[[#This Row],[_LeafProgress]]</f>
        <v>0</v>
      </c>
      <c r="FM18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80" s="45" t="str">
        <f aca="false">IF(AND(Tasks[[#This Row],[_IsLeaf]]=1,N(Tasks[[#This Row],[Duration]])=0,Tasks[[#This Row],[_LeafProgress]]&lt;1),Tasks[[#This Row],[_ShownFcstFinish]]+Tasks[[#This Row],[_Row]]/100000,"")</f>
        <v/>
      </c>
      <c r="FO18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80" s="45" t="n">
        <f aca="false">IF(NOT(Tasks[[#This Row],[_IsLeaf]]=1),0,IF(Tasks[[#This Row],[Baseline Cost]]="",Tasks[[#This Row],[_LeafTotalCost]],N(Tasks[[#This Row],[Baseline Cost]])))</f>
        <v>0</v>
      </c>
      <c r="FQ180" s="45" t="n">
        <f aca="false">Tasks[[#This Row],[_LeafBudget]]*Tasks[[#This Row],[_PlannedPct]]</f>
        <v>0</v>
      </c>
      <c r="FR180" s="45" t="n">
        <f aca="false">Tasks[[#This Row],[_LeafBudget]]*Tasks[[#This Row],[_LeafProgress]]</f>
        <v>0</v>
      </c>
      <c r="FS180" s="45" t="n">
        <f aca="false">IF(NOT(Tasks[[#This Row],[_IsLeaf]]=1),0,IF(Tasks[[#This Row],[Actual Cost]]="",Tasks[[#This Row],[_LeafTotalCost]]*Tasks[[#This Row],[_LeafProgress]],N(Tasks[[#This Row],[Actual Cost]])))</f>
        <v>0</v>
      </c>
      <c r="FT180" s="45" t="str">
        <f aca="false">IF(Tasks[[#This Row],[Task Name]]="","",LEFT(Tasks[[#This Row],[WBS]],FIND(".",Tasks[[#This Row],[WBS]]&amp;".")-1))</f>
        <v/>
      </c>
      <c r="FU180" s="45" t="str">
        <f aca="false">IF(AND(Tasks[[#This Row],[Task Name]]&lt;&gt;"",Tasks[[#This Row],[_Level]]=1),Tasks[[#This Row],[_Row]],"")</f>
        <v/>
      </c>
      <c r="FV180" s="45" t="str">
        <f aca="false">IF(AND(Tasks[[#This Row],[_IsLeaf]]=1,N(Tasks[[#This Row],[Duration]])=0),Tasks[[#This Row],[Planned Finish]]+Tasks[[#This Row],[_Row]]/100000,"")</f>
        <v/>
      </c>
      <c r="FW180" s="45" t="str">
        <f aca="false">IF(AND(Tasks[[#This Row],[_IsLeaf]]=1,Tasks[[#This Row],[_LeafProgress]]&lt;1,OR(N(Tasks[[#This Row],[Finish Var]])&gt;0,Tasks[[#This Row],[Status]]="Late Start")),MAX(0,Tasks[[#This Row],[Finish Var]])+1-Tasks[[#This Row],[_Row]]/1000000,"")</f>
        <v/>
      </c>
      <c r="FX180" s="45" t="str">
        <f aca="false">IF(AND(Tasks[[#This Row],[_IsLeaf]]=1,N(Tasks[[#This Row],[Actual Start]])=0,Tasks[[#This Row],[_ShownFcstStart]]&gt;=StatusDate,Tasks[[#This Row],[_ShownFcstStart]]&lt;=LookaheadEnd),Tasks[[#This Row],[_ShownFcstStart]]+Tasks[[#This Row],[_Row]]/100000,"")</f>
        <v/>
      </c>
      <c r="FY180" s="45" t="str">
        <f aca="false">IF(AND(Tasks[[#This Row],[_IsLeaf]]=1,Tasks[[#This Row],[_LeafProgress]]&lt;1,Tasks[[#This Row],[_ShownFcstFinish]]&gt;=StatusDate,Tasks[[#This Row],[_ShownFcstFinish]]&lt;=LookaheadEnd),Tasks[[#This Row],[_ShownFcstFinish]]+Tasks[[#This Row],[_Row]]/100000,"")</f>
        <v/>
      </c>
      <c r="FZ180" s="45" t="str">
        <f aca="false">IF(Tasks[[#This Row],[_LeafCritical]],Tasks[[#This Row],[_ShownFcstStart]]+Tasks[[#This Row],[_Row]]/100000,"")</f>
        <v/>
      </c>
      <c r="GA180" s="45" t="n">
        <f aca="false">Tasks[[#This Row],[_LeafWork]]*Tasks[[#This Row],[_LeafProgress]]</f>
        <v>0</v>
      </c>
      <c r="GB180" s="74" t="str">
        <f aca="false">IF(AND(Tasks[[#This Row],[_IsLeaf]]=1,Tasks[[#This Row],[_LeafProgress]]&gt;=1),IF(N(Tasks[[#This Row],[Actual Finish]])&gt;0,Tasks[[#This Row],[Actual Finish]],Tasks[[#This Row],[_ShownFcstFinish]]),"")</f>
        <v/>
      </c>
    </row>
    <row r="181" customFormat="false" ht="15" hidden="false" customHeight="false" outlineLevel="0" collapsed="false">
      <c r="A181" s="67" t="str">
        <f aca="false">IF(Tasks[[#This Row],[Task Name]]="","",COUNTA(Tasks[[#Headers],[Task Name]]:Tasks[[#This Row],[Task Name]])-1)</f>
        <v/>
      </c>
      <c r="B181" s="21" t="n">
        <v>176</v>
      </c>
      <c r="C18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21"/>
      <c r="E181" s="22"/>
      <c r="F181" s="21"/>
      <c r="G181" s="22"/>
      <c r="H181" s="22"/>
      <c r="I181" s="22"/>
      <c r="J181" s="7"/>
      <c r="K181" s="7"/>
      <c r="L181" s="22"/>
      <c r="M181" s="58" t="str">
        <f aca="false">IF(Tasks[[#This Row],[Task Name]]="","",IF(Tasks[[#This Row],[_IsSummary]],MIN(INDEX(Tasks[_ShownFcstStart],Tasks[[#This Row],[_Row]]+1):INDEX(Tasks[_ShownFcstStart],Tasks[[#This Row],[_Row]]+Tasks[[#This Row],[_Descendants]])),Tasks[[#This Row],[_ShownFcstStart]]))</f>
        <v/>
      </c>
      <c r="N181" s="58" t="str">
        <f aca="false">IF(Tasks[[#This Row],[Task Name]]="","",IF(Tasks[[#This Row],[_IsSummary]],MAX(INDEX(Tasks[_ShownFcstFinish],Tasks[[#This Row],[_Row]]+1):INDEX(Tasks[_ShownFcstFinish],Tasks[[#This Row],[_Row]]+Tasks[[#This Row],[_Descendants]])),Tasks[[#This Row],[_ShownFcstFinish]]))</f>
        <v/>
      </c>
      <c r="O181" s="20" t="str">
        <f aca="false">IF(Tasks[[#This Row],[Task Name]]="","",IF(Tasks[[#This Row],[Progress]]&gt;=1,"Complete",IF(OR(N(Tasks[[#This Row],[Actual Start]])&gt;0,Tasks[[#This Row],[Progress]]&gt;0),IF(Tasks[[#This Row],[Finish Var]]&gt;0,"Behind","In Progress"),IF(Tasks[[#This Row],[Planned Start]]&lt;StatusDate,"Late Start","Not Started"))))</f>
        <v/>
      </c>
      <c r="P181" s="20" t="str">
        <f aca="false">IF(Tasks[[#This Row],[Task Name]]="","",IF(IF(Tasks[[#This Row],[_IsSummary]],COUNTIF(INDEX(Tasks[_LeafCritical],Tasks[[#This Row],[_Row]]+1):INDEX(Tasks[_LeafCritical],Tasks[[#This Row],[_Row]]+Tasks[[#This Row],[_Descendants]]),TRUE())&gt;0,Tasks[[#This Row],[_LeafCritical]]),"Yes",""))</f>
        <v/>
      </c>
      <c r="Q18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81" s="67" t="str">
        <f aca="false">IF(Tasks[[#This Row],[Task Name]]="","",IF(Tasks[[#This Row],[_Level]]&lt;=OutlineShowLevel,"Yes","No"))</f>
        <v/>
      </c>
      <c r="S181" s="7"/>
      <c r="T181" s="21"/>
      <c r="U181" s="22"/>
      <c r="V181" s="7"/>
      <c r="W181" s="67" t="str">
        <f aca="false">IF(Tasks[[#This Row],[Task Name]]="","",IF(Tasks[[#This Row],[Finish]]&gt;=Tasks[[#This Row],[Planned Finish]],NETWORKDAYS.INTL(Tasks[[#This Row],[Planned Finish]],Tasks[[#This Row],[Finish]],WorkWeek,Holidays)-1,1-NETWORKDAYS.INTL(Tasks[[#This Row],[Finish]],Tasks[[#This Row],[Planned Finish]],WorkWeek,Holidays)))</f>
        <v/>
      </c>
      <c r="X181" s="58" t="str">
        <f aca="false">IF(Tasks[[#This Row],[Task Name]]="","",IF(N(Tasks[[#This Row],[Baseline Start]])&gt;0,Tasks[[#This Row],[Baseline Start]],Tasks[[#This Row],[_CalcStart]]))</f>
        <v/>
      </c>
      <c r="Y181" s="58" t="str">
        <f aca="false">IF(Tasks[[#This Row],[Task Name]]="","",IF(N(Tasks[[#This Row],[Baseline Finish]])&gt;0,Tasks[[#This Row],[Baseline Finish]],Tasks[[#This Row],[_CalcFinish]]))</f>
        <v/>
      </c>
      <c r="Z181" s="67" t="str">
        <f aca="false">IF(Tasks[[#This Row],[Task Name]]="","",IF(Tasks[[#This Row],[Start]]&gt;=Tasks[[#This Row],[Planned Start]],NETWORKDAYS.INTL(Tasks[[#This Row],[Planned Start]],Tasks[[#This Row],[Start]],WorkWeek,Holidays)-1,1-NETWORKDAYS.INTL(Tasks[[#This Row],[Start]],Tasks[[#This Row],[Planned Start]],WorkWeek,Holidays)))</f>
        <v/>
      </c>
      <c r="AA181" s="58" t="str">
        <f aca="false">IF(Tasks[[#This Row],[Task Name]]="","",IF(Tasks[[#This Row],[_IsSummary]],MIN(INDEX(Tasks[_LeafLateStart],Tasks[[#This Row],[_Row]]+1):INDEX(Tasks[_LeafLateStart],Tasks[[#This Row],[_Row]]+Tasks[[#This Row],[_Descendants]])),Tasks[[#This Row],[_LeafLateStart]]))</f>
        <v/>
      </c>
      <c r="AB181" s="58" t="str">
        <f aca="false">IF(Tasks[[#This Row],[Task Name]]="","",IF(Tasks[[#This Row],[_IsSummary]],MAX(INDEX(Tasks[_LeafLateFinish],Tasks[[#This Row],[_Row]]+1):INDEX(Tasks[_LeafLateFinish],Tasks[[#This Row],[_Row]]+Tasks[[#This Row],[_Descendants]])),Tasks[[#This Row],[_LeafLateFinish]]))</f>
        <v/>
      </c>
      <c r="AC181" s="67" t="str">
        <f aca="false">IF(Tasks[[#This Row],[Task Name]]="","",IF(Tasks[[#This Row],[_IsSummary]],MIN(INDEX(Tasks[_LeafTotalSlack],Tasks[[#This Row],[_Row]]+1):INDEX(Tasks[_LeafTotalSlack],Tasks[[#This Row],[_Row]]+Tasks[[#This Row],[_Descendants]])),Tasks[[#This Row],[_LeafTotalSlack]]))</f>
        <v/>
      </c>
      <c r="AD18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8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8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81" s="60"/>
      <c r="AH18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8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81" s="69" t="str">
        <f aca="false">IF(Tasks[[#This Row],[Task Name]]="","",IF(Tasks[[#This Row],[_IsSummary]],SUM(INDEX(Tasks[_LeafTotalWork],Tasks[[#This Row],[_Row]]+1):INDEX(Tasks[_LeafTotalWork],Tasks[[#This Row],[_Row]]+Tasks[[#This Row],[_Descendants]])),Tasks[[#This Row],[_LeafTotalWork]]))</f>
        <v/>
      </c>
      <c r="AK18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81" s="70" t="str">
        <f aca="false">IF(Tasks[[#This Row],[Task Name]]="","",IF(Tasks[[#This Row],[_IsSummary]],SUM(INDEX(Tasks[_LeafTotalCost],Tasks[[#This Row],[_Row]]+1):INDEX(Tasks[_LeafTotalCost],Tasks[[#This Row],[_Row]]+Tasks[[#This Row],[_Descendants]])),Tasks[[#This Row],[_LeafTotalCost]]))</f>
        <v/>
      </c>
      <c r="AM181" s="71"/>
      <c r="AN181" s="20" t="str">
        <f aca="false">IF(OR(Tasks[[#This Row],[Task Name]]="",Tasks[[#This Row],[Baseline Duration]]=""),"",Tasks[[#This Row],[BL Source Duration]]-N(Tasks[[#This Row],[Baseline Duration]]))</f>
        <v/>
      </c>
      <c r="AO181" s="69" t="str">
        <f aca="false">IF(OR(Tasks[[#This Row],[Task Name]]="",Tasks[[#This Row],[Baseline Work]]=""),"",Tasks[[#This Row],[Work]]-N(Tasks[[#This Row],[Baseline Work]]))</f>
        <v/>
      </c>
      <c r="AP181" s="70" t="str">
        <f aca="false">IF(OR(Tasks[[#This Row],[Task Name]]="",Tasks[[#This Row],[Baseline Cost]]=""),"",Tasks[[#This Row],[Cost]]-N(Tasks[[#This Row],[Baseline Cost]]))</f>
        <v/>
      </c>
      <c r="AQ181" s="58" t="str">
        <f aca="false">IF(Tasks[[#This Row],[Task Name]]="","",Tasks[[#This Row],[Start]])</f>
        <v/>
      </c>
      <c r="AR181" s="58" t="str">
        <f aca="false">IF(Tasks[[#This Row],[Task Name]]="","",Tasks[[#This Row],[Finish]])</f>
        <v/>
      </c>
      <c r="AS181" s="67" t="str">
        <f aca="false">IF(Tasks[[#This Row],[Task Name]]="","",IF(Tasks[[#This Row],[_IsSummary]],NETWORKDAYS.INTL(Tasks[[#This Row],[Start]],Tasks[[#This Row],[Finish]],WorkWeek,Holidays),N(Tasks[[#This Row],[Duration]])))</f>
        <v/>
      </c>
      <c r="AT181" s="69" t="str">
        <f aca="false">IF(Tasks[[#This Row],[Task Name]]="","",Tasks[[#This Row],[Work]])</f>
        <v/>
      </c>
      <c r="AU181" s="70" t="str">
        <f aca="false">IF(Tasks[[#This Row],[Task Name]]="","",Tasks[[#This Row],[Cost]])</f>
        <v/>
      </c>
      <c r="AV181" s="7"/>
      <c r="AW181" s="7"/>
      <c r="AX181" s="21"/>
      <c r="AY181" s="72"/>
      <c r="AZ181" s="71"/>
      <c r="BA181" s="70" t="str">
        <f aca="false">IF(Tasks[[#This Row],[Task Name]]="","",IF(Tasks[[#This Row],[_IsSummary]],SUM(INDEX(Tasks[_LeafEV],Tasks[[#This Row],[_Row]]+1):INDEX(Tasks[_LeafEV],Tasks[[#This Row],[_Row]]+Tasks[[#This Row],[_Descendants]])),Tasks[[#This Row],[_LeafEV]]))</f>
        <v/>
      </c>
      <c r="BB181" s="70" t="str">
        <f aca="false">IF(Tasks[[#This Row],[Task Name]]="","",IF(Tasks[[#This Row],[_IsSummary]],SUM(INDEX(Tasks[_LeafBudget],Tasks[[#This Row],[_Row]]+1):INDEX(Tasks[_LeafBudget],Tasks[[#This Row],[_Row]]+Tasks[[#This Row],[_Descendants]])),Tasks[[#This Row],[_LeafBudget]]))</f>
        <v/>
      </c>
      <c r="BC181" s="70" t="str">
        <f aca="false">IF(Tasks[[#This Row],[Task Name]]="","",IF(Tasks[[#This Row],[_IsSummary]],SUM(INDEX(Tasks[_LeafPV],Tasks[[#This Row],[_Row]]+1):INDEX(Tasks[_LeafPV],Tasks[[#This Row],[_Row]]+Tasks[[#This Row],[_Descendants]])),Tasks[[#This Row],[_LeafPV]]))</f>
        <v/>
      </c>
      <c r="BD181" s="70" t="str">
        <f aca="false">IF(Tasks[[#This Row],[Task Name]]="","",IF(Tasks[[#This Row],[_IsSummary]],SUM(INDEX(Tasks[_LeafAC],Tasks[[#This Row],[_Row]]+1):INDEX(Tasks[_LeafAC],Tasks[[#This Row],[_Row]]+Tasks[[#This Row],[_Descendants]])),Tasks[[#This Row],[_LeafAC]]))</f>
        <v/>
      </c>
      <c r="BE181" s="45" t="str">
        <f aca="false">IF(Tasks[[#This Row],[Task Name]]="","",MAX(1,N(Tasks[[#This Row],[Level]])))</f>
        <v/>
      </c>
      <c r="BF181" s="45" t="n">
        <f aca="false">ROW()-ROW(Tasks[[#Headers],[ID]])</f>
        <v>176</v>
      </c>
      <c r="BG181" s="45" t="n">
        <f aca="false">IF(OR(Tasks[[#This Row],[Task Name]]="",Tasks[[#This Row],[_Level]]&lt;=1),0,IFERROR(LOOKUP(2,1/(Tasks[[#Headers],[_Level]]:Tasks[[#This Row],[_Level]]=Tasks[[#This Row],[_Level]]-1),ROW(Tasks[[#Headers],[_Level]]:Tasks[[#This Row],[_Level]])),0))</f>
        <v>0</v>
      </c>
      <c r="BH181" s="45" t="n">
        <f aca="false">IFERROR(N(INDEX(Tasks[_Level],Tasks[[#This Row],[_Row]]+1)),0)</f>
        <v>0</v>
      </c>
      <c r="BI181" s="73" t="b">
        <f aca="false">AND(Tasks[[#This Row],[Task Name]]&lt;&gt;"",Tasks[[#This Row],[_NextLevel]]&gt;Tasks[[#This Row],[_Level]])</f>
        <v>0</v>
      </c>
      <c r="BJ181" s="45" t="n">
        <f aca="false">IF(Tasks[[#This Row],[_IsSummary]],COUNTIF(Tasks[WBS],Tasks[[#This Row],[WBS]]&amp;".*"),0)</f>
        <v>0</v>
      </c>
      <c r="BK181" s="45" t="n">
        <f aca="false">IF(AND(Tasks[[#This Row],[Task Name]]&lt;&gt;"",NOT(Tasks[[#This Row],[_IsSummary]])),1,0)</f>
        <v>0</v>
      </c>
      <c r="BL181" s="45" t="n">
        <f aca="false">IF(N(Tasks[[#This Row],[_Pred1UID]])=0,0,IFERROR(MATCH(Tasks[[#This Row],[_Pred1UID]],Tasks[UID],0),-1))</f>
        <v>0</v>
      </c>
      <c r="BM181" s="45" t="n">
        <f aca="false">IF(N(Tasks[[#This Row],[_Pred2UID]])=0,0,IFERROR(MATCH(Tasks[[#This Row],[_Pred2UID]],Tasks[UID],0),-1))</f>
        <v>0</v>
      </c>
      <c r="BN181" s="45" t="n">
        <f aca="false">IF(N(Tasks[[#This Row],[_Pred3UID]])=0,0,IFERROR(MATCH(Tasks[[#This Row],[_Pred3UID]],Tasks[UID],0),-1))</f>
        <v>0</v>
      </c>
      <c r="BO181" s="45" t="n">
        <f aca="false">IF(N(Tasks[[#This Row],[_Pred4UID]])=0,0,IFERROR(MATCH(Tasks[[#This Row],[_Pred4UID]],Tasks[UID],0),-1))</f>
        <v>0</v>
      </c>
      <c r="BP18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8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81" s="74" t="n">
        <f aca="false">IF(OR(Tasks[[#This Row],[_ConstraintCode]]=2,Tasks[[#This Row],[_ConstraintCode]]=3,Tasks[[#This Row],[_ConstraintCode]]=4,Tasks[[#This Row],[_ConstraintCode]]=6),Tasks[[#This Row],[_ConstraintStart]],0)</f>
        <v>0</v>
      </c>
      <c r="BS181" s="74" t="n">
        <f aca="false">IF(OR(Tasks[[#This Row],[_ConstraintCode]]=2,Tasks[[#This Row],[_ConstraintCode]]=3,Tasks[[#This Row],[_ConstraintCode]]=5,Tasks[[#This Row],[_ConstraintCode]]=7),Tasks[[#This Row],[_ConstraintStart]],2958465)</f>
        <v>2958465</v>
      </c>
      <c r="BT18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81" s="74" t="str">
        <f aca="false">IF(NOT(Tasks[[#This Row],[_IsLeaf]]=1),"",IF(N(Tasks[[#This Row],[Duration]])&lt;=0,Tasks[[#This Row],[_LeafCalcStart]],WORKDAY.INTL(Tasks[[#This Row],[_LeafCalcStart]],Tasks[[#This Row],[Duration]]-1,WorkWeek,Holidays)))</f>
        <v/>
      </c>
      <c r="BV18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8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81" s="45" t="str">
        <f aca="false">IF(Tasks[[#This Row],[Predecessors]]="","",TRIM(MID(SUBSTITUTE(SUBSTITUTE(SUBSTITUTE(UPPER(Tasks[[#This Row],[Predecessors]]),";",",")," ",""),",",REPT(" ",99)),1,99)))</f>
        <v/>
      </c>
      <c r="BY181" s="45" t="str">
        <f aca="false">IF(Tasks[[#This Row],[_Pred1Text]]="","",IFERROR(VALUE(LEFT(Tasks[[#This Row],[_Pred1Text]],MIN(FIND("F",Tasks[[#This Row],[_Pred1Text]]&amp;"F"),FIND("S",Tasks[[#This Row],[_Pred1Text]]&amp;"S"),FIND("+",Tasks[[#This Row],[_Pred1Text]]&amp;"+"),FIND("-",Tasks[[#This Row],[_Pred1Text]]&amp;"-"))-1)),""))</f>
        <v/>
      </c>
      <c r="BZ18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8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81" s="45" t="str">
        <f aca="false">IF(Tasks[[#This Row],[_Pred1Text]]="","",TRIM(MID(SUBSTITUTE(SUBSTITUTE(SUBSTITUTE(UPPER(Tasks[[#This Row],[Predecessors]]),";",",")," ",""),",",REPT(" ",99)),100,99)))</f>
        <v/>
      </c>
      <c r="CC181" s="45" t="str">
        <f aca="false">IF(Tasks[[#This Row],[_Pred2Text]]="","",IFERROR(VALUE(LEFT(Tasks[[#This Row],[_Pred2Text]],MIN(FIND("F",Tasks[[#This Row],[_Pred2Text]]&amp;"F"),FIND("S",Tasks[[#This Row],[_Pred2Text]]&amp;"S"),FIND("+",Tasks[[#This Row],[_Pred2Text]]&amp;"+"),FIND("-",Tasks[[#This Row],[_Pred2Text]]&amp;"-"))-1)),""))</f>
        <v/>
      </c>
      <c r="CD18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8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81" s="45" t="str">
        <f aca="false">IF(Tasks[[#This Row],[_Pred2Text]]="","",TRIM(MID(SUBSTITUTE(SUBSTITUTE(SUBSTITUTE(UPPER(Tasks[[#This Row],[Predecessors]]),";",",")," ",""),",",REPT(" ",99)),199,99)))</f>
        <v/>
      </c>
      <c r="CG181" s="45" t="str">
        <f aca="false">IF(Tasks[[#This Row],[_Pred3Text]]="","",IFERROR(VALUE(LEFT(Tasks[[#This Row],[_Pred3Text]],MIN(FIND("F",Tasks[[#This Row],[_Pred3Text]]&amp;"F"),FIND("S",Tasks[[#This Row],[_Pred3Text]]&amp;"S"),FIND("+",Tasks[[#This Row],[_Pred3Text]]&amp;"+"),FIND("-",Tasks[[#This Row],[_Pred3Text]]&amp;"-"))-1)),""))</f>
        <v/>
      </c>
      <c r="CH18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8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81" s="45" t="str">
        <f aca="false">IF(Tasks[[#This Row],[_Pred3Text]]="","",TRIM(MID(SUBSTITUTE(SUBSTITUTE(SUBSTITUTE(UPPER(Tasks[[#This Row],[Predecessors]]),";",",")," ",""),",",REPT(" ",99)),298,99)))</f>
        <v/>
      </c>
      <c r="CK181" s="45" t="str">
        <f aca="false">IF(Tasks[[#This Row],[_Pred4Text]]="","",IFERROR(VALUE(LEFT(Tasks[[#This Row],[_Pred4Text]],MIN(FIND("F",Tasks[[#This Row],[_Pred4Text]]&amp;"F"),FIND("S",Tasks[[#This Row],[_Pred4Text]]&amp;"S"),FIND("+",Tasks[[#This Row],[_Pred4Text]]&amp;"+"),FIND("-",Tasks[[#This Row],[_Pred4Text]]&amp;"-"))-1)),""))</f>
        <v/>
      </c>
      <c r="CL18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8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81" s="45" t="str">
        <f aca="false">IF(OR(Tasks[[#This Row],[Task Name]]="",Tasks[[#This Row],[Resources]]=""),"",TRIM(MID(SUBSTITUTE(Tasks[[#This Row],[Resources]],",",REPT(" ",99)),1,99)))</f>
        <v/>
      </c>
      <c r="CO181" s="45" t="str">
        <f aca="false">IF(Tasks[[#This Row],[_Res1Text]]="","",TRIM(MID(SUBSTITUTE(Tasks[[#This Row],[Resources]],",",REPT(" ",99)),100,99)))</f>
        <v/>
      </c>
      <c r="CP181" s="45" t="str">
        <f aca="false">IF(Tasks[[#This Row],[_Res2Text]]="","",TRIM(MID(SUBSTITUTE(Tasks[[#This Row],[Resources]],",",REPT(" ",99)),199,99)))</f>
        <v/>
      </c>
      <c r="CQ181" s="45" t="str">
        <f aca="false">IF(Tasks[[#This Row],[_Res3Text]]="","",TRIM(MID(SUBSTITUTE(Tasks[[#This Row],[Resources]],",",REPT(" ",99)),298,99)))</f>
        <v/>
      </c>
      <c r="CR18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8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1" s="45" t="n">
        <f aca="false">IF(NOT(Tasks[[#This Row],[_IsLeaf]]=1),0,(Tasks[[#This Row],[_Resource1]]&lt;&gt;"")+(Tasks[[#This Row],[_Res2]]&lt;&gt;"")+(Tasks[[#This Row],[_Res3]]&lt;&gt;"")+(Tasks[[#This Row],[_Res4]]&lt;&gt;""))</f>
        <v>0</v>
      </c>
      <c r="CU18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8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1" s="45" t="n">
        <f aca="false">IF(OR(NOT(Tasks[[#This Row],[_IsLeaf]]=1),Tasks[[#This Row],[_Res2]]=""),0,IF(ISNA(MATCH(Tasks[[#This Row],[_Res2]],res_Name,0)),0,N(Tasks[[#This Row],[Duration]])*HoursPerDay*IF(Tasks[[#This Row],[_Res2Units]]="",DefaultUnits,Tasks[[#This Row],[_Res2Units]])))</f>
        <v>0</v>
      </c>
      <c r="CX181" s="45" t="n">
        <f aca="false">IF(Tasks[[#This Row],[_Res2Work]]=0,0,Tasks[[#This Row],[_Res2Work]]*IFERROR(INDEX(res_Rate,MATCH(Tasks[[#This Row],[_Res2]],res_Name,0)),0))</f>
        <v>0</v>
      </c>
      <c r="CY181" s="45" t="n">
        <f aca="false">IF(AND(AND(Tasks[[#This Row],[_IsLeaf]]=1,Tasks[[#This Row],[_LeafTotalWork]]&gt;0),Tasks[[#This Row],[_Res2Work]]&gt;0),Tasks[[#This Row],[_Res2Work]]/(Tasks[[#This Row],[_FinishWorkday]]-Tasks[[#This Row],[_StartWorkday]]+1),0)</f>
        <v>0</v>
      </c>
      <c r="CZ181" s="45" t="n">
        <f aca="false">Tasks[[#This Row],[_Res2WorkPerWD]]*MAX(0,Tasks[[#This Row],[_StartWorkday]]-1)</f>
        <v>0</v>
      </c>
      <c r="DA181" s="45" t="n">
        <f aca="false">Tasks[[#This Row],[_Res2Work]]*Tasks[[#This Row],[_LeafProgress]]</f>
        <v>0</v>
      </c>
      <c r="DB181" s="45" t="n">
        <f aca="false">IF(Tasks[[#This Row],[_LeafTotalCost]]=0,0,Tasks[[#This Row],[_LeafAC]]*Tasks[[#This Row],[_Res2Cost]]/Tasks[[#This Row],[_LeafTotalCost]])</f>
        <v>0</v>
      </c>
      <c r="DC18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8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81" s="45" t="n">
        <f aca="false">IF(OR(NOT(Tasks[[#This Row],[_IsLeaf]]=1),Tasks[[#This Row],[_Res3]]=""),0,IF(ISNA(MATCH(Tasks[[#This Row],[_Res3]],res_Name,0)),0,N(Tasks[[#This Row],[Duration]])*HoursPerDay*IF(Tasks[[#This Row],[_Res3Units]]="",DefaultUnits,Tasks[[#This Row],[_Res3Units]])))</f>
        <v>0</v>
      </c>
      <c r="DF181" s="45" t="n">
        <f aca="false">IF(Tasks[[#This Row],[_Res3Work]]=0,0,Tasks[[#This Row],[_Res3Work]]*IFERROR(INDEX(res_Rate,MATCH(Tasks[[#This Row],[_Res3]],res_Name,0)),0))</f>
        <v>0</v>
      </c>
      <c r="DG181" s="45" t="n">
        <f aca="false">IF(AND(AND(Tasks[[#This Row],[_IsLeaf]]=1,Tasks[[#This Row],[_LeafTotalWork]]&gt;0),Tasks[[#This Row],[_Res3Work]]&gt;0),Tasks[[#This Row],[_Res3Work]]/(Tasks[[#This Row],[_FinishWorkday]]-Tasks[[#This Row],[_StartWorkday]]+1),0)</f>
        <v>0</v>
      </c>
      <c r="DH181" s="45" t="n">
        <f aca="false">Tasks[[#This Row],[_Res3WorkPerWD]]*MAX(0,Tasks[[#This Row],[_StartWorkday]]-1)</f>
        <v>0</v>
      </c>
      <c r="DI181" s="45" t="n">
        <f aca="false">Tasks[[#This Row],[_Res3Work]]*Tasks[[#This Row],[_LeafProgress]]</f>
        <v>0</v>
      </c>
      <c r="DJ181" s="45" t="n">
        <f aca="false">IF(Tasks[[#This Row],[_LeafTotalCost]]=0,0,Tasks[[#This Row],[_LeafAC]]*Tasks[[#This Row],[_Res3Cost]]/Tasks[[#This Row],[_LeafTotalCost]])</f>
        <v>0</v>
      </c>
      <c r="DK18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8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81" s="45" t="n">
        <f aca="false">IF(OR(NOT(Tasks[[#This Row],[_IsLeaf]]=1),Tasks[[#This Row],[_Res4]]=""),0,IF(ISNA(MATCH(Tasks[[#This Row],[_Res4]],res_Name,0)),0,N(Tasks[[#This Row],[Duration]])*HoursPerDay*IF(Tasks[[#This Row],[_Res4Units]]="",DefaultUnits,Tasks[[#This Row],[_Res4Units]])))</f>
        <v>0</v>
      </c>
      <c r="DN181" s="45" t="n">
        <f aca="false">IF(Tasks[[#This Row],[_Res4Work]]=0,0,Tasks[[#This Row],[_Res4Work]]*IFERROR(INDEX(res_Rate,MATCH(Tasks[[#This Row],[_Res4]],res_Name,0)),0))</f>
        <v>0</v>
      </c>
      <c r="DO181" s="45" t="n">
        <f aca="false">IF(AND(AND(Tasks[[#This Row],[_IsLeaf]]=1,Tasks[[#This Row],[_LeafTotalWork]]&gt;0),Tasks[[#This Row],[_Res4Work]]&gt;0),Tasks[[#This Row],[_Res4Work]]/(Tasks[[#This Row],[_FinishWorkday]]-Tasks[[#This Row],[_StartWorkday]]+1),0)</f>
        <v>0</v>
      </c>
      <c r="DP181" s="45" t="n">
        <f aca="false">Tasks[[#This Row],[_Res4WorkPerWD]]*MAX(0,Tasks[[#This Row],[_StartWorkday]]-1)</f>
        <v>0</v>
      </c>
      <c r="DQ181" s="45" t="n">
        <f aca="false">Tasks[[#This Row],[_Res4Work]]*Tasks[[#This Row],[_LeafProgress]]</f>
        <v>0</v>
      </c>
      <c r="DR181" s="45" t="n">
        <f aca="false">IF(Tasks[[#This Row],[_LeafTotalCost]]=0,0,Tasks[[#This Row],[_LeafAC]]*Tasks[[#This Row],[_Res4Cost]]/Tasks[[#This Row],[_LeafTotalCost]])</f>
        <v>0</v>
      </c>
      <c r="DS181" s="45" t="n">
        <f aca="false">IF(ISNUMBER(Tasks[[#This Row],[% Complete]]),Tasks[[#This Row],[% Complete]],IF(Tasks[[#This Row],[Stage]]="",0,IFERROR(INDEX(stg_Pct,MATCH(Tasks[[#This Row],[Stage]],stg_Name,0)),0)))</f>
        <v>0</v>
      </c>
      <c r="DT181" s="45" t="n">
        <f aca="false">IF(NOT(Tasks[[#This Row],[_IsLeaf]]=1),0,IF(N(Tasks[[#This Row],[Actual Finish]])&gt;0,1,MIN(1,Tasks[[#This Row],[_Pct]])))</f>
        <v>0</v>
      </c>
      <c r="DU181" s="45" t="n">
        <f aca="false">IF(OR(NOT(Tasks[[#This Row],[_IsLeaf]]=1),Tasks[[#This Row],[_Resource1]]=""),0,IF(ISNA(MATCH(Tasks[[#This Row],[_Resource1]],res_Name,0)),0,N(Tasks[[#This Row],[Duration]])*HoursPerDay*IF(Tasks[[#This Row],[_Units1]]="",DefaultUnits,Tasks[[#This Row],[_Units1]])))</f>
        <v>0</v>
      </c>
      <c r="DV181" s="45" t="n">
        <f aca="false">IF(Tasks[[#This Row],[_LeafWork]]=0,0,Tasks[[#This Row],[_LeafWork]]*IFERROR(INDEX(res_Rate,MATCH(Tasks[[#This Row],[_Resource1]],res_Name,0)),0))</f>
        <v>0</v>
      </c>
      <c r="DW181" s="45" t="n">
        <f aca="false">Tasks[[#This Row],[_LeafWork]]+Tasks[[#This Row],[_Res2Work]]+Tasks[[#This Row],[_Res3Work]]+Tasks[[#This Row],[_Res4Work]]</f>
        <v>0</v>
      </c>
      <c r="DX181" s="45" t="n">
        <f aca="false">Tasks[[#This Row],[_LeafCost]]+Tasks[[#This Row],[_Res2Cost]]+Tasks[[#This Row],[_Res3Cost]]+Tasks[[#This Row],[_Res4Cost]]</f>
        <v>0</v>
      </c>
      <c r="DY181" s="45" t="n">
        <f aca="false">IF(Tasks[[#This Row],[_LeafTotalCost]]=0,Tasks[[#This Row],[_LeafAC]],Tasks[[#This Row],[_LeafAC]]*Tasks[[#This Row],[_LeafCost]]/Tasks[[#This Row],[_LeafTotalCost]])</f>
        <v>0</v>
      </c>
      <c r="DZ18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8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8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8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8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8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8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8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81" s="45" t="n">
        <f aca="false">IF(NOT(Tasks[[#This Row],[_IsLeaf]]=1),0,MAX(_xlfn.MAXIFS(Tasks[_Row],Tasks[_Pred1UID],Tasks[[#This Row],[UID]]),_xlfn.MAXIFS(Tasks[_Row],Tasks[_Pred2UID],Tasks[[#This Row],[UID]]),_xlfn.MAXIFS(Tasks[_Row],Tasks[_Pred3UID],Tasks[[#This Row],[UID]]),_xlfn.MAXIFS(Tasks[_Row],Tasks[_Pred4UID],Tasks[[#This Row],[UID]])))</f>
        <v>0</v>
      </c>
      <c r="EI18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8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81" s="74" t="str">
        <f aca="false">IF(NOT(Tasks[[#This Row],[_IsLeaf]]=1),"",IF(N(Tasks[[#This Row],[Duration]])&lt;=0,Tasks[[#This Row],[_LeafLateFinish]],WORKDAY.INTL(Tasks[[#This Row],[_LeafLateFinish]],-(Tasks[[#This Row],[Duration]]-1),WorkWeek,Holidays)))</f>
        <v/>
      </c>
      <c r="EL18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81" s="73" t="b">
        <f aca="false">AND(Tasks[[#This Row],[_IsLeaf]]=1,Tasks[[#This Row],[_LeafProgress]]&lt;1,N(Tasks[[#This Row],[_LeafTotalSlack]])&lt;=CriticalSlackDays)</f>
        <v>0</v>
      </c>
      <c r="EN181" s="45" t="n">
        <f aca="false">IF(AND(Tasks[[#This Row],[_IsLeaf]]=1,Tasks[[#This Row],[_ConstraintCode]]=1,Tasks[[#This Row],[Mode]]&lt;&gt;"Manual",N(Tasks[[#This Row],[Actual Start]])=0),MAX(0,N(Tasks[[#This Row],[Free Slack]])),0)</f>
        <v>0</v>
      </c>
      <c r="EO181" s="74" t="str">
        <f aca="false">IF(NOT(Tasks[[#This Row],[_IsLeaf]]=1),"",IF(Tasks[[#This Row],[_AlapShift]]=0,Tasks[[#This Row],[_LeafCalcStart]],WORKDAY.INTL(Tasks[[#This Row],[_LeafCalcStart]],Tasks[[#This Row],[_AlapShift]],WorkWeek,Holidays)))</f>
        <v/>
      </c>
      <c r="EP181" s="74" t="str">
        <f aca="false">IF(NOT(Tasks[[#This Row],[_IsLeaf]]=1),"",IF(Tasks[[#This Row],[_AlapShift]]=0,Tasks[[#This Row],[_LeafCalcFinish]],WORKDAY.INTL(Tasks[[#This Row],[_LeafCalcFinish]],Tasks[[#This Row],[_AlapShift]],WorkWeek,Holidays)))</f>
        <v/>
      </c>
      <c r="EQ181" s="74" t="str">
        <f aca="false">IF(NOT(Tasks[[#This Row],[_IsLeaf]]=1),"",IF(Tasks[[#This Row],[_AlapShift]]=0,Tasks[[#This Row],[_LeafFcstStart]],WORKDAY.INTL(Tasks[[#This Row],[_LeafFcstStart]],Tasks[[#This Row],[_AlapShift]],WorkWeek,Holidays)))</f>
        <v/>
      </c>
      <c r="ER181" s="74" t="str">
        <f aca="false">IF(NOT(Tasks[[#This Row],[_IsLeaf]]=1),"",IF(Tasks[[#This Row],[_AlapShift]]=0,Tasks[[#This Row],[_LeafFcstFinish]],WORKDAY.INTL(Tasks[[#This Row],[_LeafFcstFinish]],Tasks[[#This Row],[_AlapShift]],WorkWeek,Holidays)))</f>
        <v/>
      </c>
      <c r="ES181" s="74" t="str">
        <f aca="false">IF(Tasks[[#This Row],[Task Name]]="","",IF(Tasks[[#This Row],[_IsSummary]],MIN(INDEX(Tasks[_ShownCalcStart],Tasks[[#This Row],[_Row]]+1):INDEX(Tasks[_ShownCalcStart],Tasks[[#This Row],[_Row]]+Tasks[[#This Row],[_Descendants]])),Tasks[[#This Row],[_ShownCalcStart]]))</f>
        <v/>
      </c>
      <c r="ET181" s="74" t="str">
        <f aca="false">IF(Tasks[[#This Row],[Task Name]]="","",IF(Tasks[[#This Row],[_IsSummary]],MAX(INDEX(Tasks[_ShownCalcFinish],Tasks[[#This Row],[_Row]]+1):INDEX(Tasks[_ShownCalcFinish],Tasks[[#This Row],[_Row]]+Tasks[[#This Row],[_Descendants]])),Tasks[[#This Row],[_ShownCalcFinish]]))</f>
        <v/>
      </c>
      <c r="EU18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8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8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8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8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8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8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8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8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8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8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8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81" s="45" t="n">
        <f aca="false">IF(AND(Tasks[[#This Row],[_IsLeaf]]=1,Tasks[[#This Row],[_LeafTotalWork]]&gt;0),NETWORKDAYS.INTL(ProjectStart,Tasks[[#This Row],[_ShownFcstStart]],WorkWeek,Holidays),0)</f>
        <v>0</v>
      </c>
      <c r="FH181" s="45" t="n">
        <f aca="false">IF(AND(Tasks[[#This Row],[_IsLeaf]]=1,Tasks[[#This Row],[_LeafTotalWork]]&gt;0),MAX(Tasks[[#This Row],[_StartWorkday]],NETWORKDAYS.INTL(ProjectStart,Tasks[[#This Row],[_ShownFcstFinish]],WorkWeek,Holidays)),0)</f>
        <v>0</v>
      </c>
      <c r="FI181" s="45" t="n">
        <f aca="false">IF(AND(Tasks[[#This Row],[_IsLeaf]]=1,Tasks[[#This Row],[_LeafTotalWork]]&gt;0),Tasks[[#This Row],[_LeafWork]]/(Tasks[[#This Row],[_FinishWorkday]]-Tasks[[#This Row],[_StartWorkday]]+1),0)</f>
        <v>0</v>
      </c>
      <c r="FJ181" s="45" t="n">
        <f aca="false">Tasks[[#This Row],[_WorkPerWorkday]]*(Tasks[[#This Row],[_StartWorkday]]-1)</f>
        <v>-0</v>
      </c>
      <c r="FK181" s="45" t="n">
        <f aca="false">IF(Tasks[[#This Row],[_IsLeaf]]=1,MAX(N(Tasks[[#This Row],[Duration]]),0.1),0)</f>
        <v>0</v>
      </c>
      <c r="FL181" s="45" t="n">
        <f aca="false">Tasks[[#This Row],[_WeightDur]]*Tasks[[#This Row],[_LeafProgress]]</f>
        <v>0</v>
      </c>
      <c r="FM18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81" s="45" t="str">
        <f aca="false">IF(AND(Tasks[[#This Row],[_IsLeaf]]=1,N(Tasks[[#This Row],[Duration]])=0,Tasks[[#This Row],[_LeafProgress]]&lt;1),Tasks[[#This Row],[_ShownFcstFinish]]+Tasks[[#This Row],[_Row]]/100000,"")</f>
        <v/>
      </c>
      <c r="FO18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81" s="45" t="n">
        <f aca="false">IF(NOT(Tasks[[#This Row],[_IsLeaf]]=1),0,IF(Tasks[[#This Row],[Baseline Cost]]="",Tasks[[#This Row],[_LeafTotalCost]],N(Tasks[[#This Row],[Baseline Cost]])))</f>
        <v>0</v>
      </c>
      <c r="FQ181" s="45" t="n">
        <f aca="false">Tasks[[#This Row],[_LeafBudget]]*Tasks[[#This Row],[_PlannedPct]]</f>
        <v>0</v>
      </c>
      <c r="FR181" s="45" t="n">
        <f aca="false">Tasks[[#This Row],[_LeafBudget]]*Tasks[[#This Row],[_LeafProgress]]</f>
        <v>0</v>
      </c>
      <c r="FS181" s="45" t="n">
        <f aca="false">IF(NOT(Tasks[[#This Row],[_IsLeaf]]=1),0,IF(Tasks[[#This Row],[Actual Cost]]="",Tasks[[#This Row],[_LeafTotalCost]]*Tasks[[#This Row],[_LeafProgress]],N(Tasks[[#This Row],[Actual Cost]])))</f>
        <v>0</v>
      </c>
      <c r="FT181" s="45" t="str">
        <f aca="false">IF(Tasks[[#This Row],[Task Name]]="","",LEFT(Tasks[[#This Row],[WBS]],FIND(".",Tasks[[#This Row],[WBS]]&amp;".")-1))</f>
        <v/>
      </c>
      <c r="FU181" s="45" t="str">
        <f aca="false">IF(AND(Tasks[[#This Row],[Task Name]]&lt;&gt;"",Tasks[[#This Row],[_Level]]=1),Tasks[[#This Row],[_Row]],"")</f>
        <v/>
      </c>
      <c r="FV181" s="45" t="str">
        <f aca="false">IF(AND(Tasks[[#This Row],[_IsLeaf]]=1,N(Tasks[[#This Row],[Duration]])=0),Tasks[[#This Row],[Planned Finish]]+Tasks[[#This Row],[_Row]]/100000,"")</f>
        <v/>
      </c>
      <c r="FW181" s="45" t="str">
        <f aca="false">IF(AND(Tasks[[#This Row],[_IsLeaf]]=1,Tasks[[#This Row],[_LeafProgress]]&lt;1,OR(N(Tasks[[#This Row],[Finish Var]])&gt;0,Tasks[[#This Row],[Status]]="Late Start")),MAX(0,Tasks[[#This Row],[Finish Var]])+1-Tasks[[#This Row],[_Row]]/1000000,"")</f>
        <v/>
      </c>
      <c r="FX181" s="45" t="str">
        <f aca="false">IF(AND(Tasks[[#This Row],[_IsLeaf]]=1,N(Tasks[[#This Row],[Actual Start]])=0,Tasks[[#This Row],[_ShownFcstStart]]&gt;=StatusDate,Tasks[[#This Row],[_ShownFcstStart]]&lt;=LookaheadEnd),Tasks[[#This Row],[_ShownFcstStart]]+Tasks[[#This Row],[_Row]]/100000,"")</f>
        <v/>
      </c>
      <c r="FY181" s="45" t="str">
        <f aca="false">IF(AND(Tasks[[#This Row],[_IsLeaf]]=1,Tasks[[#This Row],[_LeafProgress]]&lt;1,Tasks[[#This Row],[_ShownFcstFinish]]&gt;=StatusDate,Tasks[[#This Row],[_ShownFcstFinish]]&lt;=LookaheadEnd),Tasks[[#This Row],[_ShownFcstFinish]]+Tasks[[#This Row],[_Row]]/100000,"")</f>
        <v/>
      </c>
      <c r="FZ181" s="45" t="str">
        <f aca="false">IF(Tasks[[#This Row],[_LeafCritical]],Tasks[[#This Row],[_ShownFcstStart]]+Tasks[[#This Row],[_Row]]/100000,"")</f>
        <v/>
      </c>
      <c r="GA181" s="45" t="n">
        <f aca="false">Tasks[[#This Row],[_LeafWork]]*Tasks[[#This Row],[_LeafProgress]]</f>
        <v>0</v>
      </c>
      <c r="GB181" s="74" t="str">
        <f aca="false">IF(AND(Tasks[[#This Row],[_IsLeaf]]=1,Tasks[[#This Row],[_LeafProgress]]&gt;=1),IF(N(Tasks[[#This Row],[Actual Finish]])&gt;0,Tasks[[#This Row],[Actual Finish]],Tasks[[#This Row],[_ShownFcstFinish]]),"")</f>
        <v/>
      </c>
    </row>
    <row r="182" customFormat="false" ht="15" hidden="false" customHeight="false" outlineLevel="0" collapsed="false">
      <c r="A182" s="67" t="str">
        <f aca="false">IF(Tasks[[#This Row],[Task Name]]="","",COUNTA(Tasks[[#Headers],[Task Name]]:Tasks[[#This Row],[Task Name]])-1)</f>
        <v/>
      </c>
      <c r="B182" s="21" t="n">
        <v>177</v>
      </c>
      <c r="C18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21"/>
      <c r="E182" s="22"/>
      <c r="F182" s="21"/>
      <c r="G182" s="22"/>
      <c r="H182" s="22"/>
      <c r="I182" s="22"/>
      <c r="J182" s="7"/>
      <c r="K182" s="7"/>
      <c r="L182" s="22"/>
      <c r="M182" s="58" t="str">
        <f aca="false">IF(Tasks[[#This Row],[Task Name]]="","",IF(Tasks[[#This Row],[_IsSummary]],MIN(INDEX(Tasks[_ShownFcstStart],Tasks[[#This Row],[_Row]]+1):INDEX(Tasks[_ShownFcstStart],Tasks[[#This Row],[_Row]]+Tasks[[#This Row],[_Descendants]])),Tasks[[#This Row],[_ShownFcstStart]]))</f>
        <v/>
      </c>
      <c r="N182" s="58" t="str">
        <f aca="false">IF(Tasks[[#This Row],[Task Name]]="","",IF(Tasks[[#This Row],[_IsSummary]],MAX(INDEX(Tasks[_ShownFcstFinish],Tasks[[#This Row],[_Row]]+1):INDEX(Tasks[_ShownFcstFinish],Tasks[[#This Row],[_Row]]+Tasks[[#This Row],[_Descendants]])),Tasks[[#This Row],[_ShownFcstFinish]]))</f>
        <v/>
      </c>
      <c r="O182" s="20" t="str">
        <f aca="false">IF(Tasks[[#This Row],[Task Name]]="","",IF(Tasks[[#This Row],[Progress]]&gt;=1,"Complete",IF(OR(N(Tasks[[#This Row],[Actual Start]])&gt;0,Tasks[[#This Row],[Progress]]&gt;0),IF(Tasks[[#This Row],[Finish Var]]&gt;0,"Behind","In Progress"),IF(Tasks[[#This Row],[Planned Start]]&lt;StatusDate,"Late Start","Not Started"))))</f>
        <v/>
      </c>
      <c r="P182" s="20" t="str">
        <f aca="false">IF(Tasks[[#This Row],[Task Name]]="","",IF(IF(Tasks[[#This Row],[_IsSummary]],COUNTIF(INDEX(Tasks[_LeafCritical],Tasks[[#This Row],[_Row]]+1):INDEX(Tasks[_LeafCritical],Tasks[[#This Row],[_Row]]+Tasks[[#This Row],[_Descendants]]),TRUE())&gt;0,Tasks[[#This Row],[_LeafCritical]]),"Yes",""))</f>
        <v/>
      </c>
      <c r="Q18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82" s="67" t="str">
        <f aca="false">IF(Tasks[[#This Row],[Task Name]]="","",IF(Tasks[[#This Row],[_Level]]&lt;=OutlineShowLevel,"Yes","No"))</f>
        <v/>
      </c>
      <c r="S182" s="7"/>
      <c r="T182" s="21"/>
      <c r="U182" s="22"/>
      <c r="V182" s="7"/>
      <c r="W182" s="67" t="str">
        <f aca="false">IF(Tasks[[#This Row],[Task Name]]="","",IF(Tasks[[#This Row],[Finish]]&gt;=Tasks[[#This Row],[Planned Finish]],NETWORKDAYS.INTL(Tasks[[#This Row],[Planned Finish]],Tasks[[#This Row],[Finish]],WorkWeek,Holidays)-1,1-NETWORKDAYS.INTL(Tasks[[#This Row],[Finish]],Tasks[[#This Row],[Planned Finish]],WorkWeek,Holidays)))</f>
        <v/>
      </c>
      <c r="X182" s="58" t="str">
        <f aca="false">IF(Tasks[[#This Row],[Task Name]]="","",IF(N(Tasks[[#This Row],[Baseline Start]])&gt;0,Tasks[[#This Row],[Baseline Start]],Tasks[[#This Row],[_CalcStart]]))</f>
        <v/>
      </c>
      <c r="Y182" s="58" t="str">
        <f aca="false">IF(Tasks[[#This Row],[Task Name]]="","",IF(N(Tasks[[#This Row],[Baseline Finish]])&gt;0,Tasks[[#This Row],[Baseline Finish]],Tasks[[#This Row],[_CalcFinish]]))</f>
        <v/>
      </c>
      <c r="Z182" s="67" t="str">
        <f aca="false">IF(Tasks[[#This Row],[Task Name]]="","",IF(Tasks[[#This Row],[Start]]&gt;=Tasks[[#This Row],[Planned Start]],NETWORKDAYS.INTL(Tasks[[#This Row],[Planned Start]],Tasks[[#This Row],[Start]],WorkWeek,Holidays)-1,1-NETWORKDAYS.INTL(Tasks[[#This Row],[Start]],Tasks[[#This Row],[Planned Start]],WorkWeek,Holidays)))</f>
        <v/>
      </c>
      <c r="AA182" s="58" t="str">
        <f aca="false">IF(Tasks[[#This Row],[Task Name]]="","",IF(Tasks[[#This Row],[_IsSummary]],MIN(INDEX(Tasks[_LeafLateStart],Tasks[[#This Row],[_Row]]+1):INDEX(Tasks[_LeafLateStart],Tasks[[#This Row],[_Row]]+Tasks[[#This Row],[_Descendants]])),Tasks[[#This Row],[_LeafLateStart]]))</f>
        <v/>
      </c>
      <c r="AB182" s="58" t="str">
        <f aca="false">IF(Tasks[[#This Row],[Task Name]]="","",IF(Tasks[[#This Row],[_IsSummary]],MAX(INDEX(Tasks[_LeafLateFinish],Tasks[[#This Row],[_Row]]+1):INDEX(Tasks[_LeafLateFinish],Tasks[[#This Row],[_Row]]+Tasks[[#This Row],[_Descendants]])),Tasks[[#This Row],[_LeafLateFinish]]))</f>
        <v/>
      </c>
      <c r="AC182" s="67" t="str">
        <f aca="false">IF(Tasks[[#This Row],[Task Name]]="","",IF(Tasks[[#This Row],[_IsSummary]],MIN(INDEX(Tasks[_LeafTotalSlack],Tasks[[#This Row],[_Row]]+1):INDEX(Tasks[_LeafTotalSlack],Tasks[[#This Row],[_Row]]+Tasks[[#This Row],[_Descendants]])),Tasks[[#This Row],[_LeafTotalSlack]]))</f>
        <v/>
      </c>
      <c r="AD18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8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8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82" s="60"/>
      <c r="AH18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8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82" s="69" t="str">
        <f aca="false">IF(Tasks[[#This Row],[Task Name]]="","",IF(Tasks[[#This Row],[_IsSummary]],SUM(INDEX(Tasks[_LeafTotalWork],Tasks[[#This Row],[_Row]]+1):INDEX(Tasks[_LeafTotalWork],Tasks[[#This Row],[_Row]]+Tasks[[#This Row],[_Descendants]])),Tasks[[#This Row],[_LeafTotalWork]]))</f>
        <v/>
      </c>
      <c r="AK18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82" s="70" t="str">
        <f aca="false">IF(Tasks[[#This Row],[Task Name]]="","",IF(Tasks[[#This Row],[_IsSummary]],SUM(INDEX(Tasks[_LeafTotalCost],Tasks[[#This Row],[_Row]]+1):INDEX(Tasks[_LeafTotalCost],Tasks[[#This Row],[_Row]]+Tasks[[#This Row],[_Descendants]])),Tasks[[#This Row],[_LeafTotalCost]]))</f>
        <v/>
      </c>
      <c r="AM182" s="71"/>
      <c r="AN182" s="20" t="str">
        <f aca="false">IF(OR(Tasks[[#This Row],[Task Name]]="",Tasks[[#This Row],[Baseline Duration]]=""),"",Tasks[[#This Row],[BL Source Duration]]-N(Tasks[[#This Row],[Baseline Duration]]))</f>
        <v/>
      </c>
      <c r="AO182" s="69" t="str">
        <f aca="false">IF(OR(Tasks[[#This Row],[Task Name]]="",Tasks[[#This Row],[Baseline Work]]=""),"",Tasks[[#This Row],[Work]]-N(Tasks[[#This Row],[Baseline Work]]))</f>
        <v/>
      </c>
      <c r="AP182" s="70" t="str">
        <f aca="false">IF(OR(Tasks[[#This Row],[Task Name]]="",Tasks[[#This Row],[Baseline Cost]]=""),"",Tasks[[#This Row],[Cost]]-N(Tasks[[#This Row],[Baseline Cost]]))</f>
        <v/>
      </c>
      <c r="AQ182" s="58" t="str">
        <f aca="false">IF(Tasks[[#This Row],[Task Name]]="","",Tasks[[#This Row],[Start]])</f>
        <v/>
      </c>
      <c r="AR182" s="58" t="str">
        <f aca="false">IF(Tasks[[#This Row],[Task Name]]="","",Tasks[[#This Row],[Finish]])</f>
        <v/>
      </c>
      <c r="AS182" s="67" t="str">
        <f aca="false">IF(Tasks[[#This Row],[Task Name]]="","",IF(Tasks[[#This Row],[_IsSummary]],NETWORKDAYS.INTL(Tasks[[#This Row],[Start]],Tasks[[#This Row],[Finish]],WorkWeek,Holidays),N(Tasks[[#This Row],[Duration]])))</f>
        <v/>
      </c>
      <c r="AT182" s="69" t="str">
        <f aca="false">IF(Tasks[[#This Row],[Task Name]]="","",Tasks[[#This Row],[Work]])</f>
        <v/>
      </c>
      <c r="AU182" s="70" t="str">
        <f aca="false">IF(Tasks[[#This Row],[Task Name]]="","",Tasks[[#This Row],[Cost]])</f>
        <v/>
      </c>
      <c r="AV182" s="7"/>
      <c r="AW182" s="7"/>
      <c r="AX182" s="21"/>
      <c r="AY182" s="72"/>
      <c r="AZ182" s="71"/>
      <c r="BA182" s="70" t="str">
        <f aca="false">IF(Tasks[[#This Row],[Task Name]]="","",IF(Tasks[[#This Row],[_IsSummary]],SUM(INDEX(Tasks[_LeafEV],Tasks[[#This Row],[_Row]]+1):INDEX(Tasks[_LeafEV],Tasks[[#This Row],[_Row]]+Tasks[[#This Row],[_Descendants]])),Tasks[[#This Row],[_LeafEV]]))</f>
        <v/>
      </c>
      <c r="BB182" s="70" t="str">
        <f aca="false">IF(Tasks[[#This Row],[Task Name]]="","",IF(Tasks[[#This Row],[_IsSummary]],SUM(INDEX(Tasks[_LeafBudget],Tasks[[#This Row],[_Row]]+1):INDEX(Tasks[_LeafBudget],Tasks[[#This Row],[_Row]]+Tasks[[#This Row],[_Descendants]])),Tasks[[#This Row],[_LeafBudget]]))</f>
        <v/>
      </c>
      <c r="BC182" s="70" t="str">
        <f aca="false">IF(Tasks[[#This Row],[Task Name]]="","",IF(Tasks[[#This Row],[_IsSummary]],SUM(INDEX(Tasks[_LeafPV],Tasks[[#This Row],[_Row]]+1):INDEX(Tasks[_LeafPV],Tasks[[#This Row],[_Row]]+Tasks[[#This Row],[_Descendants]])),Tasks[[#This Row],[_LeafPV]]))</f>
        <v/>
      </c>
      <c r="BD182" s="70" t="str">
        <f aca="false">IF(Tasks[[#This Row],[Task Name]]="","",IF(Tasks[[#This Row],[_IsSummary]],SUM(INDEX(Tasks[_LeafAC],Tasks[[#This Row],[_Row]]+1):INDEX(Tasks[_LeafAC],Tasks[[#This Row],[_Row]]+Tasks[[#This Row],[_Descendants]])),Tasks[[#This Row],[_LeafAC]]))</f>
        <v/>
      </c>
      <c r="BE182" s="45" t="str">
        <f aca="false">IF(Tasks[[#This Row],[Task Name]]="","",MAX(1,N(Tasks[[#This Row],[Level]])))</f>
        <v/>
      </c>
      <c r="BF182" s="45" t="n">
        <f aca="false">ROW()-ROW(Tasks[[#Headers],[ID]])</f>
        <v>177</v>
      </c>
      <c r="BG182" s="45" t="n">
        <f aca="false">IF(OR(Tasks[[#This Row],[Task Name]]="",Tasks[[#This Row],[_Level]]&lt;=1),0,IFERROR(LOOKUP(2,1/(Tasks[[#Headers],[_Level]]:Tasks[[#This Row],[_Level]]=Tasks[[#This Row],[_Level]]-1),ROW(Tasks[[#Headers],[_Level]]:Tasks[[#This Row],[_Level]])),0))</f>
        <v>0</v>
      </c>
      <c r="BH182" s="45" t="n">
        <f aca="false">IFERROR(N(INDEX(Tasks[_Level],Tasks[[#This Row],[_Row]]+1)),0)</f>
        <v>0</v>
      </c>
      <c r="BI182" s="73" t="b">
        <f aca="false">AND(Tasks[[#This Row],[Task Name]]&lt;&gt;"",Tasks[[#This Row],[_NextLevel]]&gt;Tasks[[#This Row],[_Level]])</f>
        <v>0</v>
      </c>
      <c r="BJ182" s="45" t="n">
        <f aca="false">IF(Tasks[[#This Row],[_IsSummary]],COUNTIF(Tasks[WBS],Tasks[[#This Row],[WBS]]&amp;".*"),0)</f>
        <v>0</v>
      </c>
      <c r="BK182" s="45" t="n">
        <f aca="false">IF(AND(Tasks[[#This Row],[Task Name]]&lt;&gt;"",NOT(Tasks[[#This Row],[_IsSummary]])),1,0)</f>
        <v>0</v>
      </c>
      <c r="BL182" s="45" t="n">
        <f aca="false">IF(N(Tasks[[#This Row],[_Pred1UID]])=0,0,IFERROR(MATCH(Tasks[[#This Row],[_Pred1UID]],Tasks[UID],0),-1))</f>
        <v>0</v>
      </c>
      <c r="BM182" s="45" t="n">
        <f aca="false">IF(N(Tasks[[#This Row],[_Pred2UID]])=0,0,IFERROR(MATCH(Tasks[[#This Row],[_Pred2UID]],Tasks[UID],0),-1))</f>
        <v>0</v>
      </c>
      <c r="BN182" s="45" t="n">
        <f aca="false">IF(N(Tasks[[#This Row],[_Pred3UID]])=0,0,IFERROR(MATCH(Tasks[[#This Row],[_Pred3UID]],Tasks[UID],0),-1))</f>
        <v>0</v>
      </c>
      <c r="BO182" s="45" t="n">
        <f aca="false">IF(N(Tasks[[#This Row],[_Pred4UID]])=0,0,IFERROR(MATCH(Tasks[[#This Row],[_Pred4UID]],Tasks[UID],0),-1))</f>
        <v>0</v>
      </c>
      <c r="BP18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8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82" s="74" t="n">
        <f aca="false">IF(OR(Tasks[[#This Row],[_ConstraintCode]]=2,Tasks[[#This Row],[_ConstraintCode]]=3,Tasks[[#This Row],[_ConstraintCode]]=4,Tasks[[#This Row],[_ConstraintCode]]=6),Tasks[[#This Row],[_ConstraintStart]],0)</f>
        <v>0</v>
      </c>
      <c r="BS182" s="74" t="n">
        <f aca="false">IF(OR(Tasks[[#This Row],[_ConstraintCode]]=2,Tasks[[#This Row],[_ConstraintCode]]=3,Tasks[[#This Row],[_ConstraintCode]]=5,Tasks[[#This Row],[_ConstraintCode]]=7),Tasks[[#This Row],[_ConstraintStart]],2958465)</f>
        <v>2958465</v>
      </c>
      <c r="BT18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82" s="74" t="str">
        <f aca="false">IF(NOT(Tasks[[#This Row],[_IsLeaf]]=1),"",IF(N(Tasks[[#This Row],[Duration]])&lt;=0,Tasks[[#This Row],[_LeafCalcStart]],WORKDAY.INTL(Tasks[[#This Row],[_LeafCalcStart]],Tasks[[#This Row],[Duration]]-1,WorkWeek,Holidays)))</f>
        <v/>
      </c>
      <c r="BV18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8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82" s="45" t="str">
        <f aca="false">IF(Tasks[[#This Row],[Predecessors]]="","",TRIM(MID(SUBSTITUTE(SUBSTITUTE(SUBSTITUTE(UPPER(Tasks[[#This Row],[Predecessors]]),";",",")," ",""),",",REPT(" ",99)),1,99)))</f>
        <v/>
      </c>
      <c r="BY182" s="45" t="str">
        <f aca="false">IF(Tasks[[#This Row],[_Pred1Text]]="","",IFERROR(VALUE(LEFT(Tasks[[#This Row],[_Pred1Text]],MIN(FIND("F",Tasks[[#This Row],[_Pred1Text]]&amp;"F"),FIND("S",Tasks[[#This Row],[_Pred1Text]]&amp;"S"),FIND("+",Tasks[[#This Row],[_Pred1Text]]&amp;"+"),FIND("-",Tasks[[#This Row],[_Pred1Text]]&amp;"-"))-1)),""))</f>
        <v/>
      </c>
      <c r="BZ18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8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82" s="45" t="str">
        <f aca="false">IF(Tasks[[#This Row],[_Pred1Text]]="","",TRIM(MID(SUBSTITUTE(SUBSTITUTE(SUBSTITUTE(UPPER(Tasks[[#This Row],[Predecessors]]),";",",")," ",""),",",REPT(" ",99)),100,99)))</f>
        <v/>
      </c>
      <c r="CC182" s="45" t="str">
        <f aca="false">IF(Tasks[[#This Row],[_Pred2Text]]="","",IFERROR(VALUE(LEFT(Tasks[[#This Row],[_Pred2Text]],MIN(FIND("F",Tasks[[#This Row],[_Pred2Text]]&amp;"F"),FIND("S",Tasks[[#This Row],[_Pred2Text]]&amp;"S"),FIND("+",Tasks[[#This Row],[_Pred2Text]]&amp;"+"),FIND("-",Tasks[[#This Row],[_Pred2Text]]&amp;"-"))-1)),""))</f>
        <v/>
      </c>
      <c r="CD18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8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82" s="45" t="str">
        <f aca="false">IF(Tasks[[#This Row],[_Pred2Text]]="","",TRIM(MID(SUBSTITUTE(SUBSTITUTE(SUBSTITUTE(UPPER(Tasks[[#This Row],[Predecessors]]),";",",")," ",""),",",REPT(" ",99)),199,99)))</f>
        <v/>
      </c>
      <c r="CG182" s="45" t="str">
        <f aca="false">IF(Tasks[[#This Row],[_Pred3Text]]="","",IFERROR(VALUE(LEFT(Tasks[[#This Row],[_Pred3Text]],MIN(FIND("F",Tasks[[#This Row],[_Pred3Text]]&amp;"F"),FIND("S",Tasks[[#This Row],[_Pred3Text]]&amp;"S"),FIND("+",Tasks[[#This Row],[_Pred3Text]]&amp;"+"),FIND("-",Tasks[[#This Row],[_Pred3Text]]&amp;"-"))-1)),""))</f>
        <v/>
      </c>
      <c r="CH18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8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82" s="45" t="str">
        <f aca="false">IF(Tasks[[#This Row],[_Pred3Text]]="","",TRIM(MID(SUBSTITUTE(SUBSTITUTE(SUBSTITUTE(UPPER(Tasks[[#This Row],[Predecessors]]),";",",")," ",""),",",REPT(" ",99)),298,99)))</f>
        <v/>
      </c>
      <c r="CK182" s="45" t="str">
        <f aca="false">IF(Tasks[[#This Row],[_Pred4Text]]="","",IFERROR(VALUE(LEFT(Tasks[[#This Row],[_Pred4Text]],MIN(FIND("F",Tasks[[#This Row],[_Pred4Text]]&amp;"F"),FIND("S",Tasks[[#This Row],[_Pred4Text]]&amp;"S"),FIND("+",Tasks[[#This Row],[_Pred4Text]]&amp;"+"),FIND("-",Tasks[[#This Row],[_Pred4Text]]&amp;"-"))-1)),""))</f>
        <v/>
      </c>
      <c r="CL18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8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82" s="45" t="str">
        <f aca="false">IF(OR(Tasks[[#This Row],[Task Name]]="",Tasks[[#This Row],[Resources]]=""),"",TRIM(MID(SUBSTITUTE(Tasks[[#This Row],[Resources]],",",REPT(" ",99)),1,99)))</f>
        <v/>
      </c>
      <c r="CO182" s="45" t="str">
        <f aca="false">IF(Tasks[[#This Row],[_Res1Text]]="","",TRIM(MID(SUBSTITUTE(Tasks[[#This Row],[Resources]],",",REPT(" ",99)),100,99)))</f>
        <v/>
      </c>
      <c r="CP182" s="45" t="str">
        <f aca="false">IF(Tasks[[#This Row],[_Res2Text]]="","",TRIM(MID(SUBSTITUTE(Tasks[[#This Row],[Resources]],",",REPT(" ",99)),199,99)))</f>
        <v/>
      </c>
      <c r="CQ182" s="45" t="str">
        <f aca="false">IF(Tasks[[#This Row],[_Res3Text]]="","",TRIM(MID(SUBSTITUTE(Tasks[[#This Row],[Resources]],",",REPT(" ",99)),298,99)))</f>
        <v/>
      </c>
      <c r="CR18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8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2" s="45" t="n">
        <f aca="false">IF(NOT(Tasks[[#This Row],[_IsLeaf]]=1),0,(Tasks[[#This Row],[_Resource1]]&lt;&gt;"")+(Tasks[[#This Row],[_Res2]]&lt;&gt;"")+(Tasks[[#This Row],[_Res3]]&lt;&gt;"")+(Tasks[[#This Row],[_Res4]]&lt;&gt;""))</f>
        <v>0</v>
      </c>
      <c r="CU18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8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2" s="45" t="n">
        <f aca="false">IF(OR(NOT(Tasks[[#This Row],[_IsLeaf]]=1),Tasks[[#This Row],[_Res2]]=""),0,IF(ISNA(MATCH(Tasks[[#This Row],[_Res2]],res_Name,0)),0,N(Tasks[[#This Row],[Duration]])*HoursPerDay*IF(Tasks[[#This Row],[_Res2Units]]="",DefaultUnits,Tasks[[#This Row],[_Res2Units]])))</f>
        <v>0</v>
      </c>
      <c r="CX182" s="45" t="n">
        <f aca="false">IF(Tasks[[#This Row],[_Res2Work]]=0,0,Tasks[[#This Row],[_Res2Work]]*IFERROR(INDEX(res_Rate,MATCH(Tasks[[#This Row],[_Res2]],res_Name,0)),0))</f>
        <v>0</v>
      </c>
      <c r="CY182" s="45" t="n">
        <f aca="false">IF(AND(AND(Tasks[[#This Row],[_IsLeaf]]=1,Tasks[[#This Row],[_LeafTotalWork]]&gt;0),Tasks[[#This Row],[_Res2Work]]&gt;0),Tasks[[#This Row],[_Res2Work]]/(Tasks[[#This Row],[_FinishWorkday]]-Tasks[[#This Row],[_StartWorkday]]+1),0)</f>
        <v>0</v>
      </c>
      <c r="CZ182" s="45" t="n">
        <f aca="false">Tasks[[#This Row],[_Res2WorkPerWD]]*MAX(0,Tasks[[#This Row],[_StartWorkday]]-1)</f>
        <v>0</v>
      </c>
      <c r="DA182" s="45" t="n">
        <f aca="false">Tasks[[#This Row],[_Res2Work]]*Tasks[[#This Row],[_LeafProgress]]</f>
        <v>0</v>
      </c>
      <c r="DB182" s="45" t="n">
        <f aca="false">IF(Tasks[[#This Row],[_LeafTotalCost]]=0,0,Tasks[[#This Row],[_LeafAC]]*Tasks[[#This Row],[_Res2Cost]]/Tasks[[#This Row],[_LeafTotalCost]])</f>
        <v>0</v>
      </c>
      <c r="DC18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8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82" s="45" t="n">
        <f aca="false">IF(OR(NOT(Tasks[[#This Row],[_IsLeaf]]=1),Tasks[[#This Row],[_Res3]]=""),0,IF(ISNA(MATCH(Tasks[[#This Row],[_Res3]],res_Name,0)),0,N(Tasks[[#This Row],[Duration]])*HoursPerDay*IF(Tasks[[#This Row],[_Res3Units]]="",DefaultUnits,Tasks[[#This Row],[_Res3Units]])))</f>
        <v>0</v>
      </c>
      <c r="DF182" s="45" t="n">
        <f aca="false">IF(Tasks[[#This Row],[_Res3Work]]=0,0,Tasks[[#This Row],[_Res3Work]]*IFERROR(INDEX(res_Rate,MATCH(Tasks[[#This Row],[_Res3]],res_Name,0)),0))</f>
        <v>0</v>
      </c>
      <c r="DG182" s="45" t="n">
        <f aca="false">IF(AND(AND(Tasks[[#This Row],[_IsLeaf]]=1,Tasks[[#This Row],[_LeafTotalWork]]&gt;0),Tasks[[#This Row],[_Res3Work]]&gt;0),Tasks[[#This Row],[_Res3Work]]/(Tasks[[#This Row],[_FinishWorkday]]-Tasks[[#This Row],[_StartWorkday]]+1),0)</f>
        <v>0</v>
      </c>
      <c r="DH182" s="45" t="n">
        <f aca="false">Tasks[[#This Row],[_Res3WorkPerWD]]*MAX(0,Tasks[[#This Row],[_StartWorkday]]-1)</f>
        <v>0</v>
      </c>
      <c r="DI182" s="45" t="n">
        <f aca="false">Tasks[[#This Row],[_Res3Work]]*Tasks[[#This Row],[_LeafProgress]]</f>
        <v>0</v>
      </c>
      <c r="DJ182" s="45" t="n">
        <f aca="false">IF(Tasks[[#This Row],[_LeafTotalCost]]=0,0,Tasks[[#This Row],[_LeafAC]]*Tasks[[#This Row],[_Res3Cost]]/Tasks[[#This Row],[_LeafTotalCost]])</f>
        <v>0</v>
      </c>
      <c r="DK18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8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82" s="45" t="n">
        <f aca="false">IF(OR(NOT(Tasks[[#This Row],[_IsLeaf]]=1),Tasks[[#This Row],[_Res4]]=""),0,IF(ISNA(MATCH(Tasks[[#This Row],[_Res4]],res_Name,0)),0,N(Tasks[[#This Row],[Duration]])*HoursPerDay*IF(Tasks[[#This Row],[_Res4Units]]="",DefaultUnits,Tasks[[#This Row],[_Res4Units]])))</f>
        <v>0</v>
      </c>
      <c r="DN182" s="45" t="n">
        <f aca="false">IF(Tasks[[#This Row],[_Res4Work]]=0,0,Tasks[[#This Row],[_Res4Work]]*IFERROR(INDEX(res_Rate,MATCH(Tasks[[#This Row],[_Res4]],res_Name,0)),0))</f>
        <v>0</v>
      </c>
      <c r="DO182" s="45" t="n">
        <f aca="false">IF(AND(AND(Tasks[[#This Row],[_IsLeaf]]=1,Tasks[[#This Row],[_LeafTotalWork]]&gt;0),Tasks[[#This Row],[_Res4Work]]&gt;0),Tasks[[#This Row],[_Res4Work]]/(Tasks[[#This Row],[_FinishWorkday]]-Tasks[[#This Row],[_StartWorkday]]+1),0)</f>
        <v>0</v>
      </c>
      <c r="DP182" s="45" t="n">
        <f aca="false">Tasks[[#This Row],[_Res4WorkPerWD]]*MAX(0,Tasks[[#This Row],[_StartWorkday]]-1)</f>
        <v>0</v>
      </c>
      <c r="DQ182" s="45" t="n">
        <f aca="false">Tasks[[#This Row],[_Res4Work]]*Tasks[[#This Row],[_LeafProgress]]</f>
        <v>0</v>
      </c>
      <c r="DR182" s="45" t="n">
        <f aca="false">IF(Tasks[[#This Row],[_LeafTotalCost]]=0,0,Tasks[[#This Row],[_LeafAC]]*Tasks[[#This Row],[_Res4Cost]]/Tasks[[#This Row],[_LeafTotalCost]])</f>
        <v>0</v>
      </c>
      <c r="DS182" s="45" t="n">
        <f aca="false">IF(ISNUMBER(Tasks[[#This Row],[% Complete]]),Tasks[[#This Row],[% Complete]],IF(Tasks[[#This Row],[Stage]]="",0,IFERROR(INDEX(stg_Pct,MATCH(Tasks[[#This Row],[Stage]],stg_Name,0)),0)))</f>
        <v>0</v>
      </c>
      <c r="DT182" s="45" t="n">
        <f aca="false">IF(NOT(Tasks[[#This Row],[_IsLeaf]]=1),0,IF(N(Tasks[[#This Row],[Actual Finish]])&gt;0,1,MIN(1,Tasks[[#This Row],[_Pct]])))</f>
        <v>0</v>
      </c>
      <c r="DU182" s="45" t="n">
        <f aca="false">IF(OR(NOT(Tasks[[#This Row],[_IsLeaf]]=1),Tasks[[#This Row],[_Resource1]]=""),0,IF(ISNA(MATCH(Tasks[[#This Row],[_Resource1]],res_Name,0)),0,N(Tasks[[#This Row],[Duration]])*HoursPerDay*IF(Tasks[[#This Row],[_Units1]]="",DefaultUnits,Tasks[[#This Row],[_Units1]])))</f>
        <v>0</v>
      </c>
      <c r="DV182" s="45" t="n">
        <f aca="false">IF(Tasks[[#This Row],[_LeafWork]]=0,0,Tasks[[#This Row],[_LeafWork]]*IFERROR(INDEX(res_Rate,MATCH(Tasks[[#This Row],[_Resource1]],res_Name,0)),0))</f>
        <v>0</v>
      </c>
      <c r="DW182" s="45" t="n">
        <f aca="false">Tasks[[#This Row],[_LeafWork]]+Tasks[[#This Row],[_Res2Work]]+Tasks[[#This Row],[_Res3Work]]+Tasks[[#This Row],[_Res4Work]]</f>
        <v>0</v>
      </c>
      <c r="DX182" s="45" t="n">
        <f aca="false">Tasks[[#This Row],[_LeafCost]]+Tasks[[#This Row],[_Res2Cost]]+Tasks[[#This Row],[_Res3Cost]]+Tasks[[#This Row],[_Res4Cost]]</f>
        <v>0</v>
      </c>
      <c r="DY182" s="45" t="n">
        <f aca="false">IF(Tasks[[#This Row],[_LeafTotalCost]]=0,Tasks[[#This Row],[_LeafAC]],Tasks[[#This Row],[_LeafAC]]*Tasks[[#This Row],[_LeafCost]]/Tasks[[#This Row],[_LeafTotalCost]])</f>
        <v>0</v>
      </c>
      <c r="DZ18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8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8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8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8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8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8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8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82" s="45" t="n">
        <f aca="false">IF(NOT(Tasks[[#This Row],[_IsLeaf]]=1),0,MAX(_xlfn.MAXIFS(Tasks[_Row],Tasks[_Pred1UID],Tasks[[#This Row],[UID]]),_xlfn.MAXIFS(Tasks[_Row],Tasks[_Pred2UID],Tasks[[#This Row],[UID]]),_xlfn.MAXIFS(Tasks[_Row],Tasks[_Pred3UID],Tasks[[#This Row],[UID]]),_xlfn.MAXIFS(Tasks[_Row],Tasks[_Pred4UID],Tasks[[#This Row],[UID]])))</f>
        <v>0</v>
      </c>
      <c r="EI18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8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82" s="74" t="str">
        <f aca="false">IF(NOT(Tasks[[#This Row],[_IsLeaf]]=1),"",IF(N(Tasks[[#This Row],[Duration]])&lt;=0,Tasks[[#This Row],[_LeafLateFinish]],WORKDAY.INTL(Tasks[[#This Row],[_LeafLateFinish]],-(Tasks[[#This Row],[Duration]]-1),WorkWeek,Holidays)))</f>
        <v/>
      </c>
      <c r="EL18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82" s="73" t="b">
        <f aca="false">AND(Tasks[[#This Row],[_IsLeaf]]=1,Tasks[[#This Row],[_LeafProgress]]&lt;1,N(Tasks[[#This Row],[_LeafTotalSlack]])&lt;=CriticalSlackDays)</f>
        <v>0</v>
      </c>
      <c r="EN182" s="45" t="n">
        <f aca="false">IF(AND(Tasks[[#This Row],[_IsLeaf]]=1,Tasks[[#This Row],[_ConstraintCode]]=1,Tasks[[#This Row],[Mode]]&lt;&gt;"Manual",N(Tasks[[#This Row],[Actual Start]])=0),MAX(0,N(Tasks[[#This Row],[Free Slack]])),0)</f>
        <v>0</v>
      </c>
      <c r="EO182" s="74" t="str">
        <f aca="false">IF(NOT(Tasks[[#This Row],[_IsLeaf]]=1),"",IF(Tasks[[#This Row],[_AlapShift]]=0,Tasks[[#This Row],[_LeafCalcStart]],WORKDAY.INTL(Tasks[[#This Row],[_LeafCalcStart]],Tasks[[#This Row],[_AlapShift]],WorkWeek,Holidays)))</f>
        <v/>
      </c>
      <c r="EP182" s="74" t="str">
        <f aca="false">IF(NOT(Tasks[[#This Row],[_IsLeaf]]=1),"",IF(Tasks[[#This Row],[_AlapShift]]=0,Tasks[[#This Row],[_LeafCalcFinish]],WORKDAY.INTL(Tasks[[#This Row],[_LeafCalcFinish]],Tasks[[#This Row],[_AlapShift]],WorkWeek,Holidays)))</f>
        <v/>
      </c>
      <c r="EQ182" s="74" t="str">
        <f aca="false">IF(NOT(Tasks[[#This Row],[_IsLeaf]]=1),"",IF(Tasks[[#This Row],[_AlapShift]]=0,Tasks[[#This Row],[_LeafFcstStart]],WORKDAY.INTL(Tasks[[#This Row],[_LeafFcstStart]],Tasks[[#This Row],[_AlapShift]],WorkWeek,Holidays)))</f>
        <v/>
      </c>
      <c r="ER182" s="74" t="str">
        <f aca="false">IF(NOT(Tasks[[#This Row],[_IsLeaf]]=1),"",IF(Tasks[[#This Row],[_AlapShift]]=0,Tasks[[#This Row],[_LeafFcstFinish]],WORKDAY.INTL(Tasks[[#This Row],[_LeafFcstFinish]],Tasks[[#This Row],[_AlapShift]],WorkWeek,Holidays)))</f>
        <v/>
      </c>
      <c r="ES182" s="74" t="str">
        <f aca="false">IF(Tasks[[#This Row],[Task Name]]="","",IF(Tasks[[#This Row],[_IsSummary]],MIN(INDEX(Tasks[_ShownCalcStart],Tasks[[#This Row],[_Row]]+1):INDEX(Tasks[_ShownCalcStart],Tasks[[#This Row],[_Row]]+Tasks[[#This Row],[_Descendants]])),Tasks[[#This Row],[_ShownCalcStart]]))</f>
        <v/>
      </c>
      <c r="ET182" s="74" t="str">
        <f aca="false">IF(Tasks[[#This Row],[Task Name]]="","",IF(Tasks[[#This Row],[_IsSummary]],MAX(INDEX(Tasks[_ShownCalcFinish],Tasks[[#This Row],[_Row]]+1):INDEX(Tasks[_ShownCalcFinish],Tasks[[#This Row],[_Row]]+Tasks[[#This Row],[_Descendants]])),Tasks[[#This Row],[_ShownCalcFinish]]))</f>
        <v/>
      </c>
      <c r="EU18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8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8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8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8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8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8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8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8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8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8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8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82" s="45" t="n">
        <f aca="false">IF(AND(Tasks[[#This Row],[_IsLeaf]]=1,Tasks[[#This Row],[_LeafTotalWork]]&gt;0),NETWORKDAYS.INTL(ProjectStart,Tasks[[#This Row],[_ShownFcstStart]],WorkWeek,Holidays),0)</f>
        <v>0</v>
      </c>
      <c r="FH182" s="45" t="n">
        <f aca="false">IF(AND(Tasks[[#This Row],[_IsLeaf]]=1,Tasks[[#This Row],[_LeafTotalWork]]&gt;0),MAX(Tasks[[#This Row],[_StartWorkday]],NETWORKDAYS.INTL(ProjectStart,Tasks[[#This Row],[_ShownFcstFinish]],WorkWeek,Holidays)),0)</f>
        <v>0</v>
      </c>
      <c r="FI182" s="45" t="n">
        <f aca="false">IF(AND(Tasks[[#This Row],[_IsLeaf]]=1,Tasks[[#This Row],[_LeafTotalWork]]&gt;0),Tasks[[#This Row],[_LeafWork]]/(Tasks[[#This Row],[_FinishWorkday]]-Tasks[[#This Row],[_StartWorkday]]+1),0)</f>
        <v>0</v>
      </c>
      <c r="FJ182" s="45" t="n">
        <f aca="false">Tasks[[#This Row],[_WorkPerWorkday]]*(Tasks[[#This Row],[_StartWorkday]]-1)</f>
        <v>-0</v>
      </c>
      <c r="FK182" s="45" t="n">
        <f aca="false">IF(Tasks[[#This Row],[_IsLeaf]]=1,MAX(N(Tasks[[#This Row],[Duration]]),0.1),0)</f>
        <v>0</v>
      </c>
      <c r="FL182" s="45" t="n">
        <f aca="false">Tasks[[#This Row],[_WeightDur]]*Tasks[[#This Row],[_LeafProgress]]</f>
        <v>0</v>
      </c>
      <c r="FM18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82" s="45" t="str">
        <f aca="false">IF(AND(Tasks[[#This Row],[_IsLeaf]]=1,N(Tasks[[#This Row],[Duration]])=0,Tasks[[#This Row],[_LeafProgress]]&lt;1),Tasks[[#This Row],[_ShownFcstFinish]]+Tasks[[#This Row],[_Row]]/100000,"")</f>
        <v/>
      </c>
      <c r="FO18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82" s="45" t="n">
        <f aca="false">IF(NOT(Tasks[[#This Row],[_IsLeaf]]=1),0,IF(Tasks[[#This Row],[Baseline Cost]]="",Tasks[[#This Row],[_LeafTotalCost]],N(Tasks[[#This Row],[Baseline Cost]])))</f>
        <v>0</v>
      </c>
      <c r="FQ182" s="45" t="n">
        <f aca="false">Tasks[[#This Row],[_LeafBudget]]*Tasks[[#This Row],[_PlannedPct]]</f>
        <v>0</v>
      </c>
      <c r="FR182" s="45" t="n">
        <f aca="false">Tasks[[#This Row],[_LeafBudget]]*Tasks[[#This Row],[_LeafProgress]]</f>
        <v>0</v>
      </c>
      <c r="FS182" s="45" t="n">
        <f aca="false">IF(NOT(Tasks[[#This Row],[_IsLeaf]]=1),0,IF(Tasks[[#This Row],[Actual Cost]]="",Tasks[[#This Row],[_LeafTotalCost]]*Tasks[[#This Row],[_LeafProgress]],N(Tasks[[#This Row],[Actual Cost]])))</f>
        <v>0</v>
      </c>
      <c r="FT182" s="45" t="str">
        <f aca="false">IF(Tasks[[#This Row],[Task Name]]="","",LEFT(Tasks[[#This Row],[WBS]],FIND(".",Tasks[[#This Row],[WBS]]&amp;".")-1))</f>
        <v/>
      </c>
      <c r="FU182" s="45" t="str">
        <f aca="false">IF(AND(Tasks[[#This Row],[Task Name]]&lt;&gt;"",Tasks[[#This Row],[_Level]]=1),Tasks[[#This Row],[_Row]],"")</f>
        <v/>
      </c>
      <c r="FV182" s="45" t="str">
        <f aca="false">IF(AND(Tasks[[#This Row],[_IsLeaf]]=1,N(Tasks[[#This Row],[Duration]])=0),Tasks[[#This Row],[Planned Finish]]+Tasks[[#This Row],[_Row]]/100000,"")</f>
        <v/>
      </c>
      <c r="FW182" s="45" t="str">
        <f aca="false">IF(AND(Tasks[[#This Row],[_IsLeaf]]=1,Tasks[[#This Row],[_LeafProgress]]&lt;1,OR(N(Tasks[[#This Row],[Finish Var]])&gt;0,Tasks[[#This Row],[Status]]="Late Start")),MAX(0,Tasks[[#This Row],[Finish Var]])+1-Tasks[[#This Row],[_Row]]/1000000,"")</f>
        <v/>
      </c>
      <c r="FX182" s="45" t="str">
        <f aca="false">IF(AND(Tasks[[#This Row],[_IsLeaf]]=1,N(Tasks[[#This Row],[Actual Start]])=0,Tasks[[#This Row],[_ShownFcstStart]]&gt;=StatusDate,Tasks[[#This Row],[_ShownFcstStart]]&lt;=LookaheadEnd),Tasks[[#This Row],[_ShownFcstStart]]+Tasks[[#This Row],[_Row]]/100000,"")</f>
        <v/>
      </c>
      <c r="FY182" s="45" t="str">
        <f aca="false">IF(AND(Tasks[[#This Row],[_IsLeaf]]=1,Tasks[[#This Row],[_LeafProgress]]&lt;1,Tasks[[#This Row],[_ShownFcstFinish]]&gt;=StatusDate,Tasks[[#This Row],[_ShownFcstFinish]]&lt;=LookaheadEnd),Tasks[[#This Row],[_ShownFcstFinish]]+Tasks[[#This Row],[_Row]]/100000,"")</f>
        <v/>
      </c>
      <c r="FZ182" s="45" t="str">
        <f aca="false">IF(Tasks[[#This Row],[_LeafCritical]],Tasks[[#This Row],[_ShownFcstStart]]+Tasks[[#This Row],[_Row]]/100000,"")</f>
        <v/>
      </c>
      <c r="GA182" s="45" t="n">
        <f aca="false">Tasks[[#This Row],[_LeafWork]]*Tasks[[#This Row],[_LeafProgress]]</f>
        <v>0</v>
      </c>
      <c r="GB182" s="74" t="str">
        <f aca="false">IF(AND(Tasks[[#This Row],[_IsLeaf]]=1,Tasks[[#This Row],[_LeafProgress]]&gt;=1),IF(N(Tasks[[#This Row],[Actual Finish]])&gt;0,Tasks[[#This Row],[Actual Finish]],Tasks[[#This Row],[_ShownFcstFinish]]),"")</f>
        <v/>
      </c>
    </row>
    <row r="183" customFormat="false" ht="15" hidden="false" customHeight="false" outlineLevel="0" collapsed="false">
      <c r="A183" s="67" t="str">
        <f aca="false">IF(Tasks[[#This Row],[Task Name]]="","",COUNTA(Tasks[[#Headers],[Task Name]]:Tasks[[#This Row],[Task Name]])-1)</f>
        <v/>
      </c>
      <c r="B183" s="21" t="n">
        <v>178</v>
      </c>
      <c r="C18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21"/>
      <c r="E183" s="22"/>
      <c r="F183" s="21"/>
      <c r="G183" s="22"/>
      <c r="H183" s="22"/>
      <c r="I183" s="22"/>
      <c r="J183" s="7"/>
      <c r="K183" s="7"/>
      <c r="L183" s="22"/>
      <c r="M183" s="58" t="str">
        <f aca="false">IF(Tasks[[#This Row],[Task Name]]="","",IF(Tasks[[#This Row],[_IsSummary]],MIN(INDEX(Tasks[_ShownFcstStart],Tasks[[#This Row],[_Row]]+1):INDEX(Tasks[_ShownFcstStart],Tasks[[#This Row],[_Row]]+Tasks[[#This Row],[_Descendants]])),Tasks[[#This Row],[_ShownFcstStart]]))</f>
        <v/>
      </c>
      <c r="N183" s="58" t="str">
        <f aca="false">IF(Tasks[[#This Row],[Task Name]]="","",IF(Tasks[[#This Row],[_IsSummary]],MAX(INDEX(Tasks[_ShownFcstFinish],Tasks[[#This Row],[_Row]]+1):INDEX(Tasks[_ShownFcstFinish],Tasks[[#This Row],[_Row]]+Tasks[[#This Row],[_Descendants]])),Tasks[[#This Row],[_ShownFcstFinish]]))</f>
        <v/>
      </c>
      <c r="O183" s="20" t="str">
        <f aca="false">IF(Tasks[[#This Row],[Task Name]]="","",IF(Tasks[[#This Row],[Progress]]&gt;=1,"Complete",IF(OR(N(Tasks[[#This Row],[Actual Start]])&gt;0,Tasks[[#This Row],[Progress]]&gt;0),IF(Tasks[[#This Row],[Finish Var]]&gt;0,"Behind","In Progress"),IF(Tasks[[#This Row],[Planned Start]]&lt;StatusDate,"Late Start","Not Started"))))</f>
        <v/>
      </c>
      <c r="P183" s="20" t="str">
        <f aca="false">IF(Tasks[[#This Row],[Task Name]]="","",IF(IF(Tasks[[#This Row],[_IsSummary]],COUNTIF(INDEX(Tasks[_LeafCritical],Tasks[[#This Row],[_Row]]+1):INDEX(Tasks[_LeafCritical],Tasks[[#This Row],[_Row]]+Tasks[[#This Row],[_Descendants]]),TRUE())&gt;0,Tasks[[#This Row],[_LeafCritical]]),"Yes",""))</f>
        <v/>
      </c>
      <c r="Q18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83" s="67" t="str">
        <f aca="false">IF(Tasks[[#This Row],[Task Name]]="","",IF(Tasks[[#This Row],[_Level]]&lt;=OutlineShowLevel,"Yes","No"))</f>
        <v/>
      </c>
      <c r="S183" s="7"/>
      <c r="T183" s="21"/>
      <c r="U183" s="22"/>
      <c r="V183" s="7"/>
      <c r="W183" s="67" t="str">
        <f aca="false">IF(Tasks[[#This Row],[Task Name]]="","",IF(Tasks[[#This Row],[Finish]]&gt;=Tasks[[#This Row],[Planned Finish]],NETWORKDAYS.INTL(Tasks[[#This Row],[Planned Finish]],Tasks[[#This Row],[Finish]],WorkWeek,Holidays)-1,1-NETWORKDAYS.INTL(Tasks[[#This Row],[Finish]],Tasks[[#This Row],[Planned Finish]],WorkWeek,Holidays)))</f>
        <v/>
      </c>
      <c r="X183" s="58" t="str">
        <f aca="false">IF(Tasks[[#This Row],[Task Name]]="","",IF(N(Tasks[[#This Row],[Baseline Start]])&gt;0,Tasks[[#This Row],[Baseline Start]],Tasks[[#This Row],[_CalcStart]]))</f>
        <v/>
      </c>
      <c r="Y183" s="58" t="str">
        <f aca="false">IF(Tasks[[#This Row],[Task Name]]="","",IF(N(Tasks[[#This Row],[Baseline Finish]])&gt;0,Tasks[[#This Row],[Baseline Finish]],Tasks[[#This Row],[_CalcFinish]]))</f>
        <v/>
      </c>
      <c r="Z183" s="67" t="str">
        <f aca="false">IF(Tasks[[#This Row],[Task Name]]="","",IF(Tasks[[#This Row],[Start]]&gt;=Tasks[[#This Row],[Planned Start]],NETWORKDAYS.INTL(Tasks[[#This Row],[Planned Start]],Tasks[[#This Row],[Start]],WorkWeek,Holidays)-1,1-NETWORKDAYS.INTL(Tasks[[#This Row],[Start]],Tasks[[#This Row],[Planned Start]],WorkWeek,Holidays)))</f>
        <v/>
      </c>
      <c r="AA183" s="58" t="str">
        <f aca="false">IF(Tasks[[#This Row],[Task Name]]="","",IF(Tasks[[#This Row],[_IsSummary]],MIN(INDEX(Tasks[_LeafLateStart],Tasks[[#This Row],[_Row]]+1):INDEX(Tasks[_LeafLateStart],Tasks[[#This Row],[_Row]]+Tasks[[#This Row],[_Descendants]])),Tasks[[#This Row],[_LeafLateStart]]))</f>
        <v/>
      </c>
      <c r="AB183" s="58" t="str">
        <f aca="false">IF(Tasks[[#This Row],[Task Name]]="","",IF(Tasks[[#This Row],[_IsSummary]],MAX(INDEX(Tasks[_LeafLateFinish],Tasks[[#This Row],[_Row]]+1):INDEX(Tasks[_LeafLateFinish],Tasks[[#This Row],[_Row]]+Tasks[[#This Row],[_Descendants]])),Tasks[[#This Row],[_LeafLateFinish]]))</f>
        <v/>
      </c>
      <c r="AC183" s="67" t="str">
        <f aca="false">IF(Tasks[[#This Row],[Task Name]]="","",IF(Tasks[[#This Row],[_IsSummary]],MIN(INDEX(Tasks[_LeafTotalSlack],Tasks[[#This Row],[_Row]]+1):INDEX(Tasks[_LeafTotalSlack],Tasks[[#This Row],[_Row]]+Tasks[[#This Row],[_Descendants]])),Tasks[[#This Row],[_LeafTotalSlack]]))</f>
        <v/>
      </c>
      <c r="AD18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8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8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83" s="60"/>
      <c r="AH18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8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83" s="69" t="str">
        <f aca="false">IF(Tasks[[#This Row],[Task Name]]="","",IF(Tasks[[#This Row],[_IsSummary]],SUM(INDEX(Tasks[_LeafTotalWork],Tasks[[#This Row],[_Row]]+1):INDEX(Tasks[_LeafTotalWork],Tasks[[#This Row],[_Row]]+Tasks[[#This Row],[_Descendants]])),Tasks[[#This Row],[_LeafTotalWork]]))</f>
        <v/>
      </c>
      <c r="AK18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83" s="70" t="str">
        <f aca="false">IF(Tasks[[#This Row],[Task Name]]="","",IF(Tasks[[#This Row],[_IsSummary]],SUM(INDEX(Tasks[_LeafTotalCost],Tasks[[#This Row],[_Row]]+1):INDEX(Tasks[_LeafTotalCost],Tasks[[#This Row],[_Row]]+Tasks[[#This Row],[_Descendants]])),Tasks[[#This Row],[_LeafTotalCost]]))</f>
        <v/>
      </c>
      <c r="AM183" s="71"/>
      <c r="AN183" s="20" t="str">
        <f aca="false">IF(OR(Tasks[[#This Row],[Task Name]]="",Tasks[[#This Row],[Baseline Duration]]=""),"",Tasks[[#This Row],[BL Source Duration]]-N(Tasks[[#This Row],[Baseline Duration]]))</f>
        <v/>
      </c>
      <c r="AO183" s="69" t="str">
        <f aca="false">IF(OR(Tasks[[#This Row],[Task Name]]="",Tasks[[#This Row],[Baseline Work]]=""),"",Tasks[[#This Row],[Work]]-N(Tasks[[#This Row],[Baseline Work]]))</f>
        <v/>
      </c>
      <c r="AP183" s="70" t="str">
        <f aca="false">IF(OR(Tasks[[#This Row],[Task Name]]="",Tasks[[#This Row],[Baseline Cost]]=""),"",Tasks[[#This Row],[Cost]]-N(Tasks[[#This Row],[Baseline Cost]]))</f>
        <v/>
      </c>
      <c r="AQ183" s="58" t="str">
        <f aca="false">IF(Tasks[[#This Row],[Task Name]]="","",Tasks[[#This Row],[Start]])</f>
        <v/>
      </c>
      <c r="AR183" s="58" t="str">
        <f aca="false">IF(Tasks[[#This Row],[Task Name]]="","",Tasks[[#This Row],[Finish]])</f>
        <v/>
      </c>
      <c r="AS183" s="67" t="str">
        <f aca="false">IF(Tasks[[#This Row],[Task Name]]="","",IF(Tasks[[#This Row],[_IsSummary]],NETWORKDAYS.INTL(Tasks[[#This Row],[Start]],Tasks[[#This Row],[Finish]],WorkWeek,Holidays),N(Tasks[[#This Row],[Duration]])))</f>
        <v/>
      </c>
      <c r="AT183" s="69" t="str">
        <f aca="false">IF(Tasks[[#This Row],[Task Name]]="","",Tasks[[#This Row],[Work]])</f>
        <v/>
      </c>
      <c r="AU183" s="70" t="str">
        <f aca="false">IF(Tasks[[#This Row],[Task Name]]="","",Tasks[[#This Row],[Cost]])</f>
        <v/>
      </c>
      <c r="AV183" s="7"/>
      <c r="AW183" s="7"/>
      <c r="AX183" s="21"/>
      <c r="AY183" s="72"/>
      <c r="AZ183" s="71"/>
      <c r="BA183" s="70" t="str">
        <f aca="false">IF(Tasks[[#This Row],[Task Name]]="","",IF(Tasks[[#This Row],[_IsSummary]],SUM(INDEX(Tasks[_LeafEV],Tasks[[#This Row],[_Row]]+1):INDEX(Tasks[_LeafEV],Tasks[[#This Row],[_Row]]+Tasks[[#This Row],[_Descendants]])),Tasks[[#This Row],[_LeafEV]]))</f>
        <v/>
      </c>
      <c r="BB183" s="70" t="str">
        <f aca="false">IF(Tasks[[#This Row],[Task Name]]="","",IF(Tasks[[#This Row],[_IsSummary]],SUM(INDEX(Tasks[_LeafBudget],Tasks[[#This Row],[_Row]]+1):INDEX(Tasks[_LeafBudget],Tasks[[#This Row],[_Row]]+Tasks[[#This Row],[_Descendants]])),Tasks[[#This Row],[_LeafBudget]]))</f>
        <v/>
      </c>
      <c r="BC183" s="70" t="str">
        <f aca="false">IF(Tasks[[#This Row],[Task Name]]="","",IF(Tasks[[#This Row],[_IsSummary]],SUM(INDEX(Tasks[_LeafPV],Tasks[[#This Row],[_Row]]+1):INDEX(Tasks[_LeafPV],Tasks[[#This Row],[_Row]]+Tasks[[#This Row],[_Descendants]])),Tasks[[#This Row],[_LeafPV]]))</f>
        <v/>
      </c>
      <c r="BD183" s="70" t="str">
        <f aca="false">IF(Tasks[[#This Row],[Task Name]]="","",IF(Tasks[[#This Row],[_IsSummary]],SUM(INDEX(Tasks[_LeafAC],Tasks[[#This Row],[_Row]]+1):INDEX(Tasks[_LeafAC],Tasks[[#This Row],[_Row]]+Tasks[[#This Row],[_Descendants]])),Tasks[[#This Row],[_LeafAC]]))</f>
        <v/>
      </c>
      <c r="BE183" s="45" t="str">
        <f aca="false">IF(Tasks[[#This Row],[Task Name]]="","",MAX(1,N(Tasks[[#This Row],[Level]])))</f>
        <v/>
      </c>
      <c r="BF183" s="45" t="n">
        <f aca="false">ROW()-ROW(Tasks[[#Headers],[ID]])</f>
        <v>178</v>
      </c>
      <c r="BG183" s="45" t="n">
        <f aca="false">IF(OR(Tasks[[#This Row],[Task Name]]="",Tasks[[#This Row],[_Level]]&lt;=1),0,IFERROR(LOOKUP(2,1/(Tasks[[#Headers],[_Level]]:Tasks[[#This Row],[_Level]]=Tasks[[#This Row],[_Level]]-1),ROW(Tasks[[#Headers],[_Level]]:Tasks[[#This Row],[_Level]])),0))</f>
        <v>0</v>
      </c>
      <c r="BH183" s="45" t="n">
        <f aca="false">IFERROR(N(INDEX(Tasks[_Level],Tasks[[#This Row],[_Row]]+1)),0)</f>
        <v>0</v>
      </c>
      <c r="BI183" s="73" t="b">
        <f aca="false">AND(Tasks[[#This Row],[Task Name]]&lt;&gt;"",Tasks[[#This Row],[_NextLevel]]&gt;Tasks[[#This Row],[_Level]])</f>
        <v>0</v>
      </c>
      <c r="BJ183" s="45" t="n">
        <f aca="false">IF(Tasks[[#This Row],[_IsSummary]],COUNTIF(Tasks[WBS],Tasks[[#This Row],[WBS]]&amp;".*"),0)</f>
        <v>0</v>
      </c>
      <c r="BK183" s="45" t="n">
        <f aca="false">IF(AND(Tasks[[#This Row],[Task Name]]&lt;&gt;"",NOT(Tasks[[#This Row],[_IsSummary]])),1,0)</f>
        <v>0</v>
      </c>
      <c r="BL183" s="45" t="n">
        <f aca="false">IF(N(Tasks[[#This Row],[_Pred1UID]])=0,0,IFERROR(MATCH(Tasks[[#This Row],[_Pred1UID]],Tasks[UID],0),-1))</f>
        <v>0</v>
      </c>
      <c r="BM183" s="45" t="n">
        <f aca="false">IF(N(Tasks[[#This Row],[_Pred2UID]])=0,0,IFERROR(MATCH(Tasks[[#This Row],[_Pred2UID]],Tasks[UID],0),-1))</f>
        <v>0</v>
      </c>
      <c r="BN183" s="45" t="n">
        <f aca="false">IF(N(Tasks[[#This Row],[_Pred3UID]])=0,0,IFERROR(MATCH(Tasks[[#This Row],[_Pred3UID]],Tasks[UID],0),-1))</f>
        <v>0</v>
      </c>
      <c r="BO183" s="45" t="n">
        <f aca="false">IF(N(Tasks[[#This Row],[_Pred4UID]])=0,0,IFERROR(MATCH(Tasks[[#This Row],[_Pred4UID]],Tasks[UID],0),-1))</f>
        <v>0</v>
      </c>
      <c r="BP18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8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83" s="74" t="n">
        <f aca="false">IF(OR(Tasks[[#This Row],[_ConstraintCode]]=2,Tasks[[#This Row],[_ConstraintCode]]=3,Tasks[[#This Row],[_ConstraintCode]]=4,Tasks[[#This Row],[_ConstraintCode]]=6),Tasks[[#This Row],[_ConstraintStart]],0)</f>
        <v>0</v>
      </c>
      <c r="BS183" s="74" t="n">
        <f aca="false">IF(OR(Tasks[[#This Row],[_ConstraintCode]]=2,Tasks[[#This Row],[_ConstraintCode]]=3,Tasks[[#This Row],[_ConstraintCode]]=5,Tasks[[#This Row],[_ConstraintCode]]=7),Tasks[[#This Row],[_ConstraintStart]],2958465)</f>
        <v>2958465</v>
      </c>
      <c r="BT18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83" s="74" t="str">
        <f aca="false">IF(NOT(Tasks[[#This Row],[_IsLeaf]]=1),"",IF(N(Tasks[[#This Row],[Duration]])&lt;=0,Tasks[[#This Row],[_LeafCalcStart]],WORKDAY.INTL(Tasks[[#This Row],[_LeafCalcStart]],Tasks[[#This Row],[Duration]]-1,WorkWeek,Holidays)))</f>
        <v/>
      </c>
      <c r="BV18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8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83" s="45" t="str">
        <f aca="false">IF(Tasks[[#This Row],[Predecessors]]="","",TRIM(MID(SUBSTITUTE(SUBSTITUTE(SUBSTITUTE(UPPER(Tasks[[#This Row],[Predecessors]]),";",",")," ",""),",",REPT(" ",99)),1,99)))</f>
        <v/>
      </c>
      <c r="BY183" s="45" t="str">
        <f aca="false">IF(Tasks[[#This Row],[_Pred1Text]]="","",IFERROR(VALUE(LEFT(Tasks[[#This Row],[_Pred1Text]],MIN(FIND("F",Tasks[[#This Row],[_Pred1Text]]&amp;"F"),FIND("S",Tasks[[#This Row],[_Pred1Text]]&amp;"S"),FIND("+",Tasks[[#This Row],[_Pred1Text]]&amp;"+"),FIND("-",Tasks[[#This Row],[_Pred1Text]]&amp;"-"))-1)),""))</f>
        <v/>
      </c>
      <c r="BZ18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8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83" s="45" t="str">
        <f aca="false">IF(Tasks[[#This Row],[_Pred1Text]]="","",TRIM(MID(SUBSTITUTE(SUBSTITUTE(SUBSTITUTE(UPPER(Tasks[[#This Row],[Predecessors]]),";",",")," ",""),",",REPT(" ",99)),100,99)))</f>
        <v/>
      </c>
      <c r="CC183" s="45" t="str">
        <f aca="false">IF(Tasks[[#This Row],[_Pred2Text]]="","",IFERROR(VALUE(LEFT(Tasks[[#This Row],[_Pred2Text]],MIN(FIND("F",Tasks[[#This Row],[_Pred2Text]]&amp;"F"),FIND("S",Tasks[[#This Row],[_Pred2Text]]&amp;"S"),FIND("+",Tasks[[#This Row],[_Pred2Text]]&amp;"+"),FIND("-",Tasks[[#This Row],[_Pred2Text]]&amp;"-"))-1)),""))</f>
        <v/>
      </c>
      <c r="CD18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8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83" s="45" t="str">
        <f aca="false">IF(Tasks[[#This Row],[_Pred2Text]]="","",TRIM(MID(SUBSTITUTE(SUBSTITUTE(SUBSTITUTE(UPPER(Tasks[[#This Row],[Predecessors]]),";",",")," ",""),",",REPT(" ",99)),199,99)))</f>
        <v/>
      </c>
      <c r="CG183" s="45" t="str">
        <f aca="false">IF(Tasks[[#This Row],[_Pred3Text]]="","",IFERROR(VALUE(LEFT(Tasks[[#This Row],[_Pred3Text]],MIN(FIND("F",Tasks[[#This Row],[_Pred3Text]]&amp;"F"),FIND("S",Tasks[[#This Row],[_Pred3Text]]&amp;"S"),FIND("+",Tasks[[#This Row],[_Pred3Text]]&amp;"+"),FIND("-",Tasks[[#This Row],[_Pred3Text]]&amp;"-"))-1)),""))</f>
        <v/>
      </c>
      <c r="CH18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8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83" s="45" t="str">
        <f aca="false">IF(Tasks[[#This Row],[_Pred3Text]]="","",TRIM(MID(SUBSTITUTE(SUBSTITUTE(SUBSTITUTE(UPPER(Tasks[[#This Row],[Predecessors]]),";",",")," ",""),",",REPT(" ",99)),298,99)))</f>
        <v/>
      </c>
      <c r="CK183" s="45" t="str">
        <f aca="false">IF(Tasks[[#This Row],[_Pred4Text]]="","",IFERROR(VALUE(LEFT(Tasks[[#This Row],[_Pred4Text]],MIN(FIND("F",Tasks[[#This Row],[_Pred4Text]]&amp;"F"),FIND("S",Tasks[[#This Row],[_Pred4Text]]&amp;"S"),FIND("+",Tasks[[#This Row],[_Pred4Text]]&amp;"+"),FIND("-",Tasks[[#This Row],[_Pred4Text]]&amp;"-"))-1)),""))</f>
        <v/>
      </c>
      <c r="CL18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8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83" s="45" t="str">
        <f aca="false">IF(OR(Tasks[[#This Row],[Task Name]]="",Tasks[[#This Row],[Resources]]=""),"",TRIM(MID(SUBSTITUTE(Tasks[[#This Row],[Resources]],",",REPT(" ",99)),1,99)))</f>
        <v/>
      </c>
      <c r="CO183" s="45" t="str">
        <f aca="false">IF(Tasks[[#This Row],[_Res1Text]]="","",TRIM(MID(SUBSTITUTE(Tasks[[#This Row],[Resources]],",",REPT(" ",99)),100,99)))</f>
        <v/>
      </c>
      <c r="CP183" s="45" t="str">
        <f aca="false">IF(Tasks[[#This Row],[_Res2Text]]="","",TRIM(MID(SUBSTITUTE(Tasks[[#This Row],[Resources]],",",REPT(" ",99)),199,99)))</f>
        <v/>
      </c>
      <c r="CQ183" s="45" t="str">
        <f aca="false">IF(Tasks[[#This Row],[_Res3Text]]="","",TRIM(MID(SUBSTITUTE(Tasks[[#This Row],[Resources]],",",REPT(" ",99)),298,99)))</f>
        <v/>
      </c>
      <c r="CR18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8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3" s="45" t="n">
        <f aca="false">IF(NOT(Tasks[[#This Row],[_IsLeaf]]=1),0,(Tasks[[#This Row],[_Resource1]]&lt;&gt;"")+(Tasks[[#This Row],[_Res2]]&lt;&gt;"")+(Tasks[[#This Row],[_Res3]]&lt;&gt;"")+(Tasks[[#This Row],[_Res4]]&lt;&gt;""))</f>
        <v>0</v>
      </c>
      <c r="CU18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8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3" s="45" t="n">
        <f aca="false">IF(OR(NOT(Tasks[[#This Row],[_IsLeaf]]=1),Tasks[[#This Row],[_Res2]]=""),0,IF(ISNA(MATCH(Tasks[[#This Row],[_Res2]],res_Name,0)),0,N(Tasks[[#This Row],[Duration]])*HoursPerDay*IF(Tasks[[#This Row],[_Res2Units]]="",DefaultUnits,Tasks[[#This Row],[_Res2Units]])))</f>
        <v>0</v>
      </c>
      <c r="CX183" s="45" t="n">
        <f aca="false">IF(Tasks[[#This Row],[_Res2Work]]=0,0,Tasks[[#This Row],[_Res2Work]]*IFERROR(INDEX(res_Rate,MATCH(Tasks[[#This Row],[_Res2]],res_Name,0)),0))</f>
        <v>0</v>
      </c>
      <c r="CY183" s="45" t="n">
        <f aca="false">IF(AND(AND(Tasks[[#This Row],[_IsLeaf]]=1,Tasks[[#This Row],[_LeafTotalWork]]&gt;0),Tasks[[#This Row],[_Res2Work]]&gt;0),Tasks[[#This Row],[_Res2Work]]/(Tasks[[#This Row],[_FinishWorkday]]-Tasks[[#This Row],[_StartWorkday]]+1),0)</f>
        <v>0</v>
      </c>
      <c r="CZ183" s="45" t="n">
        <f aca="false">Tasks[[#This Row],[_Res2WorkPerWD]]*MAX(0,Tasks[[#This Row],[_StartWorkday]]-1)</f>
        <v>0</v>
      </c>
      <c r="DA183" s="45" t="n">
        <f aca="false">Tasks[[#This Row],[_Res2Work]]*Tasks[[#This Row],[_LeafProgress]]</f>
        <v>0</v>
      </c>
      <c r="DB183" s="45" t="n">
        <f aca="false">IF(Tasks[[#This Row],[_LeafTotalCost]]=0,0,Tasks[[#This Row],[_LeafAC]]*Tasks[[#This Row],[_Res2Cost]]/Tasks[[#This Row],[_LeafTotalCost]])</f>
        <v>0</v>
      </c>
      <c r="DC18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8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83" s="45" t="n">
        <f aca="false">IF(OR(NOT(Tasks[[#This Row],[_IsLeaf]]=1),Tasks[[#This Row],[_Res3]]=""),0,IF(ISNA(MATCH(Tasks[[#This Row],[_Res3]],res_Name,0)),0,N(Tasks[[#This Row],[Duration]])*HoursPerDay*IF(Tasks[[#This Row],[_Res3Units]]="",DefaultUnits,Tasks[[#This Row],[_Res3Units]])))</f>
        <v>0</v>
      </c>
      <c r="DF183" s="45" t="n">
        <f aca="false">IF(Tasks[[#This Row],[_Res3Work]]=0,0,Tasks[[#This Row],[_Res3Work]]*IFERROR(INDEX(res_Rate,MATCH(Tasks[[#This Row],[_Res3]],res_Name,0)),0))</f>
        <v>0</v>
      </c>
      <c r="DG183" s="45" t="n">
        <f aca="false">IF(AND(AND(Tasks[[#This Row],[_IsLeaf]]=1,Tasks[[#This Row],[_LeafTotalWork]]&gt;0),Tasks[[#This Row],[_Res3Work]]&gt;0),Tasks[[#This Row],[_Res3Work]]/(Tasks[[#This Row],[_FinishWorkday]]-Tasks[[#This Row],[_StartWorkday]]+1),0)</f>
        <v>0</v>
      </c>
      <c r="DH183" s="45" t="n">
        <f aca="false">Tasks[[#This Row],[_Res3WorkPerWD]]*MAX(0,Tasks[[#This Row],[_StartWorkday]]-1)</f>
        <v>0</v>
      </c>
      <c r="DI183" s="45" t="n">
        <f aca="false">Tasks[[#This Row],[_Res3Work]]*Tasks[[#This Row],[_LeafProgress]]</f>
        <v>0</v>
      </c>
      <c r="DJ183" s="45" t="n">
        <f aca="false">IF(Tasks[[#This Row],[_LeafTotalCost]]=0,0,Tasks[[#This Row],[_LeafAC]]*Tasks[[#This Row],[_Res3Cost]]/Tasks[[#This Row],[_LeafTotalCost]])</f>
        <v>0</v>
      </c>
      <c r="DK18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8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83" s="45" t="n">
        <f aca="false">IF(OR(NOT(Tasks[[#This Row],[_IsLeaf]]=1),Tasks[[#This Row],[_Res4]]=""),0,IF(ISNA(MATCH(Tasks[[#This Row],[_Res4]],res_Name,0)),0,N(Tasks[[#This Row],[Duration]])*HoursPerDay*IF(Tasks[[#This Row],[_Res4Units]]="",DefaultUnits,Tasks[[#This Row],[_Res4Units]])))</f>
        <v>0</v>
      </c>
      <c r="DN183" s="45" t="n">
        <f aca="false">IF(Tasks[[#This Row],[_Res4Work]]=0,0,Tasks[[#This Row],[_Res4Work]]*IFERROR(INDEX(res_Rate,MATCH(Tasks[[#This Row],[_Res4]],res_Name,0)),0))</f>
        <v>0</v>
      </c>
      <c r="DO183" s="45" t="n">
        <f aca="false">IF(AND(AND(Tasks[[#This Row],[_IsLeaf]]=1,Tasks[[#This Row],[_LeafTotalWork]]&gt;0),Tasks[[#This Row],[_Res4Work]]&gt;0),Tasks[[#This Row],[_Res4Work]]/(Tasks[[#This Row],[_FinishWorkday]]-Tasks[[#This Row],[_StartWorkday]]+1),0)</f>
        <v>0</v>
      </c>
      <c r="DP183" s="45" t="n">
        <f aca="false">Tasks[[#This Row],[_Res4WorkPerWD]]*MAX(0,Tasks[[#This Row],[_StartWorkday]]-1)</f>
        <v>0</v>
      </c>
      <c r="DQ183" s="45" t="n">
        <f aca="false">Tasks[[#This Row],[_Res4Work]]*Tasks[[#This Row],[_LeafProgress]]</f>
        <v>0</v>
      </c>
      <c r="DR183" s="45" t="n">
        <f aca="false">IF(Tasks[[#This Row],[_LeafTotalCost]]=0,0,Tasks[[#This Row],[_LeafAC]]*Tasks[[#This Row],[_Res4Cost]]/Tasks[[#This Row],[_LeafTotalCost]])</f>
        <v>0</v>
      </c>
      <c r="DS183" s="45" t="n">
        <f aca="false">IF(ISNUMBER(Tasks[[#This Row],[% Complete]]),Tasks[[#This Row],[% Complete]],IF(Tasks[[#This Row],[Stage]]="",0,IFERROR(INDEX(stg_Pct,MATCH(Tasks[[#This Row],[Stage]],stg_Name,0)),0)))</f>
        <v>0</v>
      </c>
      <c r="DT183" s="45" t="n">
        <f aca="false">IF(NOT(Tasks[[#This Row],[_IsLeaf]]=1),0,IF(N(Tasks[[#This Row],[Actual Finish]])&gt;0,1,MIN(1,Tasks[[#This Row],[_Pct]])))</f>
        <v>0</v>
      </c>
      <c r="DU183" s="45" t="n">
        <f aca="false">IF(OR(NOT(Tasks[[#This Row],[_IsLeaf]]=1),Tasks[[#This Row],[_Resource1]]=""),0,IF(ISNA(MATCH(Tasks[[#This Row],[_Resource1]],res_Name,0)),0,N(Tasks[[#This Row],[Duration]])*HoursPerDay*IF(Tasks[[#This Row],[_Units1]]="",DefaultUnits,Tasks[[#This Row],[_Units1]])))</f>
        <v>0</v>
      </c>
      <c r="DV183" s="45" t="n">
        <f aca="false">IF(Tasks[[#This Row],[_LeafWork]]=0,0,Tasks[[#This Row],[_LeafWork]]*IFERROR(INDEX(res_Rate,MATCH(Tasks[[#This Row],[_Resource1]],res_Name,0)),0))</f>
        <v>0</v>
      </c>
      <c r="DW183" s="45" t="n">
        <f aca="false">Tasks[[#This Row],[_LeafWork]]+Tasks[[#This Row],[_Res2Work]]+Tasks[[#This Row],[_Res3Work]]+Tasks[[#This Row],[_Res4Work]]</f>
        <v>0</v>
      </c>
      <c r="DX183" s="45" t="n">
        <f aca="false">Tasks[[#This Row],[_LeafCost]]+Tasks[[#This Row],[_Res2Cost]]+Tasks[[#This Row],[_Res3Cost]]+Tasks[[#This Row],[_Res4Cost]]</f>
        <v>0</v>
      </c>
      <c r="DY183" s="45" t="n">
        <f aca="false">IF(Tasks[[#This Row],[_LeafTotalCost]]=0,Tasks[[#This Row],[_LeafAC]],Tasks[[#This Row],[_LeafAC]]*Tasks[[#This Row],[_LeafCost]]/Tasks[[#This Row],[_LeafTotalCost]])</f>
        <v>0</v>
      </c>
      <c r="DZ18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8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8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8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8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8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8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8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83" s="45" t="n">
        <f aca="false">IF(NOT(Tasks[[#This Row],[_IsLeaf]]=1),0,MAX(_xlfn.MAXIFS(Tasks[_Row],Tasks[_Pred1UID],Tasks[[#This Row],[UID]]),_xlfn.MAXIFS(Tasks[_Row],Tasks[_Pred2UID],Tasks[[#This Row],[UID]]),_xlfn.MAXIFS(Tasks[_Row],Tasks[_Pred3UID],Tasks[[#This Row],[UID]]),_xlfn.MAXIFS(Tasks[_Row],Tasks[_Pred4UID],Tasks[[#This Row],[UID]])))</f>
        <v>0</v>
      </c>
      <c r="EI18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8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83" s="74" t="str">
        <f aca="false">IF(NOT(Tasks[[#This Row],[_IsLeaf]]=1),"",IF(N(Tasks[[#This Row],[Duration]])&lt;=0,Tasks[[#This Row],[_LeafLateFinish]],WORKDAY.INTL(Tasks[[#This Row],[_LeafLateFinish]],-(Tasks[[#This Row],[Duration]]-1),WorkWeek,Holidays)))</f>
        <v/>
      </c>
      <c r="EL18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83" s="73" t="b">
        <f aca="false">AND(Tasks[[#This Row],[_IsLeaf]]=1,Tasks[[#This Row],[_LeafProgress]]&lt;1,N(Tasks[[#This Row],[_LeafTotalSlack]])&lt;=CriticalSlackDays)</f>
        <v>0</v>
      </c>
      <c r="EN183" s="45" t="n">
        <f aca="false">IF(AND(Tasks[[#This Row],[_IsLeaf]]=1,Tasks[[#This Row],[_ConstraintCode]]=1,Tasks[[#This Row],[Mode]]&lt;&gt;"Manual",N(Tasks[[#This Row],[Actual Start]])=0),MAX(0,N(Tasks[[#This Row],[Free Slack]])),0)</f>
        <v>0</v>
      </c>
      <c r="EO183" s="74" t="str">
        <f aca="false">IF(NOT(Tasks[[#This Row],[_IsLeaf]]=1),"",IF(Tasks[[#This Row],[_AlapShift]]=0,Tasks[[#This Row],[_LeafCalcStart]],WORKDAY.INTL(Tasks[[#This Row],[_LeafCalcStart]],Tasks[[#This Row],[_AlapShift]],WorkWeek,Holidays)))</f>
        <v/>
      </c>
      <c r="EP183" s="74" t="str">
        <f aca="false">IF(NOT(Tasks[[#This Row],[_IsLeaf]]=1),"",IF(Tasks[[#This Row],[_AlapShift]]=0,Tasks[[#This Row],[_LeafCalcFinish]],WORKDAY.INTL(Tasks[[#This Row],[_LeafCalcFinish]],Tasks[[#This Row],[_AlapShift]],WorkWeek,Holidays)))</f>
        <v/>
      </c>
      <c r="EQ183" s="74" t="str">
        <f aca="false">IF(NOT(Tasks[[#This Row],[_IsLeaf]]=1),"",IF(Tasks[[#This Row],[_AlapShift]]=0,Tasks[[#This Row],[_LeafFcstStart]],WORKDAY.INTL(Tasks[[#This Row],[_LeafFcstStart]],Tasks[[#This Row],[_AlapShift]],WorkWeek,Holidays)))</f>
        <v/>
      </c>
      <c r="ER183" s="74" t="str">
        <f aca="false">IF(NOT(Tasks[[#This Row],[_IsLeaf]]=1),"",IF(Tasks[[#This Row],[_AlapShift]]=0,Tasks[[#This Row],[_LeafFcstFinish]],WORKDAY.INTL(Tasks[[#This Row],[_LeafFcstFinish]],Tasks[[#This Row],[_AlapShift]],WorkWeek,Holidays)))</f>
        <v/>
      </c>
      <c r="ES183" s="74" t="str">
        <f aca="false">IF(Tasks[[#This Row],[Task Name]]="","",IF(Tasks[[#This Row],[_IsSummary]],MIN(INDEX(Tasks[_ShownCalcStart],Tasks[[#This Row],[_Row]]+1):INDEX(Tasks[_ShownCalcStart],Tasks[[#This Row],[_Row]]+Tasks[[#This Row],[_Descendants]])),Tasks[[#This Row],[_ShownCalcStart]]))</f>
        <v/>
      </c>
      <c r="ET183" s="74" t="str">
        <f aca="false">IF(Tasks[[#This Row],[Task Name]]="","",IF(Tasks[[#This Row],[_IsSummary]],MAX(INDEX(Tasks[_ShownCalcFinish],Tasks[[#This Row],[_Row]]+1):INDEX(Tasks[_ShownCalcFinish],Tasks[[#This Row],[_Row]]+Tasks[[#This Row],[_Descendants]])),Tasks[[#This Row],[_ShownCalcFinish]]))</f>
        <v/>
      </c>
      <c r="EU18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8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8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8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8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8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8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8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8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8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8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8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83" s="45" t="n">
        <f aca="false">IF(AND(Tasks[[#This Row],[_IsLeaf]]=1,Tasks[[#This Row],[_LeafTotalWork]]&gt;0),NETWORKDAYS.INTL(ProjectStart,Tasks[[#This Row],[_ShownFcstStart]],WorkWeek,Holidays),0)</f>
        <v>0</v>
      </c>
      <c r="FH183" s="45" t="n">
        <f aca="false">IF(AND(Tasks[[#This Row],[_IsLeaf]]=1,Tasks[[#This Row],[_LeafTotalWork]]&gt;0),MAX(Tasks[[#This Row],[_StartWorkday]],NETWORKDAYS.INTL(ProjectStart,Tasks[[#This Row],[_ShownFcstFinish]],WorkWeek,Holidays)),0)</f>
        <v>0</v>
      </c>
      <c r="FI183" s="45" t="n">
        <f aca="false">IF(AND(Tasks[[#This Row],[_IsLeaf]]=1,Tasks[[#This Row],[_LeafTotalWork]]&gt;0),Tasks[[#This Row],[_LeafWork]]/(Tasks[[#This Row],[_FinishWorkday]]-Tasks[[#This Row],[_StartWorkday]]+1),0)</f>
        <v>0</v>
      </c>
      <c r="FJ183" s="45" t="n">
        <f aca="false">Tasks[[#This Row],[_WorkPerWorkday]]*(Tasks[[#This Row],[_StartWorkday]]-1)</f>
        <v>-0</v>
      </c>
      <c r="FK183" s="45" t="n">
        <f aca="false">IF(Tasks[[#This Row],[_IsLeaf]]=1,MAX(N(Tasks[[#This Row],[Duration]]),0.1),0)</f>
        <v>0</v>
      </c>
      <c r="FL183" s="45" t="n">
        <f aca="false">Tasks[[#This Row],[_WeightDur]]*Tasks[[#This Row],[_LeafProgress]]</f>
        <v>0</v>
      </c>
      <c r="FM18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83" s="45" t="str">
        <f aca="false">IF(AND(Tasks[[#This Row],[_IsLeaf]]=1,N(Tasks[[#This Row],[Duration]])=0,Tasks[[#This Row],[_LeafProgress]]&lt;1),Tasks[[#This Row],[_ShownFcstFinish]]+Tasks[[#This Row],[_Row]]/100000,"")</f>
        <v/>
      </c>
      <c r="FO18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83" s="45" t="n">
        <f aca="false">IF(NOT(Tasks[[#This Row],[_IsLeaf]]=1),0,IF(Tasks[[#This Row],[Baseline Cost]]="",Tasks[[#This Row],[_LeafTotalCost]],N(Tasks[[#This Row],[Baseline Cost]])))</f>
        <v>0</v>
      </c>
      <c r="FQ183" s="45" t="n">
        <f aca="false">Tasks[[#This Row],[_LeafBudget]]*Tasks[[#This Row],[_PlannedPct]]</f>
        <v>0</v>
      </c>
      <c r="FR183" s="45" t="n">
        <f aca="false">Tasks[[#This Row],[_LeafBudget]]*Tasks[[#This Row],[_LeafProgress]]</f>
        <v>0</v>
      </c>
      <c r="FS183" s="45" t="n">
        <f aca="false">IF(NOT(Tasks[[#This Row],[_IsLeaf]]=1),0,IF(Tasks[[#This Row],[Actual Cost]]="",Tasks[[#This Row],[_LeafTotalCost]]*Tasks[[#This Row],[_LeafProgress]],N(Tasks[[#This Row],[Actual Cost]])))</f>
        <v>0</v>
      </c>
      <c r="FT183" s="45" t="str">
        <f aca="false">IF(Tasks[[#This Row],[Task Name]]="","",LEFT(Tasks[[#This Row],[WBS]],FIND(".",Tasks[[#This Row],[WBS]]&amp;".")-1))</f>
        <v/>
      </c>
      <c r="FU183" s="45" t="str">
        <f aca="false">IF(AND(Tasks[[#This Row],[Task Name]]&lt;&gt;"",Tasks[[#This Row],[_Level]]=1),Tasks[[#This Row],[_Row]],"")</f>
        <v/>
      </c>
      <c r="FV183" s="45" t="str">
        <f aca="false">IF(AND(Tasks[[#This Row],[_IsLeaf]]=1,N(Tasks[[#This Row],[Duration]])=0),Tasks[[#This Row],[Planned Finish]]+Tasks[[#This Row],[_Row]]/100000,"")</f>
        <v/>
      </c>
      <c r="FW183" s="45" t="str">
        <f aca="false">IF(AND(Tasks[[#This Row],[_IsLeaf]]=1,Tasks[[#This Row],[_LeafProgress]]&lt;1,OR(N(Tasks[[#This Row],[Finish Var]])&gt;0,Tasks[[#This Row],[Status]]="Late Start")),MAX(0,Tasks[[#This Row],[Finish Var]])+1-Tasks[[#This Row],[_Row]]/1000000,"")</f>
        <v/>
      </c>
      <c r="FX183" s="45" t="str">
        <f aca="false">IF(AND(Tasks[[#This Row],[_IsLeaf]]=1,N(Tasks[[#This Row],[Actual Start]])=0,Tasks[[#This Row],[_ShownFcstStart]]&gt;=StatusDate,Tasks[[#This Row],[_ShownFcstStart]]&lt;=LookaheadEnd),Tasks[[#This Row],[_ShownFcstStart]]+Tasks[[#This Row],[_Row]]/100000,"")</f>
        <v/>
      </c>
      <c r="FY183" s="45" t="str">
        <f aca="false">IF(AND(Tasks[[#This Row],[_IsLeaf]]=1,Tasks[[#This Row],[_LeafProgress]]&lt;1,Tasks[[#This Row],[_ShownFcstFinish]]&gt;=StatusDate,Tasks[[#This Row],[_ShownFcstFinish]]&lt;=LookaheadEnd),Tasks[[#This Row],[_ShownFcstFinish]]+Tasks[[#This Row],[_Row]]/100000,"")</f>
        <v/>
      </c>
      <c r="FZ183" s="45" t="str">
        <f aca="false">IF(Tasks[[#This Row],[_LeafCritical]],Tasks[[#This Row],[_ShownFcstStart]]+Tasks[[#This Row],[_Row]]/100000,"")</f>
        <v/>
      </c>
      <c r="GA183" s="45" t="n">
        <f aca="false">Tasks[[#This Row],[_LeafWork]]*Tasks[[#This Row],[_LeafProgress]]</f>
        <v>0</v>
      </c>
      <c r="GB183" s="74" t="str">
        <f aca="false">IF(AND(Tasks[[#This Row],[_IsLeaf]]=1,Tasks[[#This Row],[_LeafProgress]]&gt;=1),IF(N(Tasks[[#This Row],[Actual Finish]])&gt;0,Tasks[[#This Row],[Actual Finish]],Tasks[[#This Row],[_ShownFcstFinish]]),"")</f>
        <v/>
      </c>
    </row>
    <row r="184" customFormat="false" ht="15" hidden="false" customHeight="false" outlineLevel="0" collapsed="false">
      <c r="A184" s="67" t="str">
        <f aca="false">IF(Tasks[[#This Row],[Task Name]]="","",COUNTA(Tasks[[#Headers],[Task Name]]:Tasks[[#This Row],[Task Name]])-1)</f>
        <v/>
      </c>
      <c r="B184" s="21" t="n">
        <v>179</v>
      </c>
      <c r="C18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21"/>
      <c r="E184" s="22"/>
      <c r="F184" s="21"/>
      <c r="G184" s="22"/>
      <c r="H184" s="22"/>
      <c r="I184" s="22"/>
      <c r="J184" s="7"/>
      <c r="K184" s="7"/>
      <c r="L184" s="22"/>
      <c r="M184" s="58" t="str">
        <f aca="false">IF(Tasks[[#This Row],[Task Name]]="","",IF(Tasks[[#This Row],[_IsSummary]],MIN(INDEX(Tasks[_ShownFcstStart],Tasks[[#This Row],[_Row]]+1):INDEX(Tasks[_ShownFcstStart],Tasks[[#This Row],[_Row]]+Tasks[[#This Row],[_Descendants]])),Tasks[[#This Row],[_ShownFcstStart]]))</f>
        <v/>
      </c>
      <c r="N184" s="58" t="str">
        <f aca="false">IF(Tasks[[#This Row],[Task Name]]="","",IF(Tasks[[#This Row],[_IsSummary]],MAX(INDEX(Tasks[_ShownFcstFinish],Tasks[[#This Row],[_Row]]+1):INDEX(Tasks[_ShownFcstFinish],Tasks[[#This Row],[_Row]]+Tasks[[#This Row],[_Descendants]])),Tasks[[#This Row],[_ShownFcstFinish]]))</f>
        <v/>
      </c>
      <c r="O184" s="20" t="str">
        <f aca="false">IF(Tasks[[#This Row],[Task Name]]="","",IF(Tasks[[#This Row],[Progress]]&gt;=1,"Complete",IF(OR(N(Tasks[[#This Row],[Actual Start]])&gt;0,Tasks[[#This Row],[Progress]]&gt;0),IF(Tasks[[#This Row],[Finish Var]]&gt;0,"Behind","In Progress"),IF(Tasks[[#This Row],[Planned Start]]&lt;StatusDate,"Late Start","Not Started"))))</f>
        <v/>
      </c>
      <c r="P184" s="20" t="str">
        <f aca="false">IF(Tasks[[#This Row],[Task Name]]="","",IF(IF(Tasks[[#This Row],[_IsSummary]],COUNTIF(INDEX(Tasks[_LeafCritical],Tasks[[#This Row],[_Row]]+1):INDEX(Tasks[_LeafCritical],Tasks[[#This Row],[_Row]]+Tasks[[#This Row],[_Descendants]]),TRUE())&gt;0,Tasks[[#This Row],[_LeafCritical]]),"Yes",""))</f>
        <v/>
      </c>
      <c r="Q18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84" s="67" t="str">
        <f aca="false">IF(Tasks[[#This Row],[Task Name]]="","",IF(Tasks[[#This Row],[_Level]]&lt;=OutlineShowLevel,"Yes","No"))</f>
        <v/>
      </c>
      <c r="S184" s="7"/>
      <c r="T184" s="21"/>
      <c r="U184" s="22"/>
      <c r="V184" s="7"/>
      <c r="W184" s="67" t="str">
        <f aca="false">IF(Tasks[[#This Row],[Task Name]]="","",IF(Tasks[[#This Row],[Finish]]&gt;=Tasks[[#This Row],[Planned Finish]],NETWORKDAYS.INTL(Tasks[[#This Row],[Planned Finish]],Tasks[[#This Row],[Finish]],WorkWeek,Holidays)-1,1-NETWORKDAYS.INTL(Tasks[[#This Row],[Finish]],Tasks[[#This Row],[Planned Finish]],WorkWeek,Holidays)))</f>
        <v/>
      </c>
      <c r="X184" s="58" t="str">
        <f aca="false">IF(Tasks[[#This Row],[Task Name]]="","",IF(N(Tasks[[#This Row],[Baseline Start]])&gt;0,Tasks[[#This Row],[Baseline Start]],Tasks[[#This Row],[_CalcStart]]))</f>
        <v/>
      </c>
      <c r="Y184" s="58" t="str">
        <f aca="false">IF(Tasks[[#This Row],[Task Name]]="","",IF(N(Tasks[[#This Row],[Baseline Finish]])&gt;0,Tasks[[#This Row],[Baseline Finish]],Tasks[[#This Row],[_CalcFinish]]))</f>
        <v/>
      </c>
      <c r="Z184" s="67" t="str">
        <f aca="false">IF(Tasks[[#This Row],[Task Name]]="","",IF(Tasks[[#This Row],[Start]]&gt;=Tasks[[#This Row],[Planned Start]],NETWORKDAYS.INTL(Tasks[[#This Row],[Planned Start]],Tasks[[#This Row],[Start]],WorkWeek,Holidays)-1,1-NETWORKDAYS.INTL(Tasks[[#This Row],[Start]],Tasks[[#This Row],[Planned Start]],WorkWeek,Holidays)))</f>
        <v/>
      </c>
      <c r="AA184" s="58" t="str">
        <f aca="false">IF(Tasks[[#This Row],[Task Name]]="","",IF(Tasks[[#This Row],[_IsSummary]],MIN(INDEX(Tasks[_LeafLateStart],Tasks[[#This Row],[_Row]]+1):INDEX(Tasks[_LeafLateStart],Tasks[[#This Row],[_Row]]+Tasks[[#This Row],[_Descendants]])),Tasks[[#This Row],[_LeafLateStart]]))</f>
        <v/>
      </c>
      <c r="AB184" s="58" t="str">
        <f aca="false">IF(Tasks[[#This Row],[Task Name]]="","",IF(Tasks[[#This Row],[_IsSummary]],MAX(INDEX(Tasks[_LeafLateFinish],Tasks[[#This Row],[_Row]]+1):INDEX(Tasks[_LeafLateFinish],Tasks[[#This Row],[_Row]]+Tasks[[#This Row],[_Descendants]])),Tasks[[#This Row],[_LeafLateFinish]]))</f>
        <v/>
      </c>
      <c r="AC184" s="67" t="str">
        <f aca="false">IF(Tasks[[#This Row],[Task Name]]="","",IF(Tasks[[#This Row],[_IsSummary]],MIN(INDEX(Tasks[_LeafTotalSlack],Tasks[[#This Row],[_Row]]+1):INDEX(Tasks[_LeafTotalSlack],Tasks[[#This Row],[_Row]]+Tasks[[#This Row],[_Descendants]])),Tasks[[#This Row],[_LeafTotalSlack]]))</f>
        <v/>
      </c>
      <c r="AD18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8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8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84" s="60"/>
      <c r="AH18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8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84" s="69" t="str">
        <f aca="false">IF(Tasks[[#This Row],[Task Name]]="","",IF(Tasks[[#This Row],[_IsSummary]],SUM(INDEX(Tasks[_LeafTotalWork],Tasks[[#This Row],[_Row]]+1):INDEX(Tasks[_LeafTotalWork],Tasks[[#This Row],[_Row]]+Tasks[[#This Row],[_Descendants]])),Tasks[[#This Row],[_LeafTotalWork]]))</f>
        <v/>
      </c>
      <c r="AK18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84" s="70" t="str">
        <f aca="false">IF(Tasks[[#This Row],[Task Name]]="","",IF(Tasks[[#This Row],[_IsSummary]],SUM(INDEX(Tasks[_LeafTotalCost],Tasks[[#This Row],[_Row]]+1):INDEX(Tasks[_LeafTotalCost],Tasks[[#This Row],[_Row]]+Tasks[[#This Row],[_Descendants]])),Tasks[[#This Row],[_LeafTotalCost]]))</f>
        <v/>
      </c>
      <c r="AM184" s="71"/>
      <c r="AN184" s="20" t="str">
        <f aca="false">IF(OR(Tasks[[#This Row],[Task Name]]="",Tasks[[#This Row],[Baseline Duration]]=""),"",Tasks[[#This Row],[BL Source Duration]]-N(Tasks[[#This Row],[Baseline Duration]]))</f>
        <v/>
      </c>
      <c r="AO184" s="69" t="str">
        <f aca="false">IF(OR(Tasks[[#This Row],[Task Name]]="",Tasks[[#This Row],[Baseline Work]]=""),"",Tasks[[#This Row],[Work]]-N(Tasks[[#This Row],[Baseline Work]]))</f>
        <v/>
      </c>
      <c r="AP184" s="70" t="str">
        <f aca="false">IF(OR(Tasks[[#This Row],[Task Name]]="",Tasks[[#This Row],[Baseline Cost]]=""),"",Tasks[[#This Row],[Cost]]-N(Tasks[[#This Row],[Baseline Cost]]))</f>
        <v/>
      </c>
      <c r="AQ184" s="58" t="str">
        <f aca="false">IF(Tasks[[#This Row],[Task Name]]="","",Tasks[[#This Row],[Start]])</f>
        <v/>
      </c>
      <c r="AR184" s="58" t="str">
        <f aca="false">IF(Tasks[[#This Row],[Task Name]]="","",Tasks[[#This Row],[Finish]])</f>
        <v/>
      </c>
      <c r="AS184" s="67" t="str">
        <f aca="false">IF(Tasks[[#This Row],[Task Name]]="","",IF(Tasks[[#This Row],[_IsSummary]],NETWORKDAYS.INTL(Tasks[[#This Row],[Start]],Tasks[[#This Row],[Finish]],WorkWeek,Holidays),N(Tasks[[#This Row],[Duration]])))</f>
        <v/>
      </c>
      <c r="AT184" s="69" t="str">
        <f aca="false">IF(Tasks[[#This Row],[Task Name]]="","",Tasks[[#This Row],[Work]])</f>
        <v/>
      </c>
      <c r="AU184" s="70" t="str">
        <f aca="false">IF(Tasks[[#This Row],[Task Name]]="","",Tasks[[#This Row],[Cost]])</f>
        <v/>
      </c>
      <c r="AV184" s="7"/>
      <c r="AW184" s="7"/>
      <c r="AX184" s="21"/>
      <c r="AY184" s="72"/>
      <c r="AZ184" s="71"/>
      <c r="BA184" s="70" t="str">
        <f aca="false">IF(Tasks[[#This Row],[Task Name]]="","",IF(Tasks[[#This Row],[_IsSummary]],SUM(INDEX(Tasks[_LeafEV],Tasks[[#This Row],[_Row]]+1):INDEX(Tasks[_LeafEV],Tasks[[#This Row],[_Row]]+Tasks[[#This Row],[_Descendants]])),Tasks[[#This Row],[_LeafEV]]))</f>
        <v/>
      </c>
      <c r="BB184" s="70" t="str">
        <f aca="false">IF(Tasks[[#This Row],[Task Name]]="","",IF(Tasks[[#This Row],[_IsSummary]],SUM(INDEX(Tasks[_LeafBudget],Tasks[[#This Row],[_Row]]+1):INDEX(Tasks[_LeafBudget],Tasks[[#This Row],[_Row]]+Tasks[[#This Row],[_Descendants]])),Tasks[[#This Row],[_LeafBudget]]))</f>
        <v/>
      </c>
      <c r="BC184" s="70" t="str">
        <f aca="false">IF(Tasks[[#This Row],[Task Name]]="","",IF(Tasks[[#This Row],[_IsSummary]],SUM(INDEX(Tasks[_LeafPV],Tasks[[#This Row],[_Row]]+1):INDEX(Tasks[_LeafPV],Tasks[[#This Row],[_Row]]+Tasks[[#This Row],[_Descendants]])),Tasks[[#This Row],[_LeafPV]]))</f>
        <v/>
      </c>
      <c r="BD184" s="70" t="str">
        <f aca="false">IF(Tasks[[#This Row],[Task Name]]="","",IF(Tasks[[#This Row],[_IsSummary]],SUM(INDEX(Tasks[_LeafAC],Tasks[[#This Row],[_Row]]+1):INDEX(Tasks[_LeafAC],Tasks[[#This Row],[_Row]]+Tasks[[#This Row],[_Descendants]])),Tasks[[#This Row],[_LeafAC]]))</f>
        <v/>
      </c>
      <c r="BE184" s="45" t="str">
        <f aca="false">IF(Tasks[[#This Row],[Task Name]]="","",MAX(1,N(Tasks[[#This Row],[Level]])))</f>
        <v/>
      </c>
      <c r="BF184" s="45" t="n">
        <f aca="false">ROW()-ROW(Tasks[[#Headers],[ID]])</f>
        <v>179</v>
      </c>
      <c r="BG184" s="45" t="n">
        <f aca="false">IF(OR(Tasks[[#This Row],[Task Name]]="",Tasks[[#This Row],[_Level]]&lt;=1),0,IFERROR(LOOKUP(2,1/(Tasks[[#Headers],[_Level]]:Tasks[[#This Row],[_Level]]=Tasks[[#This Row],[_Level]]-1),ROW(Tasks[[#Headers],[_Level]]:Tasks[[#This Row],[_Level]])),0))</f>
        <v>0</v>
      </c>
      <c r="BH184" s="45" t="n">
        <f aca="false">IFERROR(N(INDEX(Tasks[_Level],Tasks[[#This Row],[_Row]]+1)),0)</f>
        <v>0</v>
      </c>
      <c r="BI184" s="73" t="b">
        <f aca="false">AND(Tasks[[#This Row],[Task Name]]&lt;&gt;"",Tasks[[#This Row],[_NextLevel]]&gt;Tasks[[#This Row],[_Level]])</f>
        <v>0</v>
      </c>
      <c r="BJ184" s="45" t="n">
        <f aca="false">IF(Tasks[[#This Row],[_IsSummary]],COUNTIF(Tasks[WBS],Tasks[[#This Row],[WBS]]&amp;".*"),0)</f>
        <v>0</v>
      </c>
      <c r="BK184" s="45" t="n">
        <f aca="false">IF(AND(Tasks[[#This Row],[Task Name]]&lt;&gt;"",NOT(Tasks[[#This Row],[_IsSummary]])),1,0)</f>
        <v>0</v>
      </c>
      <c r="BL184" s="45" t="n">
        <f aca="false">IF(N(Tasks[[#This Row],[_Pred1UID]])=0,0,IFERROR(MATCH(Tasks[[#This Row],[_Pred1UID]],Tasks[UID],0),-1))</f>
        <v>0</v>
      </c>
      <c r="BM184" s="45" t="n">
        <f aca="false">IF(N(Tasks[[#This Row],[_Pred2UID]])=0,0,IFERROR(MATCH(Tasks[[#This Row],[_Pred2UID]],Tasks[UID],0),-1))</f>
        <v>0</v>
      </c>
      <c r="BN184" s="45" t="n">
        <f aca="false">IF(N(Tasks[[#This Row],[_Pred3UID]])=0,0,IFERROR(MATCH(Tasks[[#This Row],[_Pred3UID]],Tasks[UID],0),-1))</f>
        <v>0</v>
      </c>
      <c r="BO184" s="45" t="n">
        <f aca="false">IF(N(Tasks[[#This Row],[_Pred4UID]])=0,0,IFERROR(MATCH(Tasks[[#This Row],[_Pred4UID]],Tasks[UID],0),-1))</f>
        <v>0</v>
      </c>
      <c r="BP18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8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84" s="74" t="n">
        <f aca="false">IF(OR(Tasks[[#This Row],[_ConstraintCode]]=2,Tasks[[#This Row],[_ConstraintCode]]=3,Tasks[[#This Row],[_ConstraintCode]]=4,Tasks[[#This Row],[_ConstraintCode]]=6),Tasks[[#This Row],[_ConstraintStart]],0)</f>
        <v>0</v>
      </c>
      <c r="BS184" s="74" t="n">
        <f aca="false">IF(OR(Tasks[[#This Row],[_ConstraintCode]]=2,Tasks[[#This Row],[_ConstraintCode]]=3,Tasks[[#This Row],[_ConstraintCode]]=5,Tasks[[#This Row],[_ConstraintCode]]=7),Tasks[[#This Row],[_ConstraintStart]],2958465)</f>
        <v>2958465</v>
      </c>
      <c r="BT18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84" s="74" t="str">
        <f aca="false">IF(NOT(Tasks[[#This Row],[_IsLeaf]]=1),"",IF(N(Tasks[[#This Row],[Duration]])&lt;=0,Tasks[[#This Row],[_LeafCalcStart]],WORKDAY.INTL(Tasks[[#This Row],[_LeafCalcStart]],Tasks[[#This Row],[Duration]]-1,WorkWeek,Holidays)))</f>
        <v/>
      </c>
      <c r="BV18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8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84" s="45" t="str">
        <f aca="false">IF(Tasks[[#This Row],[Predecessors]]="","",TRIM(MID(SUBSTITUTE(SUBSTITUTE(SUBSTITUTE(UPPER(Tasks[[#This Row],[Predecessors]]),";",",")," ",""),",",REPT(" ",99)),1,99)))</f>
        <v/>
      </c>
      <c r="BY184" s="45" t="str">
        <f aca="false">IF(Tasks[[#This Row],[_Pred1Text]]="","",IFERROR(VALUE(LEFT(Tasks[[#This Row],[_Pred1Text]],MIN(FIND("F",Tasks[[#This Row],[_Pred1Text]]&amp;"F"),FIND("S",Tasks[[#This Row],[_Pred1Text]]&amp;"S"),FIND("+",Tasks[[#This Row],[_Pred1Text]]&amp;"+"),FIND("-",Tasks[[#This Row],[_Pred1Text]]&amp;"-"))-1)),""))</f>
        <v/>
      </c>
      <c r="BZ18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8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84" s="45" t="str">
        <f aca="false">IF(Tasks[[#This Row],[_Pred1Text]]="","",TRIM(MID(SUBSTITUTE(SUBSTITUTE(SUBSTITUTE(UPPER(Tasks[[#This Row],[Predecessors]]),";",",")," ",""),",",REPT(" ",99)),100,99)))</f>
        <v/>
      </c>
      <c r="CC184" s="45" t="str">
        <f aca="false">IF(Tasks[[#This Row],[_Pred2Text]]="","",IFERROR(VALUE(LEFT(Tasks[[#This Row],[_Pred2Text]],MIN(FIND("F",Tasks[[#This Row],[_Pred2Text]]&amp;"F"),FIND("S",Tasks[[#This Row],[_Pred2Text]]&amp;"S"),FIND("+",Tasks[[#This Row],[_Pred2Text]]&amp;"+"),FIND("-",Tasks[[#This Row],[_Pred2Text]]&amp;"-"))-1)),""))</f>
        <v/>
      </c>
      <c r="CD18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8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84" s="45" t="str">
        <f aca="false">IF(Tasks[[#This Row],[_Pred2Text]]="","",TRIM(MID(SUBSTITUTE(SUBSTITUTE(SUBSTITUTE(UPPER(Tasks[[#This Row],[Predecessors]]),";",",")," ",""),",",REPT(" ",99)),199,99)))</f>
        <v/>
      </c>
      <c r="CG184" s="45" t="str">
        <f aca="false">IF(Tasks[[#This Row],[_Pred3Text]]="","",IFERROR(VALUE(LEFT(Tasks[[#This Row],[_Pred3Text]],MIN(FIND("F",Tasks[[#This Row],[_Pred3Text]]&amp;"F"),FIND("S",Tasks[[#This Row],[_Pred3Text]]&amp;"S"),FIND("+",Tasks[[#This Row],[_Pred3Text]]&amp;"+"),FIND("-",Tasks[[#This Row],[_Pred3Text]]&amp;"-"))-1)),""))</f>
        <v/>
      </c>
      <c r="CH18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8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84" s="45" t="str">
        <f aca="false">IF(Tasks[[#This Row],[_Pred3Text]]="","",TRIM(MID(SUBSTITUTE(SUBSTITUTE(SUBSTITUTE(UPPER(Tasks[[#This Row],[Predecessors]]),";",",")," ",""),",",REPT(" ",99)),298,99)))</f>
        <v/>
      </c>
      <c r="CK184" s="45" t="str">
        <f aca="false">IF(Tasks[[#This Row],[_Pred4Text]]="","",IFERROR(VALUE(LEFT(Tasks[[#This Row],[_Pred4Text]],MIN(FIND("F",Tasks[[#This Row],[_Pred4Text]]&amp;"F"),FIND("S",Tasks[[#This Row],[_Pred4Text]]&amp;"S"),FIND("+",Tasks[[#This Row],[_Pred4Text]]&amp;"+"),FIND("-",Tasks[[#This Row],[_Pred4Text]]&amp;"-"))-1)),""))</f>
        <v/>
      </c>
      <c r="CL18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8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84" s="45" t="str">
        <f aca="false">IF(OR(Tasks[[#This Row],[Task Name]]="",Tasks[[#This Row],[Resources]]=""),"",TRIM(MID(SUBSTITUTE(Tasks[[#This Row],[Resources]],",",REPT(" ",99)),1,99)))</f>
        <v/>
      </c>
      <c r="CO184" s="45" t="str">
        <f aca="false">IF(Tasks[[#This Row],[_Res1Text]]="","",TRIM(MID(SUBSTITUTE(Tasks[[#This Row],[Resources]],",",REPT(" ",99)),100,99)))</f>
        <v/>
      </c>
      <c r="CP184" s="45" t="str">
        <f aca="false">IF(Tasks[[#This Row],[_Res2Text]]="","",TRIM(MID(SUBSTITUTE(Tasks[[#This Row],[Resources]],",",REPT(" ",99)),199,99)))</f>
        <v/>
      </c>
      <c r="CQ184" s="45" t="str">
        <f aca="false">IF(Tasks[[#This Row],[_Res3Text]]="","",TRIM(MID(SUBSTITUTE(Tasks[[#This Row],[Resources]],",",REPT(" ",99)),298,99)))</f>
        <v/>
      </c>
      <c r="CR18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8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4" s="45" t="n">
        <f aca="false">IF(NOT(Tasks[[#This Row],[_IsLeaf]]=1),0,(Tasks[[#This Row],[_Resource1]]&lt;&gt;"")+(Tasks[[#This Row],[_Res2]]&lt;&gt;"")+(Tasks[[#This Row],[_Res3]]&lt;&gt;"")+(Tasks[[#This Row],[_Res4]]&lt;&gt;""))</f>
        <v>0</v>
      </c>
      <c r="CU18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8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4" s="45" t="n">
        <f aca="false">IF(OR(NOT(Tasks[[#This Row],[_IsLeaf]]=1),Tasks[[#This Row],[_Res2]]=""),0,IF(ISNA(MATCH(Tasks[[#This Row],[_Res2]],res_Name,0)),0,N(Tasks[[#This Row],[Duration]])*HoursPerDay*IF(Tasks[[#This Row],[_Res2Units]]="",DefaultUnits,Tasks[[#This Row],[_Res2Units]])))</f>
        <v>0</v>
      </c>
      <c r="CX184" s="45" t="n">
        <f aca="false">IF(Tasks[[#This Row],[_Res2Work]]=0,0,Tasks[[#This Row],[_Res2Work]]*IFERROR(INDEX(res_Rate,MATCH(Tasks[[#This Row],[_Res2]],res_Name,0)),0))</f>
        <v>0</v>
      </c>
      <c r="CY184" s="45" t="n">
        <f aca="false">IF(AND(AND(Tasks[[#This Row],[_IsLeaf]]=1,Tasks[[#This Row],[_LeafTotalWork]]&gt;0),Tasks[[#This Row],[_Res2Work]]&gt;0),Tasks[[#This Row],[_Res2Work]]/(Tasks[[#This Row],[_FinishWorkday]]-Tasks[[#This Row],[_StartWorkday]]+1),0)</f>
        <v>0</v>
      </c>
      <c r="CZ184" s="45" t="n">
        <f aca="false">Tasks[[#This Row],[_Res2WorkPerWD]]*MAX(0,Tasks[[#This Row],[_StartWorkday]]-1)</f>
        <v>0</v>
      </c>
      <c r="DA184" s="45" t="n">
        <f aca="false">Tasks[[#This Row],[_Res2Work]]*Tasks[[#This Row],[_LeafProgress]]</f>
        <v>0</v>
      </c>
      <c r="DB184" s="45" t="n">
        <f aca="false">IF(Tasks[[#This Row],[_LeafTotalCost]]=0,0,Tasks[[#This Row],[_LeafAC]]*Tasks[[#This Row],[_Res2Cost]]/Tasks[[#This Row],[_LeafTotalCost]])</f>
        <v>0</v>
      </c>
      <c r="DC18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8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84" s="45" t="n">
        <f aca="false">IF(OR(NOT(Tasks[[#This Row],[_IsLeaf]]=1),Tasks[[#This Row],[_Res3]]=""),0,IF(ISNA(MATCH(Tasks[[#This Row],[_Res3]],res_Name,0)),0,N(Tasks[[#This Row],[Duration]])*HoursPerDay*IF(Tasks[[#This Row],[_Res3Units]]="",DefaultUnits,Tasks[[#This Row],[_Res3Units]])))</f>
        <v>0</v>
      </c>
      <c r="DF184" s="45" t="n">
        <f aca="false">IF(Tasks[[#This Row],[_Res3Work]]=0,0,Tasks[[#This Row],[_Res3Work]]*IFERROR(INDEX(res_Rate,MATCH(Tasks[[#This Row],[_Res3]],res_Name,0)),0))</f>
        <v>0</v>
      </c>
      <c r="DG184" s="45" t="n">
        <f aca="false">IF(AND(AND(Tasks[[#This Row],[_IsLeaf]]=1,Tasks[[#This Row],[_LeafTotalWork]]&gt;0),Tasks[[#This Row],[_Res3Work]]&gt;0),Tasks[[#This Row],[_Res3Work]]/(Tasks[[#This Row],[_FinishWorkday]]-Tasks[[#This Row],[_StartWorkday]]+1),0)</f>
        <v>0</v>
      </c>
      <c r="DH184" s="45" t="n">
        <f aca="false">Tasks[[#This Row],[_Res3WorkPerWD]]*MAX(0,Tasks[[#This Row],[_StartWorkday]]-1)</f>
        <v>0</v>
      </c>
      <c r="DI184" s="45" t="n">
        <f aca="false">Tasks[[#This Row],[_Res3Work]]*Tasks[[#This Row],[_LeafProgress]]</f>
        <v>0</v>
      </c>
      <c r="DJ184" s="45" t="n">
        <f aca="false">IF(Tasks[[#This Row],[_LeafTotalCost]]=0,0,Tasks[[#This Row],[_LeafAC]]*Tasks[[#This Row],[_Res3Cost]]/Tasks[[#This Row],[_LeafTotalCost]])</f>
        <v>0</v>
      </c>
      <c r="DK18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8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84" s="45" t="n">
        <f aca="false">IF(OR(NOT(Tasks[[#This Row],[_IsLeaf]]=1),Tasks[[#This Row],[_Res4]]=""),0,IF(ISNA(MATCH(Tasks[[#This Row],[_Res4]],res_Name,0)),0,N(Tasks[[#This Row],[Duration]])*HoursPerDay*IF(Tasks[[#This Row],[_Res4Units]]="",DefaultUnits,Tasks[[#This Row],[_Res4Units]])))</f>
        <v>0</v>
      </c>
      <c r="DN184" s="45" t="n">
        <f aca="false">IF(Tasks[[#This Row],[_Res4Work]]=0,0,Tasks[[#This Row],[_Res4Work]]*IFERROR(INDEX(res_Rate,MATCH(Tasks[[#This Row],[_Res4]],res_Name,0)),0))</f>
        <v>0</v>
      </c>
      <c r="DO184" s="45" t="n">
        <f aca="false">IF(AND(AND(Tasks[[#This Row],[_IsLeaf]]=1,Tasks[[#This Row],[_LeafTotalWork]]&gt;0),Tasks[[#This Row],[_Res4Work]]&gt;0),Tasks[[#This Row],[_Res4Work]]/(Tasks[[#This Row],[_FinishWorkday]]-Tasks[[#This Row],[_StartWorkday]]+1),0)</f>
        <v>0</v>
      </c>
      <c r="DP184" s="45" t="n">
        <f aca="false">Tasks[[#This Row],[_Res4WorkPerWD]]*MAX(0,Tasks[[#This Row],[_StartWorkday]]-1)</f>
        <v>0</v>
      </c>
      <c r="DQ184" s="45" t="n">
        <f aca="false">Tasks[[#This Row],[_Res4Work]]*Tasks[[#This Row],[_LeafProgress]]</f>
        <v>0</v>
      </c>
      <c r="DR184" s="45" t="n">
        <f aca="false">IF(Tasks[[#This Row],[_LeafTotalCost]]=0,0,Tasks[[#This Row],[_LeafAC]]*Tasks[[#This Row],[_Res4Cost]]/Tasks[[#This Row],[_LeafTotalCost]])</f>
        <v>0</v>
      </c>
      <c r="DS184" s="45" t="n">
        <f aca="false">IF(ISNUMBER(Tasks[[#This Row],[% Complete]]),Tasks[[#This Row],[% Complete]],IF(Tasks[[#This Row],[Stage]]="",0,IFERROR(INDEX(stg_Pct,MATCH(Tasks[[#This Row],[Stage]],stg_Name,0)),0)))</f>
        <v>0</v>
      </c>
      <c r="DT184" s="45" t="n">
        <f aca="false">IF(NOT(Tasks[[#This Row],[_IsLeaf]]=1),0,IF(N(Tasks[[#This Row],[Actual Finish]])&gt;0,1,MIN(1,Tasks[[#This Row],[_Pct]])))</f>
        <v>0</v>
      </c>
      <c r="DU184" s="45" t="n">
        <f aca="false">IF(OR(NOT(Tasks[[#This Row],[_IsLeaf]]=1),Tasks[[#This Row],[_Resource1]]=""),0,IF(ISNA(MATCH(Tasks[[#This Row],[_Resource1]],res_Name,0)),0,N(Tasks[[#This Row],[Duration]])*HoursPerDay*IF(Tasks[[#This Row],[_Units1]]="",DefaultUnits,Tasks[[#This Row],[_Units1]])))</f>
        <v>0</v>
      </c>
      <c r="DV184" s="45" t="n">
        <f aca="false">IF(Tasks[[#This Row],[_LeafWork]]=0,0,Tasks[[#This Row],[_LeafWork]]*IFERROR(INDEX(res_Rate,MATCH(Tasks[[#This Row],[_Resource1]],res_Name,0)),0))</f>
        <v>0</v>
      </c>
      <c r="DW184" s="45" t="n">
        <f aca="false">Tasks[[#This Row],[_LeafWork]]+Tasks[[#This Row],[_Res2Work]]+Tasks[[#This Row],[_Res3Work]]+Tasks[[#This Row],[_Res4Work]]</f>
        <v>0</v>
      </c>
      <c r="DX184" s="45" t="n">
        <f aca="false">Tasks[[#This Row],[_LeafCost]]+Tasks[[#This Row],[_Res2Cost]]+Tasks[[#This Row],[_Res3Cost]]+Tasks[[#This Row],[_Res4Cost]]</f>
        <v>0</v>
      </c>
      <c r="DY184" s="45" t="n">
        <f aca="false">IF(Tasks[[#This Row],[_LeafTotalCost]]=0,Tasks[[#This Row],[_LeafAC]],Tasks[[#This Row],[_LeafAC]]*Tasks[[#This Row],[_LeafCost]]/Tasks[[#This Row],[_LeafTotalCost]])</f>
        <v>0</v>
      </c>
      <c r="DZ18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8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8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8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8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8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8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8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84" s="45" t="n">
        <f aca="false">IF(NOT(Tasks[[#This Row],[_IsLeaf]]=1),0,MAX(_xlfn.MAXIFS(Tasks[_Row],Tasks[_Pred1UID],Tasks[[#This Row],[UID]]),_xlfn.MAXIFS(Tasks[_Row],Tasks[_Pred2UID],Tasks[[#This Row],[UID]]),_xlfn.MAXIFS(Tasks[_Row],Tasks[_Pred3UID],Tasks[[#This Row],[UID]]),_xlfn.MAXIFS(Tasks[_Row],Tasks[_Pred4UID],Tasks[[#This Row],[UID]])))</f>
        <v>0</v>
      </c>
      <c r="EI18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8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84" s="74" t="str">
        <f aca="false">IF(NOT(Tasks[[#This Row],[_IsLeaf]]=1),"",IF(N(Tasks[[#This Row],[Duration]])&lt;=0,Tasks[[#This Row],[_LeafLateFinish]],WORKDAY.INTL(Tasks[[#This Row],[_LeafLateFinish]],-(Tasks[[#This Row],[Duration]]-1),WorkWeek,Holidays)))</f>
        <v/>
      </c>
      <c r="EL18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84" s="73" t="b">
        <f aca="false">AND(Tasks[[#This Row],[_IsLeaf]]=1,Tasks[[#This Row],[_LeafProgress]]&lt;1,N(Tasks[[#This Row],[_LeafTotalSlack]])&lt;=CriticalSlackDays)</f>
        <v>0</v>
      </c>
      <c r="EN184" s="45" t="n">
        <f aca="false">IF(AND(Tasks[[#This Row],[_IsLeaf]]=1,Tasks[[#This Row],[_ConstraintCode]]=1,Tasks[[#This Row],[Mode]]&lt;&gt;"Manual",N(Tasks[[#This Row],[Actual Start]])=0),MAX(0,N(Tasks[[#This Row],[Free Slack]])),0)</f>
        <v>0</v>
      </c>
      <c r="EO184" s="74" t="str">
        <f aca="false">IF(NOT(Tasks[[#This Row],[_IsLeaf]]=1),"",IF(Tasks[[#This Row],[_AlapShift]]=0,Tasks[[#This Row],[_LeafCalcStart]],WORKDAY.INTL(Tasks[[#This Row],[_LeafCalcStart]],Tasks[[#This Row],[_AlapShift]],WorkWeek,Holidays)))</f>
        <v/>
      </c>
      <c r="EP184" s="74" t="str">
        <f aca="false">IF(NOT(Tasks[[#This Row],[_IsLeaf]]=1),"",IF(Tasks[[#This Row],[_AlapShift]]=0,Tasks[[#This Row],[_LeafCalcFinish]],WORKDAY.INTL(Tasks[[#This Row],[_LeafCalcFinish]],Tasks[[#This Row],[_AlapShift]],WorkWeek,Holidays)))</f>
        <v/>
      </c>
      <c r="EQ184" s="74" t="str">
        <f aca="false">IF(NOT(Tasks[[#This Row],[_IsLeaf]]=1),"",IF(Tasks[[#This Row],[_AlapShift]]=0,Tasks[[#This Row],[_LeafFcstStart]],WORKDAY.INTL(Tasks[[#This Row],[_LeafFcstStart]],Tasks[[#This Row],[_AlapShift]],WorkWeek,Holidays)))</f>
        <v/>
      </c>
      <c r="ER184" s="74" t="str">
        <f aca="false">IF(NOT(Tasks[[#This Row],[_IsLeaf]]=1),"",IF(Tasks[[#This Row],[_AlapShift]]=0,Tasks[[#This Row],[_LeafFcstFinish]],WORKDAY.INTL(Tasks[[#This Row],[_LeafFcstFinish]],Tasks[[#This Row],[_AlapShift]],WorkWeek,Holidays)))</f>
        <v/>
      </c>
      <c r="ES184" s="74" t="str">
        <f aca="false">IF(Tasks[[#This Row],[Task Name]]="","",IF(Tasks[[#This Row],[_IsSummary]],MIN(INDEX(Tasks[_ShownCalcStart],Tasks[[#This Row],[_Row]]+1):INDEX(Tasks[_ShownCalcStart],Tasks[[#This Row],[_Row]]+Tasks[[#This Row],[_Descendants]])),Tasks[[#This Row],[_ShownCalcStart]]))</f>
        <v/>
      </c>
      <c r="ET184" s="74" t="str">
        <f aca="false">IF(Tasks[[#This Row],[Task Name]]="","",IF(Tasks[[#This Row],[_IsSummary]],MAX(INDEX(Tasks[_ShownCalcFinish],Tasks[[#This Row],[_Row]]+1):INDEX(Tasks[_ShownCalcFinish],Tasks[[#This Row],[_Row]]+Tasks[[#This Row],[_Descendants]])),Tasks[[#This Row],[_ShownCalcFinish]]))</f>
        <v/>
      </c>
      <c r="EU18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8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8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8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8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8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8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8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8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8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8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8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84" s="45" t="n">
        <f aca="false">IF(AND(Tasks[[#This Row],[_IsLeaf]]=1,Tasks[[#This Row],[_LeafTotalWork]]&gt;0),NETWORKDAYS.INTL(ProjectStart,Tasks[[#This Row],[_ShownFcstStart]],WorkWeek,Holidays),0)</f>
        <v>0</v>
      </c>
      <c r="FH184" s="45" t="n">
        <f aca="false">IF(AND(Tasks[[#This Row],[_IsLeaf]]=1,Tasks[[#This Row],[_LeafTotalWork]]&gt;0),MAX(Tasks[[#This Row],[_StartWorkday]],NETWORKDAYS.INTL(ProjectStart,Tasks[[#This Row],[_ShownFcstFinish]],WorkWeek,Holidays)),0)</f>
        <v>0</v>
      </c>
      <c r="FI184" s="45" t="n">
        <f aca="false">IF(AND(Tasks[[#This Row],[_IsLeaf]]=1,Tasks[[#This Row],[_LeafTotalWork]]&gt;0),Tasks[[#This Row],[_LeafWork]]/(Tasks[[#This Row],[_FinishWorkday]]-Tasks[[#This Row],[_StartWorkday]]+1),0)</f>
        <v>0</v>
      </c>
      <c r="FJ184" s="45" t="n">
        <f aca="false">Tasks[[#This Row],[_WorkPerWorkday]]*(Tasks[[#This Row],[_StartWorkday]]-1)</f>
        <v>-0</v>
      </c>
      <c r="FK184" s="45" t="n">
        <f aca="false">IF(Tasks[[#This Row],[_IsLeaf]]=1,MAX(N(Tasks[[#This Row],[Duration]]),0.1),0)</f>
        <v>0</v>
      </c>
      <c r="FL184" s="45" t="n">
        <f aca="false">Tasks[[#This Row],[_WeightDur]]*Tasks[[#This Row],[_LeafProgress]]</f>
        <v>0</v>
      </c>
      <c r="FM18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84" s="45" t="str">
        <f aca="false">IF(AND(Tasks[[#This Row],[_IsLeaf]]=1,N(Tasks[[#This Row],[Duration]])=0,Tasks[[#This Row],[_LeafProgress]]&lt;1),Tasks[[#This Row],[_ShownFcstFinish]]+Tasks[[#This Row],[_Row]]/100000,"")</f>
        <v/>
      </c>
      <c r="FO18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84" s="45" t="n">
        <f aca="false">IF(NOT(Tasks[[#This Row],[_IsLeaf]]=1),0,IF(Tasks[[#This Row],[Baseline Cost]]="",Tasks[[#This Row],[_LeafTotalCost]],N(Tasks[[#This Row],[Baseline Cost]])))</f>
        <v>0</v>
      </c>
      <c r="FQ184" s="45" t="n">
        <f aca="false">Tasks[[#This Row],[_LeafBudget]]*Tasks[[#This Row],[_PlannedPct]]</f>
        <v>0</v>
      </c>
      <c r="FR184" s="45" t="n">
        <f aca="false">Tasks[[#This Row],[_LeafBudget]]*Tasks[[#This Row],[_LeafProgress]]</f>
        <v>0</v>
      </c>
      <c r="FS184" s="45" t="n">
        <f aca="false">IF(NOT(Tasks[[#This Row],[_IsLeaf]]=1),0,IF(Tasks[[#This Row],[Actual Cost]]="",Tasks[[#This Row],[_LeafTotalCost]]*Tasks[[#This Row],[_LeafProgress]],N(Tasks[[#This Row],[Actual Cost]])))</f>
        <v>0</v>
      </c>
      <c r="FT184" s="45" t="str">
        <f aca="false">IF(Tasks[[#This Row],[Task Name]]="","",LEFT(Tasks[[#This Row],[WBS]],FIND(".",Tasks[[#This Row],[WBS]]&amp;".")-1))</f>
        <v/>
      </c>
      <c r="FU184" s="45" t="str">
        <f aca="false">IF(AND(Tasks[[#This Row],[Task Name]]&lt;&gt;"",Tasks[[#This Row],[_Level]]=1),Tasks[[#This Row],[_Row]],"")</f>
        <v/>
      </c>
      <c r="FV184" s="45" t="str">
        <f aca="false">IF(AND(Tasks[[#This Row],[_IsLeaf]]=1,N(Tasks[[#This Row],[Duration]])=0),Tasks[[#This Row],[Planned Finish]]+Tasks[[#This Row],[_Row]]/100000,"")</f>
        <v/>
      </c>
      <c r="FW184" s="45" t="str">
        <f aca="false">IF(AND(Tasks[[#This Row],[_IsLeaf]]=1,Tasks[[#This Row],[_LeafProgress]]&lt;1,OR(N(Tasks[[#This Row],[Finish Var]])&gt;0,Tasks[[#This Row],[Status]]="Late Start")),MAX(0,Tasks[[#This Row],[Finish Var]])+1-Tasks[[#This Row],[_Row]]/1000000,"")</f>
        <v/>
      </c>
      <c r="FX184" s="45" t="str">
        <f aca="false">IF(AND(Tasks[[#This Row],[_IsLeaf]]=1,N(Tasks[[#This Row],[Actual Start]])=0,Tasks[[#This Row],[_ShownFcstStart]]&gt;=StatusDate,Tasks[[#This Row],[_ShownFcstStart]]&lt;=LookaheadEnd),Tasks[[#This Row],[_ShownFcstStart]]+Tasks[[#This Row],[_Row]]/100000,"")</f>
        <v/>
      </c>
      <c r="FY184" s="45" t="str">
        <f aca="false">IF(AND(Tasks[[#This Row],[_IsLeaf]]=1,Tasks[[#This Row],[_LeafProgress]]&lt;1,Tasks[[#This Row],[_ShownFcstFinish]]&gt;=StatusDate,Tasks[[#This Row],[_ShownFcstFinish]]&lt;=LookaheadEnd),Tasks[[#This Row],[_ShownFcstFinish]]+Tasks[[#This Row],[_Row]]/100000,"")</f>
        <v/>
      </c>
      <c r="FZ184" s="45" t="str">
        <f aca="false">IF(Tasks[[#This Row],[_LeafCritical]],Tasks[[#This Row],[_ShownFcstStart]]+Tasks[[#This Row],[_Row]]/100000,"")</f>
        <v/>
      </c>
      <c r="GA184" s="45" t="n">
        <f aca="false">Tasks[[#This Row],[_LeafWork]]*Tasks[[#This Row],[_LeafProgress]]</f>
        <v>0</v>
      </c>
      <c r="GB184" s="74" t="str">
        <f aca="false">IF(AND(Tasks[[#This Row],[_IsLeaf]]=1,Tasks[[#This Row],[_LeafProgress]]&gt;=1),IF(N(Tasks[[#This Row],[Actual Finish]])&gt;0,Tasks[[#This Row],[Actual Finish]],Tasks[[#This Row],[_ShownFcstFinish]]),"")</f>
        <v/>
      </c>
    </row>
    <row r="185" customFormat="false" ht="15" hidden="false" customHeight="false" outlineLevel="0" collapsed="false">
      <c r="A185" s="67" t="str">
        <f aca="false">IF(Tasks[[#This Row],[Task Name]]="","",COUNTA(Tasks[[#Headers],[Task Name]]:Tasks[[#This Row],[Task Name]])-1)</f>
        <v/>
      </c>
      <c r="B185" s="21" t="n">
        <v>180</v>
      </c>
      <c r="C18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21"/>
      <c r="E185" s="22"/>
      <c r="F185" s="21"/>
      <c r="G185" s="22"/>
      <c r="H185" s="22"/>
      <c r="I185" s="22"/>
      <c r="J185" s="7"/>
      <c r="K185" s="7"/>
      <c r="L185" s="22"/>
      <c r="M185" s="58" t="str">
        <f aca="false">IF(Tasks[[#This Row],[Task Name]]="","",IF(Tasks[[#This Row],[_IsSummary]],MIN(INDEX(Tasks[_ShownFcstStart],Tasks[[#This Row],[_Row]]+1):INDEX(Tasks[_ShownFcstStart],Tasks[[#This Row],[_Row]]+Tasks[[#This Row],[_Descendants]])),Tasks[[#This Row],[_ShownFcstStart]]))</f>
        <v/>
      </c>
      <c r="N185" s="58" t="str">
        <f aca="false">IF(Tasks[[#This Row],[Task Name]]="","",IF(Tasks[[#This Row],[_IsSummary]],MAX(INDEX(Tasks[_ShownFcstFinish],Tasks[[#This Row],[_Row]]+1):INDEX(Tasks[_ShownFcstFinish],Tasks[[#This Row],[_Row]]+Tasks[[#This Row],[_Descendants]])),Tasks[[#This Row],[_ShownFcstFinish]]))</f>
        <v/>
      </c>
      <c r="O185" s="20" t="str">
        <f aca="false">IF(Tasks[[#This Row],[Task Name]]="","",IF(Tasks[[#This Row],[Progress]]&gt;=1,"Complete",IF(OR(N(Tasks[[#This Row],[Actual Start]])&gt;0,Tasks[[#This Row],[Progress]]&gt;0),IF(Tasks[[#This Row],[Finish Var]]&gt;0,"Behind","In Progress"),IF(Tasks[[#This Row],[Planned Start]]&lt;StatusDate,"Late Start","Not Started"))))</f>
        <v/>
      </c>
      <c r="P185" s="20" t="str">
        <f aca="false">IF(Tasks[[#This Row],[Task Name]]="","",IF(IF(Tasks[[#This Row],[_IsSummary]],COUNTIF(INDEX(Tasks[_LeafCritical],Tasks[[#This Row],[_Row]]+1):INDEX(Tasks[_LeafCritical],Tasks[[#This Row],[_Row]]+Tasks[[#This Row],[_Descendants]]),TRUE())&gt;0,Tasks[[#This Row],[_LeafCritical]]),"Yes",""))</f>
        <v/>
      </c>
      <c r="Q18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85" s="67" t="str">
        <f aca="false">IF(Tasks[[#This Row],[Task Name]]="","",IF(Tasks[[#This Row],[_Level]]&lt;=OutlineShowLevel,"Yes","No"))</f>
        <v/>
      </c>
      <c r="S185" s="7"/>
      <c r="T185" s="21"/>
      <c r="U185" s="22"/>
      <c r="V185" s="7"/>
      <c r="W185" s="67" t="str">
        <f aca="false">IF(Tasks[[#This Row],[Task Name]]="","",IF(Tasks[[#This Row],[Finish]]&gt;=Tasks[[#This Row],[Planned Finish]],NETWORKDAYS.INTL(Tasks[[#This Row],[Planned Finish]],Tasks[[#This Row],[Finish]],WorkWeek,Holidays)-1,1-NETWORKDAYS.INTL(Tasks[[#This Row],[Finish]],Tasks[[#This Row],[Planned Finish]],WorkWeek,Holidays)))</f>
        <v/>
      </c>
      <c r="X185" s="58" t="str">
        <f aca="false">IF(Tasks[[#This Row],[Task Name]]="","",IF(N(Tasks[[#This Row],[Baseline Start]])&gt;0,Tasks[[#This Row],[Baseline Start]],Tasks[[#This Row],[_CalcStart]]))</f>
        <v/>
      </c>
      <c r="Y185" s="58" t="str">
        <f aca="false">IF(Tasks[[#This Row],[Task Name]]="","",IF(N(Tasks[[#This Row],[Baseline Finish]])&gt;0,Tasks[[#This Row],[Baseline Finish]],Tasks[[#This Row],[_CalcFinish]]))</f>
        <v/>
      </c>
      <c r="Z185" s="67" t="str">
        <f aca="false">IF(Tasks[[#This Row],[Task Name]]="","",IF(Tasks[[#This Row],[Start]]&gt;=Tasks[[#This Row],[Planned Start]],NETWORKDAYS.INTL(Tasks[[#This Row],[Planned Start]],Tasks[[#This Row],[Start]],WorkWeek,Holidays)-1,1-NETWORKDAYS.INTL(Tasks[[#This Row],[Start]],Tasks[[#This Row],[Planned Start]],WorkWeek,Holidays)))</f>
        <v/>
      </c>
      <c r="AA185" s="58" t="str">
        <f aca="false">IF(Tasks[[#This Row],[Task Name]]="","",IF(Tasks[[#This Row],[_IsSummary]],MIN(INDEX(Tasks[_LeafLateStart],Tasks[[#This Row],[_Row]]+1):INDEX(Tasks[_LeafLateStart],Tasks[[#This Row],[_Row]]+Tasks[[#This Row],[_Descendants]])),Tasks[[#This Row],[_LeafLateStart]]))</f>
        <v/>
      </c>
      <c r="AB185" s="58" t="str">
        <f aca="false">IF(Tasks[[#This Row],[Task Name]]="","",IF(Tasks[[#This Row],[_IsSummary]],MAX(INDEX(Tasks[_LeafLateFinish],Tasks[[#This Row],[_Row]]+1):INDEX(Tasks[_LeafLateFinish],Tasks[[#This Row],[_Row]]+Tasks[[#This Row],[_Descendants]])),Tasks[[#This Row],[_LeafLateFinish]]))</f>
        <v/>
      </c>
      <c r="AC185" s="67" t="str">
        <f aca="false">IF(Tasks[[#This Row],[Task Name]]="","",IF(Tasks[[#This Row],[_IsSummary]],MIN(INDEX(Tasks[_LeafTotalSlack],Tasks[[#This Row],[_Row]]+1):INDEX(Tasks[_LeafTotalSlack],Tasks[[#This Row],[_Row]]+Tasks[[#This Row],[_Descendants]])),Tasks[[#This Row],[_LeafTotalSlack]]))</f>
        <v/>
      </c>
      <c r="AD18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8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8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85" s="60"/>
      <c r="AH18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8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85" s="69" t="str">
        <f aca="false">IF(Tasks[[#This Row],[Task Name]]="","",IF(Tasks[[#This Row],[_IsSummary]],SUM(INDEX(Tasks[_LeafTotalWork],Tasks[[#This Row],[_Row]]+1):INDEX(Tasks[_LeafTotalWork],Tasks[[#This Row],[_Row]]+Tasks[[#This Row],[_Descendants]])),Tasks[[#This Row],[_LeafTotalWork]]))</f>
        <v/>
      </c>
      <c r="AK18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85" s="70" t="str">
        <f aca="false">IF(Tasks[[#This Row],[Task Name]]="","",IF(Tasks[[#This Row],[_IsSummary]],SUM(INDEX(Tasks[_LeafTotalCost],Tasks[[#This Row],[_Row]]+1):INDEX(Tasks[_LeafTotalCost],Tasks[[#This Row],[_Row]]+Tasks[[#This Row],[_Descendants]])),Tasks[[#This Row],[_LeafTotalCost]]))</f>
        <v/>
      </c>
      <c r="AM185" s="71"/>
      <c r="AN185" s="20" t="str">
        <f aca="false">IF(OR(Tasks[[#This Row],[Task Name]]="",Tasks[[#This Row],[Baseline Duration]]=""),"",Tasks[[#This Row],[BL Source Duration]]-N(Tasks[[#This Row],[Baseline Duration]]))</f>
        <v/>
      </c>
      <c r="AO185" s="69" t="str">
        <f aca="false">IF(OR(Tasks[[#This Row],[Task Name]]="",Tasks[[#This Row],[Baseline Work]]=""),"",Tasks[[#This Row],[Work]]-N(Tasks[[#This Row],[Baseline Work]]))</f>
        <v/>
      </c>
      <c r="AP185" s="70" t="str">
        <f aca="false">IF(OR(Tasks[[#This Row],[Task Name]]="",Tasks[[#This Row],[Baseline Cost]]=""),"",Tasks[[#This Row],[Cost]]-N(Tasks[[#This Row],[Baseline Cost]]))</f>
        <v/>
      </c>
      <c r="AQ185" s="58" t="str">
        <f aca="false">IF(Tasks[[#This Row],[Task Name]]="","",Tasks[[#This Row],[Start]])</f>
        <v/>
      </c>
      <c r="AR185" s="58" t="str">
        <f aca="false">IF(Tasks[[#This Row],[Task Name]]="","",Tasks[[#This Row],[Finish]])</f>
        <v/>
      </c>
      <c r="AS185" s="67" t="str">
        <f aca="false">IF(Tasks[[#This Row],[Task Name]]="","",IF(Tasks[[#This Row],[_IsSummary]],NETWORKDAYS.INTL(Tasks[[#This Row],[Start]],Tasks[[#This Row],[Finish]],WorkWeek,Holidays),N(Tasks[[#This Row],[Duration]])))</f>
        <v/>
      </c>
      <c r="AT185" s="69" t="str">
        <f aca="false">IF(Tasks[[#This Row],[Task Name]]="","",Tasks[[#This Row],[Work]])</f>
        <v/>
      </c>
      <c r="AU185" s="70" t="str">
        <f aca="false">IF(Tasks[[#This Row],[Task Name]]="","",Tasks[[#This Row],[Cost]])</f>
        <v/>
      </c>
      <c r="AV185" s="7"/>
      <c r="AW185" s="7"/>
      <c r="AX185" s="21"/>
      <c r="AY185" s="72"/>
      <c r="AZ185" s="71"/>
      <c r="BA185" s="70" t="str">
        <f aca="false">IF(Tasks[[#This Row],[Task Name]]="","",IF(Tasks[[#This Row],[_IsSummary]],SUM(INDEX(Tasks[_LeafEV],Tasks[[#This Row],[_Row]]+1):INDEX(Tasks[_LeafEV],Tasks[[#This Row],[_Row]]+Tasks[[#This Row],[_Descendants]])),Tasks[[#This Row],[_LeafEV]]))</f>
        <v/>
      </c>
      <c r="BB185" s="70" t="str">
        <f aca="false">IF(Tasks[[#This Row],[Task Name]]="","",IF(Tasks[[#This Row],[_IsSummary]],SUM(INDEX(Tasks[_LeafBudget],Tasks[[#This Row],[_Row]]+1):INDEX(Tasks[_LeafBudget],Tasks[[#This Row],[_Row]]+Tasks[[#This Row],[_Descendants]])),Tasks[[#This Row],[_LeafBudget]]))</f>
        <v/>
      </c>
      <c r="BC185" s="70" t="str">
        <f aca="false">IF(Tasks[[#This Row],[Task Name]]="","",IF(Tasks[[#This Row],[_IsSummary]],SUM(INDEX(Tasks[_LeafPV],Tasks[[#This Row],[_Row]]+1):INDEX(Tasks[_LeafPV],Tasks[[#This Row],[_Row]]+Tasks[[#This Row],[_Descendants]])),Tasks[[#This Row],[_LeafPV]]))</f>
        <v/>
      </c>
      <c r="BD185" s="70" t="str">
        <f aca="false">IF(Tasks[[#This Row],[Task Name]]="","",IF(Tasks[[#This Row],[_IsSummary]],SUM(INDEX(Tasks[_LeafAC],Tasks[[#This Row],[_Row]]+1):INDEX(Tasks[_LeafAC],Tasks[[#This Row],[_Row]]+Tasks[[#This Row],[_Descendants]])),Tasks[[#This Row],[_LeafAC]]))</f>
        <v/>
      </c>
      <c r="BE185" s="45" t="str">
        <f aca="false">IF(Tasks[[#This Row],[Task Name]]="","",MAX(1,N(Tasks[[#This Row],[Level]])))</f>
        <v/>
      </c>
      <c r="BF185" s="45" t="n">
        <f aca="false">ROW()-ROW(Tasks[[#Headers],[ID]])</f>
        <v>180</v>
      </c>
      <c r="BG185" s="45" t="n">
        <f aca="false">IF(OR(Tasks[[#This Row],[Task Name]]="",Tasks[[#This Row],[_Level]]&lt;=1),0,IFERROR(LOOKUP(2,1/(Tasks[[#Headers],[_Level]]:Tasks[[#This Row],[_Level]]=Tasks[[#This Row],[_Level]]-1),ROW(Tasks[[#Headers],[_Level]]:Tasks[[#This Row],[_Level]])),0))</f>
        <v>0</v>
      </c>
      <c r="BH185" s="45" t="n">
        <f aca="false">IFERROR(N(INDEX(Tasks[_Level],Tasks[[#This Row],[_Row]]+1)),0)</f>
        <v>0</v>
      </c>
      <c r="BI185" s="73" t="b">
        <f aca="false">AND(Tasks[[#This Row],[Task Name]]&lt;&gt;"",Tasks[[#This Row],[_NextLevel]]&gt;Tasks[[#This Row],[_Level]])</f>
        <v>0</v>
      </c>
      <c r="BJ185" s="45" t="n">
        <f aca="false">IF(Tasks[[#This Row],[_IsSummary]],COUNTIF(Tasks[WBS],Tasks[[#This Row],[WBS]]&amp;".*"),0)</f>
        <v>0</v>
      </c>
      <c r="BK185" s="45" t="n">
        <f aca="false">IF(AND(Tasks[[#This Row],[Task Name]]&lt;&gt;"",NOT(Tasks[[#This Row],[_IsSummary]])),1,0)</f>
        <v>0</v>
      </c>
      <c r="BL185" s="45" t="n">
        <f aca="false">IF(N(Tasks[[#This Row],[_Pred1UID]])=0,0,IFERROR(MATCH(Tasks[[#This Row],[_Pred1UID]],Tasks[UID],0),-1))</f>
        <v>0</v>
      </c>
      <c r="BM185" s="45" t="n">
        <f aca="false">IF(N(Tasks[[#This Row],[_Pred2UID]])=0,0,IFERROR(MATCH(Tasks[[#This Row],[_Pred2UID]],Tasks[UID],0),-1))</f>
        <v>0</v>
      </c>
      <c r="BN185" s="45" t="n">
        <f aca="false">IF(N(Tasks[[#This Row],[_Pred3UID]])=0,0,IFERROR(MATCH(Tasks[[#This Row],[_Pred3UID]],Tasks[UID],0),-1))</f>
        <v>0</v>
      </c>
      <c r="BO185" s="45" t="n">
        <f aca="false">IF(N(Tasks[[#This Row],[_Pred4UID]])=0,0,IFERROR(MATCH(Tasks[[#This Row],[_Pred4UID]],Tasks[UID],0),-1))</f>
        <v>0</v>
      </c>
      <c r="BP18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8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85" s="74" t="n">
        <f aca="false">IF(OR(Tasks[[#This Row],[_ConstraintCode]]=2,Tasks[[#This Row],[_ConstraintCode]]=3,Tasks[[#This Row],[_ConstraintCode]]=4,Tasks[[#This Row],[_ConstraintCode]]=6),Tasks[[#This Row],[_ConstraintStart]],0)</f>
        <v>0</v>
      </c>
      <c r="BS185" s="74" t="n">
        <f aca="false">IF(OR(Tasks[[#This Row],[_ConstraintCode]]=2,Tasks[[#This Row],[_ConstraintCode]]=3,Tasks[[#This Row],[_ConstraintCode]]=5,Tasks[[#This Row],[_ConstraintCode]]=7),Tasks[[#This Row],[_ConstraintStart]],2958465)</f>
        <v>2958465</v>
      </c>
      <c r="BT18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85" s="74" t="str">
        <f aca="false">IF(NOT(Tasks[[#This Row],[_IsLeaf]]=1),"",IF(N(Tasks[[#This Row],[Duration]])&lt;=0,Tasks[[#This Row],[_LeafCalcStart]],WORKDAY.INTL(Tasks[[#This Row],[_LeafCalcStart]],Tasks[[#This Row],[Duration]]-1,WorkWeek,Holidays)))</f>
        <v/>
      </c>
      <c r="BV18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8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85" s="45" t="str">
        <f aca="false">IF(Tasks[[#This Row],[Predecessors]]="","",TRIM(MID(SUBSTITUTE(SUBSTITUTE(SUBSTITUTE(UPPER(Tasks[[#This Row],[Predecessors]]),";",",")," ",""),",",REPT(" ",99)),1,99)))</f>
        <v/>
      </c>
      <c r="BY185" s="45" t="str">
        <f aca="false">IF(Tasks[[#This Row],[_Pred1Text]]="","",IFERROR(VALUE(LEFT(Tasks[[#This Row],[_Pred1Text]],MIN(FIND("F",Tasks[[#This Row],[_Pred1Text]]&amp;"F"),FIND("S",Tasks[[#This Row],[_Pred1Text]]&amp;"S"),FIND("+",Tasks[[#This Row],[_Pred1Text]]&amp;"+"),FIND("-",Tasks[[#This Row],[_Pred1Text]]&amp;"-"))-1)),""))</f>
        <v/>
      </c>
      <c r="BZ18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8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85" s="45" t="str">
        <f aca="false">IF(Tasks[[#This Row],[_Pred1Text]]="","",TRIM(MID(SUBSTITUTE(SUBSTITUTE(SUBSTITUTE(UPPER(Tasks[[#This Row],[Predecessors]]),";",",")," ",""),",",REPT(" ",99)),100,99)))</f>
        <v/>
      </c>
      <c r="CC185" s="45" t="str">
        <f aca="false">IF(Tasks[[#This Row],[_Pred2Text]]="","",IFERROR(VALUE(LEFT(Tasks[[#This Row],[_Pred2Text]],MIN(FIND("F",Tasks[[#This Row],[_Pred2Text]]&amp;"F"),FIND("S",Tasks[[#This Row],[_Pred2Text]]&amp;"S"),FIND("+",Tasks[[#This Row],[_Pred2Text]]&amp;"+"),FIND("-",Tasks[[#This Row],[_Pred2Text]]&amp;"-"))-1)),""))</f>
        <v/>
      </c>
      <c r="CD18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8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85" s="45" t="str">
        <f aca="false">IF(Tasks[[#This Row],[_Pred2Text]]="","",TRIM(MID(SUBSTITUTE(SUBSTITUTE(SUBSTITUTE(UPPER(Tasks[[#This Row],[Predecessors]]),";",",")," ",""),",",REPT(" ",99)),199,99)))</f>
        <v/>
      </c>
      <c r="CG185" s="45" t="str">
        <f aca="false">IF(Tasks[[#This Row],[_Pred3Text]]="","",IFERROR(VALUE(LEFT(Tasks[[#This Row],[_Pred3Text]],MIN(FIND("F",Tasks[[#This Row],[_Pred3Text]]&amp;"F"),FIND("S",Tasks[[#This Row],[_Pred3Text]]&amp;"S"),FIND("+",Tasks[[#This Row],[_Pred3Text]]&amp;"+"),FIND("-",Tasks[[#This Row],[_Pred3Text]]&amp;"-"))-1)),""))</f>
        <v/>
      </c>
      <c r="CH18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8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85" s="45" t="str">
        <f aca="false">IF(Tasks[[#This Row],[_Pred3Text]]="","",TRIM(MID(SUBSTITUTE(SUBSTITUTE(SUBSTITUTE(UPPER(Tasks[[#This Row],[Predecessors]]),";",",")," ",""),",",REPT(" ",99)),298,99)))</f>
        <v/>
      </c>
      <c r="CK185" s="45" t="str">
        <f aca="false">IF(Tasks[[#This Row],[_Pred4Text]]="","",IFERROR(VALUE(LEFT(Tasks[[#This Row],[_Pred4Text]],MIN(FIND("F",Tasks[[#This Row],[_Pred4Text]]&amp;"F"),FIND("S",Tasks[[#This Row],[_Pred4Text]]&amp;"S"),FIND("+",Tasks[[#This Row],[_Pred4Text]]&amp;"+"),FIND("-",Tasks[[#This Row],[_Pred4Text]]&amp;"-"))-1)),""))</f>
        <v/>
      </c>
      <c r="CL18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8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85" s="45" t="str">
        <f aca="false">IF(OR(Tasks[[#This Row],[Task Name]]="",Tasks[[#This Row],[Resources]]=""),"",TRIM(MID(SUBSTITUTE(Tasks[[#This Row],[Resources]],",",REPT(" ",99)),1,99)))</f>
        <v/>
      </c>
      <c r="CO185" s="45" t="str">
        <f aca="false">IF(Tasks[[#This Row],[_Res1Text]]="","",TRIM(MID(SUBSTITUTE(Tasks[[#This Row],[Resources]],",",REPT(" ",99)),100,99)))</f>
        <v/>
      </c>
      <c r="CP185" s="45" t="str">
        <f aca="false">IF(Tasks[[#This Row],[_Res2Text]]="","",TRIM(MID(SUBSTITUTE(Tasks[[#This Row],[Resources]],",",REPT(" ",99)),199,99)))</f>
        <v/>
      </c>
      <c r="CQ185" s="45" t="str">
        <f aca="false">IF(Tasks[[#This Row],[_Res3Text]]="","",TRIM(MID(SUBSTITUTE(Tasks[[#This Row],[Resources]],",",REPT(" ",99)),298,99)))</f>
        <v/>
      </c>
      <c r="CR18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8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5" s="45" t="n">
        <f aca="false">IF(NOT(Tasks[[#This Row],[_IsLeaf]]=1),0,(Tasks[[#This Row],[_Resource1]]&lt;&gt;"")+(Tasks[[#This Row],[_Res2]]&lt;&gt;"")+(Tasks[[#This Row],[_Res3]]&lt;&gt;"")+(Tasks[[#This Row],[_Res4]]&lt;&gt;""))</f>
        <v>0</v>
      </c>
      <c r="CU18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8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5" s="45" t="n">
        <f aca="false">IF(OR(NOT(Tasks[[#This Row],[_IsLeaf]]=1),Tasks[[#This Row],[_Res2]]=""),0,IF(ISNA(MATCH(Tasks[[#This Row],[_Res2]],res_Name,0)),0,N(Tasks[[#This Row],[Duration]])*HoursPerDay*IF(Tasks[[#This Row],[_Res2Units]]="",DefaultUnits,Tasks[[#This Row],[_Res2Units]])))</f>
        <v>0</v>
      </c>
      <c r="CX185" s="45" t="n">
        <f aca="false">IF(Tasks[[#This Row],[_Res2Work]]=0,0,Tasks[[#This Row],[_Res2Work]]*IFERROR(INDEX(res_Rate,MATCH(Tasks[[#This Row],[_Res2]],res_Name,0)),0))</f>
        <v>0</v>
      </c>
      <c r="CY185" s="45" t="n">
        <f aca="false">IF(AND(AND(Tasks[[#This Row],[_IsLeaf]]=1,Tasks[[#This Row],[_LeafTotalWork]]&gt;0),Tasks[[#This Row],[_Res2Work]]&gt;0),Tasks[[#This Row],[_Res2Work]]/(Tasks[[#This Row],[_FinishWorkday]]-Tasks[[#This Row],[_StartWorkday]]+1),0)</f>
        <v>0</v>
      </c>
      <c r="CZ185" s="45" t="n">
        <f aca="false">Tasks[[#This Row],[_Res2WorkPerWD]]*MAX(0,Tasks[[#This Row],[_StartWorkday]]-1)</f>
        <v>0</v>
      </c>
      <c r="DA185" s="45" t="n">
        <f aca="false">Tasks[[#This Row],[_Res2Work]]*Tasks[[#This Row],[_LeafProgress]]</f>
        <v>0</v>
      </c>
      <c r="DB185" s="45" t="n">
        <f aca="false">IF(Tasks[[#This Row],[_LeafTotalCost]]=0,0,Tasks[[#This Row],[_LeafAC]]*Tasks[[#This Row],[_Res2Cost]]/Tasks[[#This Row],[_LeafTotalCost]])</f>
        <v>0</v>
      </c>
      <c r="DC18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8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85" s="45" t="n">
        <f aca="false">IF(OR(NOT(Tasks[[#This Row],[_IsLeaf]]=1),Tasks[[#This Row],[_Res3]]=""),0,IF(ISNA(MATCH(Tasks[[#This Row],[_Res3]],res_Name,0)),0,N(Tasks[[#This Row],[Duration]])*HoursPerDay*IF(Tasks[[#This Row],[_Res3Units]]="",DefaultUnits,Tasks[[#This Row],[_Res3Units]])))</f>
        <v>0</v>
      </c>
      <c r="DF185" s="45" t="n">
        <f aca="false">IF(Tasks[[#This Row],[_Res3Work]]=0,0,Tasks[[#This Row],[_Res3Work]]*IFERROR(INDEX(res_Rate,MATCH(Tasks[[#This Row],[_Res3]],res_Name,0)),0))</f>
        <v>0</v>
      </c>
      <c r="DG185" s="45" t="n">
        <f aca="false">IF(AND(AND(Tasks[[#This Row],[_IsLeaf]]=1,Tasks[[#This Row],[_LeafTotalWork]]&gt;0),Tasks[[#This Row],[_Res3Work]]&gt;0),Tasks[[#This Row],[_Res3Work]]/(Tasks[[#This Row],[_FinishWorkday]]-Tasks[[#This Row],[_StartWorkday]]+1),0)</f>
        <v>0</v>
      </c>
      <c r="DH185" s="45" t="n">
        <f aca="false">Tasks[[#This Row],[_Res3WorkPerWD]]*MAX(0,Tasks[[#This Row],[_StartWorkday]]-1)</f>
        <v>0</v>
      </c>
      <c r="DI185" s="45" t="n">
        <f aca="false">Tasks[[#This Row],[_Res3Work]]*Tasks[[#This Row],[_LeafProgress]]</f>
        <v>0</v>
      </c>
      <c r="DJ185" s="45" t="n">
        <f aca="false">IF(Tasks[[#This Row],[_LeafTotalCost]]=0,0,Tasks[[#This Row],[_LeafAC]]*Tasks[[#This Row],[_Res3Cost]]/Tasks[[#This Row],[_LeafTotalCost]])</f>
        <v>0</v>
      </c>
      <c r="DK18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8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85" s="45" t="n">
        <f aca="false">IF(OR(NOT(Tasks[[#This Row],[_IsLeaf]]=1),Tasks[[#This Row],[_Res4]]=""),0,IF(ISNA(MATCH(Tasks[[#This Row],[_Res4]],res_Name,0)),0,N(Tasks[[#This Row],[Duration]])*HoursPerDay*IF(Tasks[[#This Row],[_Res4Units]]="",DefaultUnits,Tasks[[#This Row],[_Res4Units]])))</f>
        <v>0</v>
      </c>
      <c r="DN185" s="45" t="n">
        <f aca="false">IF(Tasks[[#This Row],[_Res4Work]]=0,0,Tasks[[#This Row],[_Res4Work]]*IFERROR(INDEX(res_Rate,MATCH(Tasks[[#This Row],[_Res4]],res_Name,0)),0))</f>
        <v>0</v>
      </c>
      <c r="DO185" s="45" t="n">
        <f aca="false">IF(AND(AND(Tasks[[#This Row],[_IsLeaf]]=1,Tasks[[#This Row],[_LeafTotalWork]]&gt;0),Tasks[[#This Row],[_Res4Work]]&gt;0),Tasks[[#This Row],[_Res4Work]]/(Tasks[[#This Row],[_FinishWorkday]]-Tasks[[#This Row],[_StartWorkday]]+1),0)</f>
        <v>0</v>
      </c>
      <c r="DP185" s="45" t="n">
        <f aca="false">Tasks[[#This Row],[_Res4WorkPerWD]]*MAX(0,Tasks[[#This Row],[_StartWorkday]]-1)</f>
        <v>0</v>
      </c>
      <c r="DQ185" s="45" t="n">
        <f aca="false">Tasks[[#This Row],[_Res4Work]]*Tasks[[#This Row],[_LeafProgress]]</f>
        <v>0</v>
      </c>
      <c r="DR185" s="45" t="n">
        <f aca="false">IF(Tasks[[#This Row],[_LeafTotalCost]]=0,0,Tasks[[#This Row],[_LeafAC]]*Tasks[[#This Row],[_Res4Cost]]/Tasks[[#This Row],[_LeafTotalCost]])</f>
        <v>0</v>
      </c>
      <c r="DS185" s="45" t="n">
        <f aca="false">IF(ISNUMBER(Tasks[[#This Row],[% Complete]]),Tasks[[#This Row],[% Complete]],IF(Tasks[[#This Row],[Stage]]="",0,IFERROR(INDEX(stg_Pct,MATCH(Tasks[[#This Row],[Stage]],stg_Name,0)),0)))</f>
        <v>0</v>
      </c>
      <c r="DT185" s="45" t="n">
        <f aca="false">IF(NOT(Tasks[[#This Row],[_IsLeaf]]=1),0,IF(N(Tasks[[#This Row],[Actual Finish]])&gt;0,1,MIN(1,Tasks[[#This Row],[_Pct]])))</f>
        <v>0</v>
      </c>
      <c r="DU185" s="45" t="n">
        <f aca="false">IF(OR(NOT(Tasks[[#This Row],[_IsLeaf]]=1),Tasks[[#This Row],[_Resource1]]=""),0,IF(ISNA(MATCH(Tasks[[#This Row],[_Resource1]],res_Name,0)),0,N(Tasks[[#This Row],[Duration]])*HoursPerDay*IF(Tasks[[#This Row],[_Units1]]="",DefaultUnits,Tasks[[#This Row],[_Units1]])))</f>
        <v>0</v>
      </c>
      <c r="DV185" s="45" t="n">
        <f aca="false">IF(Tasks[[#This Row],[_LeafWork]]=0,0,Tasks[[#This Row],[_LeafWork]]*IFERROR(INDEX(res_Rate,MATCH(Tasks[[#This Row],[_Resource1]],res_Name,0)),0))</f>
        <v>0</v>
      </c>
      <c r="DW185" s="45" t="n">
        <f aca="false">Tasks[[#This Row],[_LeafWork]]+Tasks[[#This Row],[_Res2Work]]+Tasks[[#This Row],[_Res3Work]]+Tasks[[#This Row],[_Res4Work]]</f>
        <v>0</v>
      </c>
      <c r="DX185" s="45" t="n">
        <f aca="false">Tasks[[#This Row],[_LeafCost]]+Tasks[[#This Row],[_Res2Cost]]+Tasks[[#This Row],[_Res3Cost]]+Tasks[[#This Row],[_Res4Cost]]</f>
        <v>0</v>
      </c>
      <c r="DY185" s="45" t="n">
        <f aca="false">IF(Tasks[[#This Row],[_LeafTotalCost]]=0,Tasks[[#This Row],[_LeafAC]],Tasks[[#This Row],[_LeafAC]]*Tasks[[#This Row],[_LeafCost]]/Tasks[[#This Row],[_LeafTotalCost]])</f>
        <v>0</v>
      </c>
      <c r="DZ18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8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8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8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8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8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8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8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85" s="45" t="n">
        <f aca="false">IF(NOT(Tasks[[#This Row],[_IsLeaf]]=1),0,MAX(_xlfn.MAXIFS(Tasks[_Row],Tasks[_Pred1UID],Tasks[[#This Row],[UID]]),_xlfn.MAXIFS(Tasks[_Row],Tasks[_Pred2UID],Tasks[[#This Row],[UID]]),_xlfn.MAXIFS(Tasks[_Row],Tasks[_Pred3UID],Tasks[[#This Row],[UID]]),_xlfn.MAXIFS(Tasks[_Row],Tasks[_Pred4UID],Tasks[[#This Row],[UID]])))</f>
        <v>0</v>
      </c>
      <c r="EI18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8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85" s="74" t="str">
        <f aca="false">IF(NOT(Tasks[[#This Row],[_IsLeaf]]=1),"",IF(N(Tasks[[#This Row],[Duration]])&lt;=0,Tasks[[#This Row],[_LeafLateFinish]],WORKDAY.INTL(Tasks[[#This Row],[_LeafLateFinish]],-(Tasks[[#This Row],[Duration]]-1),WorkWeek,Holidays)))</f>
        <v/>
      </c>
      <c r="EL18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85" s="73" t="b">
        <f aca="false">AND(Tasks[[#This Row],[_IsLeaf]]=1,Tasks[[#This Row],[_LeafProgress]]&lt;1,N(Tasks[[#This Row],[_LeafTotalSlack]])&lt;=CriticalSlackDays)</f>
        <v>0</v>
      </c>
      <c r="EN185" s="45" t="n">
        <f aca="false">IF(AND(Tasks[[#This Row],[_IsLeaf]]=1,Tasks[[#This Row],[_ConstraintCode]]=1,Tasks[[#This Row],[Mode]]&lt;&gt;"Manual",N(Tasks[[#This Row],[Actual Start]])=0),MAX(0,N(Tasks[[#This Row],[Free Slack]])),0)</f>
        <v>0</v>
      </c>
      <c r="EO185" s="74" t="str">
        <f aca="false">IF(NOT(Tasks[[#This Row],[_IsLeaf]]=1),"",IF(Tasks[[#This Row],[_AlapShift]]=0,Tasks[[#This Row],[_LeafCalcStart]],WORKDAY.INTL(Tasks[[#This Row],[_LeafCalcStart]],Tasks[[#This Row],[_AlapShift]],WorkWeek,Holidays)))</f>
        <v/>
      </c>
      <c r="EP185" s="74" t="str">
        <f aca="false">IF(NOT(Tasks[[#This Row],[_IsLeaf]]=1),"",IF(Tasks[[#This Row],[_AlapShift]]=0,Tasks[[#This Row],[_LeafCalcFinish]],WORKDAY.INTL(Tasks[[#This Row],[_LeafCalcFinish]],Tasks[[#This Row],[_AlapShift]],WorkWeek,Holidays)))</f>
        <v/>
      </c>
      <c r="EQ185" s="74" t="str">
        <f aca="false">IF(NOT(Tasks[[#This Row],[_IsLeaf]]=1),"",IF(Tasks[[#This Row],[_AlapShift]]=0,Tasks[[#This Row],[_LeafFcstStart]],WORKDAY.INTL(Tasks[[#This Row],[_LeafFcstStart]],Tasks[[#This Row],[_AlapShift]],WorkWeek,Holidays)))</f>
        <v/>
      </c>
      <c r="ER185" s="74" t="str">
        <f aca="false">IF(NOT(Tasks[[#This Row],[_IsLeaf]]=1),"",IF(Tasks[[#This Row],[_AlapShift]]=0,Tasks[[#This Row],[_LeafFcstFinish]],WORKDAY.INTL(Tasks[[#This Row],[_LeafFcstFinish]],Tasks[[#This Row],[_AlapShift]],WorkWeek,Holidays)))</f>
        <v/>
      </c>
      <c r="ES185" s="74" t="str">
        <f aca="false">IF(Tasks[[#This Row],[Task Name]]="","",IF(Tasks[[#This Row],[_IsSummary]],MIN(INDEX(Tasks[_ShownCalcStart],Tasks[[#This Row],[_Row]]+1):INDEX(Tasks[_ShownCalcStart],Tasks[[#This Row],[_Row]]+Tasks[[#This Row],[_Descendants]])),Tasks[[#This Row],[_ShownCalcStart]]))</f>
        <v/>
      </c>
      <c r="ET185" s="74" t="str">
        <f aca="false">IF(Tasks[[#This Row],[Task Name]]="","",IF(Tasks[[#This Row],[_IsSummary]],MAX(INDEX(Tasks[_ShownCalcFinish],Tasks[[#This Row],[_Row]]+1):INDEX(Tasks[_ShownCalcFinish],Tasks[[#This Row],[_Row]]+Tasks[[#This Row],[_Descendants]])),Tasks[[#This Row],[_ShownCalcFinish]]))</f>
        <v/>
      </c>
      <c r="EU18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8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8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8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8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8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8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8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8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8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8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8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85" s="45" t="n">
        <f aca="false">IF(AND(Tasks[[#This Row],[_IsLeaf]]=1,Tasks[[#This Row],[_LeafTotalWork]]&gt;0),NETWORKDAYS.INTL(ProjectStart,Tasks[[#This Row],[_ShownFcstStart]],WorkWeek,Holidays),0)</f>
        <v>0</v>
      </c>
      <c r="FH185" s="45" t="n">
        <f aca="false">IF(AND(Tasks[[#This Row],[_IsLeaf]]=1,Tasks[[#This Row],[_LeafTotalWork]]&gt;0),MAX(Tasks[[#This Row],[_StartWorkday]],NETWORKDAYS.INTL(ProjectStart,Tasks[[#This Row],[_ShownFcstFinish]],WorkWeek,Holidays)),0)</f>
        <v>0</v>
      </c>
      <c r="FI185" s="45" t="n">
        <f aca="false">IF(AND(Tasks[[#This Row],[_IsLeaf]]=1,Tasks[[#This Row],[_LeafTotalWork]]&gt;0),Tasks[[#This Row],[_LeafWork]]/(Tasks[[#This Row],[_FinishWorkday]]-Tasks[[#This Row],[_StartWorkday]]+1),0)</f>
        <v>0</v>
      </c>
      <c r="FJ185" s="45" t="n">
        <f aca="false">Tasks[[#This Row],[_WorkPerWorkday]]*(Tasks[[#This Row],[_StartWorkday]]-1)</f>
        <v>-0</v>
      </c>
      <c r="FK185" s="45" t="n">
        <f aca="false">IF(Tasks[[#This Row],[_IsLeaf]]=1,MAX(N(Tasks[[#This Row],[Duration]]),0.1),0)</f>
        <v>0</v>
      </c>
      <c r="FL185" s="45" t="n">
        <f aca="false">Tasks[[#This Row],[_WeightDur]]*Tasks[[#This Row],[_LeafProgress]]</f>
        <v>0</v>
      </c>
      <c r="FM18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85" s="45" t="str">
        <f aca="false">IF(AND(Tasks[[#This Row],[_IsLeaf]]=1,N(Tasks[[#This Row],[Duration]])=0,Tasks[[#This Row],[_LeafProgress]]&lt;1),Tasks[[#This Row],[_ShownFcstFinish]]+Tasks[[#This Row],[_Row]]/100000,"")</f>
        <v/>
      </c>
      <c r="FO18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85" s="45" t="n">
        <f aca="false">IF(NOT(Tasks[[#This Row],[_IsLeaf]]=1),0,IF(Tasks[[#This Row],[Baseline Cost]]="",Tasks[[#This Row],[_LeafTotalCost]],N(Tasks[[#This Row],[Baseline Cost]])))</f>
        <v>0</v>
      </c>
      <c r="FQ185" s="45" t="n">
        <f aca="false">Tasks[[#This Row],[_LeafBudget]]*Tasks[[#This Row],[_PlannedPct]]</f>
        <v>0</v>
      </c>
      <c r="FR185" s="45" t="n">
        <f aca="false">Tasks[[#This Row],[_LeafBudget]]*Tasks[[#This Row],[_LeafProgress]]</f>
        <v>0</v>
      </c>
      <c r="FS185" s="45" t="n">
        <f aca="false">IF(NOT(Tasks[[#This Row],[_IsLeaf]]=1),0,IF(Tasks[[#This Row],[Actual Cost]]="",Tasks[[#This Row],[_LeafTotalCost]]*Tasks[[#This Row],[_LeafProgress]],N(Tasks[[#This Row],[Actual Cost]])))</f>
        <v>0</v>
      </c>
      <c r="FT185" s="45" t="str">
        <f aca="false">IF(Tasks[[#This Row],[Task Name]]="","",LEFT(Tasks[[#This Row],[WBS]],FIND(".",Tasks[[#This Row],[WBS]]&amp;".")-1))</f>
        <v/>
      </c>
      <c r="FU185" s="45" t="str">
        <f aca="false">IF(AND(Tasks[[#This Row],[Task Name]]&lt;&gt;"",Tasks[[#This Row],[_Level]]=1),Tasks[[#This Row],[_Row]],"")</f>
        <v/>
      </c>
      <c r="FV185" s="45" t="str">
        <f aca="false">IF(AND(Tasks[[#This Row],[_IsLeaf]]=1,N(Tasks[[#This Row],[Duration]])=0),Tasks[[#This Row],[Planned Finish]]+Tasks[[#This Row],[_Row]]/100000,"")</f>
        <v/>
      </c>
      <c r="FW185" s="45" t="str">
        <f aca="false">IF(AND(Tasks[[#This Row],[_IsLeaf]]=1,Tasks[[#This Row],[_LeafProgress]]&lt;1,OR(N(Tasks[[#This Row],[Finish Var]])&gt;0,Tasks[[#This Row],[Status]]="Late Start")),MAX(0,Tasks[[#This Row],[Finish Var]])+1-Tasks[[#This Row],[_Row]]/1000000,"")</f>
        <v/>
      </c>
      <c r="FX185" s="45" t="str">
        <f aca="false">IF(AND(Tasks[[#This Row],[_IsLeaf]]=1,N(Tasks[[#This Row],[Actual Start]])=0,Tasks[[#This Row],[_ShownFcstStart]]&gt;=StatusDate,Tasks[[#This Row],[_ShownFcstStart]]&lt;=LookaheadEnd),Tasks[[#This Row],[_ShownFcstStart]]+Tasks[[#This Row],[_Row]]/100000,"")</f>
        <v/>
      </c>
      <c r="FY185" s="45" t="str">
        <f aca="false">IF(AND(Tasks[[#This Row],[_IsLeaf]]=1,Tasks[[#This Row],[_LeafProgress]]&lt;1,Tasks[[#This Row],[_ShownFcstFinish]]&gt;=StatusDate,Tasks[[#This Row],[_ShownFcstFinish]]&lt;=LookaheadEnd),Tasks[[#This Row],[_ShownFcstFinish]]+Tasks[[#This Row],[_Row]]/100000,"")</f>
        <v/>
      </c>
      <c r="FZ185" s="45" t="str">
        <f aca="false">IF(Tasks[[#This Row],[_LeafCritical]],Tasks[[#This Row],[_ShownFcstStart]]+Tasks[[#This Row],[_Row]]/100000,"")</f>
        <v/>
      </c>
      <c r="GA185" s="45" t="n">
        <f aca="false">Tasks[[#This Row],[_LeafWork]]*Tasks[[#This Row],[_LeafProgress]]</f>
        <v>0</v>
      </c>
      <c r="GB185" s="74" t="str">
        <f aca="false">IF(AND(Tasks[[#This Row],[_IsLeaf]]=1,Tasks[[#This Row],[_LeafProgress]]&gt;=1),IF(N(Tasks[[#This Row],[Actual Finish]])&gt;0,Tasks[[#This Row],[Actual Finish]],Tasks[[#This Row],[_ShownFcstFinish]]),"")</f>
        <v/>
      </c>
    </row>
    <row r="186" customFormat="false" ht="15" hidden="false" customHeight="false" outlineLevel="0" collapsed="false">
      <c r="A186" s="67" t="str">
        <f aca="false">IF(Tasks[[#This Row],[Task Name]]="","",COUNTA(Tasks[[#Headers],[Task Name]]:Tasks[[#This Row],[Task Name]])-1)</f>
        <v/>
      </c>
      <c r="B186" s="21" t="n">
        <v>181</v>
      </c>
      <c r="C18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21"/>
      <c r="E186" s="22"/>
      <c r="F186" s="21"/>
      <c r="G186" s="22"/>
      <c r="H186" s="22"/>
      <c r="I186" s="22"/>
      <c r="J186" s="7"/>
      <c r="K186" s="7"/>
      <c r="L186" s="22"/>
      <c r="M186" s="58" t="str">
        <f aca="false">IF(Tasks[[#This Row],[Task Name]]="","",IF(Tasks[[#This Row],[_IsSummary]],MIN(INDEX(Tasks[_ShownFcstStart],Tasks[[#This Row],[_Row]]+1):INDEX(Tasks[_ShownFcstStart],Tasks[[#This Row],[_Row]]+Tasks[[#This Row],[_Descendants]])),Tasks[[#This Row],[_ShownFcstStart]]))</f>
        <v/>
      </c>
      <c r="N186" s="58" t="str">
        <f aca="false">IF(Tasks[[#This Row],[Task Name]]="","",IF(Tasks[[#This Row],[_IsSummary]],MAX(INDEX(Tasks[_ShownFcstFinish],Tasks[[#This Row],[_Row]]+1):INDEX(Tasks[_ShownFcstFinish],Tasks[[#This Row],[_Row]]+Tasks[[#This Row],[_Descendants]])),Tasks[[#This Row],[_ShownFcstFinish]]))</f>
        <v/>
      </c>
      <c r="O186" s="20" t="str">
        <f aca="false">IF(Tasks[[#This Row],[Task Name]]="","",IF(Tasks[[#This Row],[Progress]]&gt;=1,"Complete",IF(OR(N(Tasks[[#This Row],[Actual Start]])&gt;0,Tasks[[#This Row],[Progress]]&gt;0),IF(Tasks[[#This Row],[Finish Var]]&gt;0,"Behind","In Progress"),IF(Tasks[[#This Row],[Planned Start]]&lt;StatusDate,"Late Start","Not Started"))))</f>
        <v/>
      </c>
      <c r="P186" s="20" t="str">
        <f aca="false">IF(Tasks[[#This Row],[Task Name]]="","",IF(IF(Tasks[[#This Row],[_IsSummary]],COUNTIF(INDEX(Tasks[_LeafCritical],Tasks[[#This Row],[_Row]]+1):INDEX(Tasks[_LeafCritical],Tasks[[#This Row],[_Row]]+Tasks[[#This Row],[_Descendants]]),TRUE())&gt;0,Tasks[[#This Row],[_LeafCritical]]),"Yes",""))</f>
        <v/>
      </c>
      <c r="Q18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86" s="67" t="str">
        <f aca="false">IF(Tasks[[#This Row],[Task Name]]="","",IF(Tasks[[#This Row],[_Level]]&lt;=OutlineShowLevel,"Yes","No"))</f>
        <v/>
      </c>
      <c r="S186" s="7"/>
      <c r="T186" s="21"/>
      <c r="U186" s="22"/>
      <c r="V186" s="7"/>
      <c r="W186" s="67" t="str">
        <f aca="false">IF(Tasks[[#This Row],[Task Name]]="","",IF(Tasks[[#This Row],[Finish]]&gt;=Tasks[[#This Row],[Planned Finish]],NETWORKDAYS.INTL(Tasks[[#This Row],[Planned Finish]],Tasks[[#This Row],[Finish]],WorkWeek,Holidays)-1,1-NETWORKDAYS.INTL(Tasks[[#This Row],[Finish]],Tasks[[#This Row],[Planned Finish]],WorkWeek,Holidays)))</f>
        <v/>
      </c>
      <c r="X186" s="58" t="str">
        <f aca="false">IF(Tasks[[#This Row],[Task Name]]="","",IF(N(Tasks[[#This Row],[Baseline Start]])&gt;0,Tasks[[#This Row],[Baseline Start]],Tasks[[#This Row],[_CalcStart]]))</f>
        <v/>
      </c>
      <c r="Y186" s="58" t="str">
        <f aca="false">IF(Tasks[[#This Row],[Task Name]]="","",IF(N(Tasks[[#This Row],[Baseline Finish]])&gt;0,Tasks[[#This Row],[Baseline Finish]],Tasks[[#This Row],[_CalcFinish]]))</f>
        <v/>
      </c>
      <c r="Z186" s="67" t="str">
        <f aca="false">IF(Tasks[[#This Row],[Task Name]]="","",IF(Tasks[[#This Row],[Start]]&gt;=Tasks[[#This Row],[Planned Start]],NETWORKDAYS.INTL(Tasks[[#This Row],[Planned Start]],Tasks[[#This Row],[Start]],WorkWeek,Holidays)-1,1-NETWORKDAYS.INTL(Tasks[[#This Row],[Start]],Tasks[[#This Row],[Planned Start]],WorkWeek,Holidays)))</f>
        <v/>
      </c>
      <c r="AA186" s="58" t="str">
        <f aca="false">IF(Tasks[[#This Row],[Task Name]]="","",IF(Tasks[[#This Row],[_IsSummary]],MIN(INDEX(Tasks[_LeafLateStart],Tasks[[#This Row],[_Row]]+1):INDEX(Tasks[_LeafLateStart],Tasks[[#This Row],[_Row]]+Tasks[[#This Row],[_Descendants]])),Tasks[[#This Row],[_LeafLateStart]]))</f>
        <v/>
      </c>
      <c r="AB186" s="58" t="str">
        <f aca="false">IF(Tasks[[#This Row],[Task Name]]="","",IF(Tasks[[#This Row],[_IsSummary]],MAX(INDEX(Tasks[_LeafLateFinish],Tasks[[#This Row],[_Row]]+1):INDEX(Tasks[_LeafLateFinish],Tasks[[#This Row],[_Row]]+Tasks[[#This Row],[_Descendants]])),Tasks[[#This Row],[_LeafLateFinish]]))</f>
        <v/>
      </c>
      <c r="AC186" s="67" t="str">
        <f aca="false">IF(Tasks[[#This Row],[Task Name]]="","",IF(Tasks[[#This Row],[_IsSummary]],MIN(INDEX(Tasks[_LeafTotalSlack],Tasks[[#This Row],[_Row]]+1):INDEX(Tasks[_LeafTotalSlack],Tasks[[#This Row],[_Row]]+Tasks[[#This Row],[_Descendants]])),Tasks[[#This Row],[_LeafTotalSlack]]))</f>
        <v/>
      </c>
      <c r="AD18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8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8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86" s="60"/>
      <c r="AH18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8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86" s="69" t="str">
        <f aca="false">IF(Tasks[[#This Row],[Task Name]]="","",IF(Tasks[[#This Row],[_IsSummary]],SUM(INDEX(Tasks[_LeafTotalWork],Tasks[[#This Row],[_Row]]+1):INDEX(Tasks[_LeafTotalWork],Tasks[[#This Row],[_Row]]+Tasks[[#This Row],[_Descendants]])),Tasks[[#This Row],[_LeafTotalWork]]))</f>
        <v/>
      </c>
      <c r="AK18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86" s="70" t="str">
        <f aca="false">IF(Tasks[[#This Row],[Task Name]]="","",IF(Tasks[[#This Row],[_IsSummary]],SUM(INDEX(Tasks[_LeafTotalCost],Tasks[[#This Row],[_Row]]+1):INDEX(Tasks[_LeafTotalCost],Tasks[[#This Row],[_Row]]+Tasks[[#This Row],[_Descendants]])),Tasks[[#This Row],[_LeafTotalCost]]))</f>
        <v/>
      </c>
      <c r="AM186" s="71"/>
      <c r="AN186" s="20" t="str">
        <f aca="false">IF(OR(Tasks[[#This Row],[Task Name]]="",Tasks[[#This Row],[Baseline Duration]]=""),"",Tasks[[#This Row],[BL Source Duration]]-N(Tasks[[#This Row],[Baseline Duration]]))</f>
        <v/>
      </c>
      <c r="AO186" s="69" t="str">
        <f aca="false">IF(OR(Tasks[[#This Row],[Task Name]]="",Tasks[[#This Row],[Baseline Work]]=""),"",Tasks[[#This Row],[Work]]-N(Tasks[[#This Row],[Baseline Work]]))</f>
        <v/>
      </c>
      <c r="AP186" s="70" t="str">
        <f aca="false">IF(OR(Tasks[[#This Row],[Task Name]]="",Tasks[[#This Row],[Baseline Cost]]=""),"",Tasks[[#This Row],[Cost]]-N(Tasks[[#This Row],[Baseline Cost]]))</f>
        <v/>
      </c>
      <c r="AQ186" s="58" t="str">
        <f aca="false">IF(Tasks[[#This Row],[Task Name]]="","",Tasks[[#This Row],[Start]])</f>
        <v/>
      </c>
      <c r="AR186" s="58" t="str">
        <f aca="false">IF(Tasks[[#This Row],[Task Name]]="","",Tasks[[#This Row],[Finish]])</f>
        <v/>
      </c>
      <c r="AS186" s="67" t="str">
        <f aca="false">IF(Tasks[[#This Row],[Task Name]]="","",IF(Tasks[[#This Row],[_IsSummary]],NETWORKDAYS.INTL(Tasks[[#This Row],[Start]],Tasks[[#This Row],[Finish]],WorkWeek,Holidays),N(Tasks[[#This Row],[Duration]])))</f>
        <v/>
      </c>
      <c r="AT186" s="69" t="str">
        <f aca="false">IF(Tasks[[#This Row],[Task Name]]="","",Tasks[[#This Row],[Work]])</f>
        <v/>
      </c>
      <c r="AU186" s="70" t="str">
        <f aca="false">IF(Tasks[[#This Row],[Task Name]]="","",Tasks[[#This Row],[Cost]])</f>
        <v/>
      </c>
      <c r="AV186" s="7"/>
      <c r="AW186" s="7"/>
      <c r="AX186" s="21"/>
      <c r="AY186" s="72"/>
      <c r="AZ186" s="71"/>
      <c r="BA186" s="70" t="str">
        <f aca="false">IF(Tasks[[#This Row],[Task Name]]="","",IF(Tasks[[#This Row],[_IsSummary]],SUM(INDEX(Tasks[_LeafEV],Tasks[[#This Row],[_Row]]+1):INDEX(Tasks[_LeafEV],Tasks[[#This Row],[_Row]]+Tasks[[#This Row],[_Descendants]])),Tasks[[#This Row],[_LeafEV]]))</f>
        <v/>
      </c>
      <c r="BB186" s="70" t="str">
        <f aca="false">IF(Tasks[[#This Row],[Task Name]]="","",IF(Tasks[[#This Row],[_IsSummary]],SUM(INDEX(Tasks[_LeafBudget],Tasks[[#This Row],[_Row]]+1):INDEX(Tasks[_LeafBudget],Tasks[[#This Row],[_Row]]+Tasks[[#This Row],[_Descendants]])),Tasks[[#This Row],[_LeafBudget]]))</f>
        <v/>
      </c>
      <c r="BC186" s="70" t="str">
        <f aca="false">IF(Tasks[[#This Row],[Task Name]]="","",IF(Tasks[[#This Row],[_IsSummary]],SUM(INDEX(Tasks[_LeafPV],Tasks[[#This Row],[_Row]]+1):INDEX(Tasks[_LeafPV],Tasks[[#This Row],[_Row]]+Tasks[[#This Row],[_Descendants]])),Tasks[[#This Row],[_LeafPV]]))</f>
        <v/>
      </c>
      <c r="BD186" s="70" t="str">
        <f aca="false">IF(Tasks[[#This Row],[Task Name]]="","",IF(Tasks[[#This Row],[_IsSummary]],SUM(INDEX(Tasks[_LeafAC],Tasks[[#This Row],[_Row]]+1):INDEX(Tasks[_LeafAC],Tasks[[#This Row],[_Row]]+Tasks[[#This Row],[_Descendants]])),Tasks[[#This Row],[_LeafAC]]))</f>
        <v/>
      </c>
      <c r="BE186" s="45" t="str">
        <f aca="false">IF(Tasks[[#This Row],[Task Name]]="","",MAX(1,N(Tasks[[#This Row],[Level]])))</f>
        <v/>
      </c>
      <c r="BF186" s="45" t="n">
        <f aca="false">ROW()-ROW(Tasks[[#Headers],[ID]])</f>
        <v>181</v>
      </c>
      <c r="BG186" s="45" t="n">
        <f aca="false">IF(OR(Tasks[[#This Row],[Task Name]]="",Tasks[[#This Row],[_Level]]&lt;=1),0,IFERROR(LOOKUP(2,1/(Tasks[[#Headers],[_Level]]:Tasks[[#This Row],[_Level]]=Tasks[[#This Row],[_Level]]-1),ROW(Tasks[[#Headers],[_Level]]:Tasks[[#This Row],[_Level]])),0))</f>
        <v>0</v>
      </c>
      <c r="BH186" s="45" t="n">
        <f aca="false">IFERROR(N(INDEX(Tasks[_Level],Tasks[[#This Row],[_Row]]+1)),0)</f>
        <v>0</v>
      </c>
      <c r="BI186" s="73" t="b">
        <f aca="false">AND(Tasks[[#This Row],[Task Name]]&lt;&gt;"",Tasks[[#This Row],[_NextLevel]]&gt;Tasks[[#This Row],[_Level]])</f>
        <v>0</v>
      </c>
      <c r="BJ186" s="45" t="n">
        <f aca="false">IF(Tasks[[#This Row],[_IsSummary]],COUNTIF(Tasks[WBS],Tasks[[#This Row],[WBS]]&amp;".*"),0)</f>
        <v>0</v>
      </c>
      <c r="BK186" s="45" t="n">
        <f aca="false">IF(AND(Tasks[[#This Row],[Task Name]]&lt;&gt;"",NOT(Tasks[[#This Row],[_IsSummary]])),1,0)</f>
        <v>0</v>
      </c>
      <c r="BL186" s="45" t="n">
        <f aca="false">IF(N(Tasks[[#This Row],[_Pred1UID]])=0,0,IFERROR(MATCH(Tasks[[#This Row],[_Pred1UID]],Tasks[UID],0),-1))</f>
        <v>0</v>
      </c>
      <c r="BM186" s="45" t="n">
        <f aca="false">IF(N(Tasks[[#This Row],[_Pred2UID]])=0,0,IFERROR(MATCH(Tasks[[#This Row],[_Pred2UID]],Tasks[UID],0),-1))</f>
        <v>0</v>
      </c>
      <c r="BN186" s="45" t="n">
        <f aca="false">IF(N(Tasks[[#This Row],[_Pred3UID]])=0,0,IFERROR(MATCH(Tasks[[#This Row],[_Pred3UID]],Tasks[UID],0),-1))</f>
        <v>0</v>
      </c>
      <c r="BO186" s="45" t="n">
        <f aca="false">IF(N(Tasks[[#This Row],[_Pred4UID]])=0,0,IFERROR(MATCH(Tasks[[#This Row],[_Pred4UID]],Tasks[UID],0),-1))</f>
        <v>0</v>
      </c>
      <c r="BP18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8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86" s="74" t="n">
        <f aca="false">IF(OR(Tasks[[#This Row],[_ConstraintCode]]=2,Tasks[[#This Row],[_ConstraintCode]]=3,Tasks[[#This Row],[_ConstraintCode]]=4,Tasks[[#This Row],[_ConstraintCode]]=6),Tasks[[#This Row],[_ConstraintStart]],0)</f>
        <v>0</v>
      </c>
      <c r="BS186" s="74" t="n">
        <f aca="false">IF(OR(Tasks[[#This Row],[_ConstraintCode]]=2,Tasks[[#This Row],[_ConstraintCode]]=3,Tasks[[#This Row],[_ConstraintCode]]=5,Tasks[[#This Row],[_ConstraintCode]]=7),Tasks[[#This Row],[_ConstraintStart]],2958465)</f>
        <v>2958465</v>
      </c>
      <c r="BT18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86" s="74" t="str">
        <f aca="false">IF(NOT(Tasks[[#This Row],[_IsLeaf]]=1),"",IF(N(Tasks[[#This Row],[Duration]])&lt;=0,Tasks[[#This Row],[_LeafCalcStart]],WORKDAY.INTL(Tasks[[#This Row],[_LeafCalcStart]],Tasks[[#This Row],[Duration]]-1,WorkWeek,Holidays)))</f>
        <v/>
      </c>
      <c r="BV18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8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86" s="45" t="str">
        <f aca="false">IF(Tasks[[#This Row],[Predecessors]]="","",TRIM(MID(SUBSTITUTE(SUBSTITUTE(SUBSTITUTE(UPPER(Tasks[[#This Row],[Predecessors]]),";",",")," ",""),",",REPT(" ",99)),1,99)))</f>
        <v/>
      </c>
      <c r="BY186" s="45" t="str">
        <f aca="false">IF(Tasks[[#This Row],[_Pred1Text]]="","",IFERROR(VALUE(LEFT(Tasks[[#This Row],[_Pred1Text]],MIN(FIND("F",Tasks[[#This Row],[_Pred1Text]]&amp;"F"),FIND("S",Tasks[[#This Row],[_Pred1Text]]&amp;"S"),FIND("+",Tasks[[#This Row],[_Pred1Text]]&amp;"+"),FIND("-",Tasks[[#This Row],[_Pred1Text]]&amp;"-"))-1)),""))</f>
        <v/>
      </c>
      <c r="BZ18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8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86" s="45" t="str">
        <f aca="false">IF(Tasks[[#This Row],[_Pred1Text]]="","",TRIM(MID(SUBSTITUTE(SUBSTITUTE(SUBSTITUTE(UPPER(Tasks[[#This Row],[Predecessors]]),";",",")," ",""),",",REPT(" ",99)),100,99)))</f>
        <v/>
      </c>
      <c r="CC186" s="45" t="str">
        <f aca="false">IF(Tasks[[#This Row],[_Pred2Text]]="","",IFERROR(VALUE(LEFT(Tasks[[#This Row],[_Pred2Text]],MIN(FIND("F",Tasks[[#This Row],[_Pred2Text]]&amp;"F"),FIND("S",Tasks[[#This Row],[_Pred2Text]]&amp;"S"),FIND("+",Tasks[[#This Row],[_Pred2Text]]&amp;"+"),FIND("-",Tasks[[#This Row],[_Pred2Text]]&amp;"-"))-1)),""))</f>
        <v/>
      </c>
      <c r="CD18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8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86" s="45" t="str">
        <f aca="false">IF(Tasks[[#This Row],[_Pred2Text]]="","",TRIM(MID(SUBSTITUTE(SUBSTITUTE(SUBSTITUTE(UPPER(Tasks[[#This Row],[Predecessors]]),";",",")," ",""),",",REPT(" ",99)),199,99)))</f>
        <v/>
      </c>
      <c r="CG186" s="45" t="str">
        <f aca="false">IF(Tasks[[#This Row],[_Pred3Text]]="","",IFERROR(VALUE(LEFT(Tasks[[#This Row],[_Pred3Text]],MIN(FIND("F",Tasks[[#This Row],[_Pred3Text]]&amp;"F"),FIND("S",Tasks[[#This Row],[_Pred3Text]]&amp;"S"),FIND("+",Tasks[[#This Row],[_Pred3Text]]&amp;"+"),FIND("-",Tasks[[#This Row],[_Pred3Text]]&amp;"-"))-1)),""))</f>
        <v/>
      </c>
      <c r="CH18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8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86" s="45" t="str">
        <f aca="false">IF(Tasks[[#This Row],[_Pred3Text]]="","",TRIM(MID(SUBSTITUTE(SUBSTITUTE(SUBSTITUTE(UPPER(Tasks[[#This Row],[Predecessors]]),";",",")," ",""),",",REPT(" ",99)),298,99)))</f>
        <v/>
      </c>
      <c r="CK186" s="45" t="str">
        <f aca="false">IF(Tasks[[#This Row],[_Pred4Text]]="","",IFERROR(VALUE(LEFT(Tasks[[#This Row],[_Pred4Text]],MIN(FIND("F",Tasks[[#This Row],[_Pred4Text]]&amp;"F"),FIND("S",Tasks[[#This Row],[_Pred4Text]]&amp;"S"),FIND("+",Tasks[[#This Row],[_Pred4Text]]&amp;"+"),FIND("-",Tasks[[#This Row],[_Pred4Text]]&amp;"-"))-1)),""))</f>
        <v/>
      </c>
      <c r="CL18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8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86" s="45" t="str">
        <f aca="false">IF(OR(Tasks[[#This Row],[Task Name]]="",Tasks[[#This Row],[Resources]]=""),"",TRIM(MID(SUBSTITUTE(Tasks[[#This Row],[Resources]],",",REPT(" ",99)),1,99)))</f>
        <v/>
      </c>
      <c r="CO186" s="45" t="str">
        <f aca="false">IF(Tasks[[#This Row],[_Res1Text]]="","",TRIM(MID(SUBSTITUTE(Tasks[[#This Row],[Resources]],",",REPT(" ",99)),100,99)))</f>
        <v/>
      </c>
      <c r="CP186" s="45" t="str">
        <f aca="false">IF(Tasks[[#This Row],[_Res2Text]]="","",TRIM(MID(SUBSTITUTE(Tasks[[#This Row],[Resources]],",",REPT(" ",99)),199,99)))</f>
        <v/>
      </c>
      <c r="CQ186" s="45" t="str">
        <f aca="false">IF(Tasks[[#This Row],[_Res3Text]]="","",TRIM(MID(SUBSTITUTE(Tasks[[#This Row],[Resources]],",",REPT(" ",99)),298,99)))</f>
        <v/>
      </c>
      <c r="CR18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8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6" s="45" t="n">
        <f aca="false">IF(NOT(Tasks[[#This Row],[_IsLeaf]]=1),0,(Tasks[[#This Row],[_Resource1]]&lt;&gt;"")+(Tasks[[#This Row],[_Res2]]&lt;&gt;"")+(Tasks[[#This Row],[_Res3]]&lt;&gt;"")+(Tasks[[#This Row],[_Res4]]&lt;&gt;""))</f>
        <v>0</v>
      </c>
      <c r="CU18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8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6" s="45" t="n">
        <f aca="false">IF(OR(NOT(Tasks[[#This Row],[_IsLeaf]]=1),Tasks[[#This Row],[_Res2]]=""),0,IF(ISNA(MATCH(Tasks[[#This Row],[_Res2]],res_Name,0)),0,N(Tasks[[#This Row],[Duration]])*HoursPerDay*IF(Tasks[[#This Row],[_Res2Units]]="",DefaultUnits,Tasks[[#This Row],[_Res2Units]])))</f>
        <v>0</v>
      </c>
      <c r="CX186" s="45" t="n">
        <f aca="false">IF(Tasks[[#This Row],[_Res2Work]]=0,0,Tasks[[#This Row],[_Res2Work]]*IFERROR(INDEX(res_Rate,MATCH(Tasks[[#This Row],[_Res2]],res_Name,0)),0))</f>
        <v>0</v>
      </c>
      <c r="CY186" s="45" t="n">
        <f aca="false">IF(AND(AND(Tasks[[#This Row],[_IsLeaf]]=1,Tasks[[#This Row],[_LeafTotalWork]]&gt;0),Tasks[[#This Row],[_Res2Work]]&gt;0),Tasks[[#This Row],[_Res2Work]]/(Tasks[[#This Row],[_FinishWorkday]]-Tasks[[#This Row],[_StartWorkday]]+1),0)</f>
        <v>0</v>
      </c>
      <c r="CZ186" s="45" t="n">
        <f aca="false">Tasks[[#This Row],[_Res2WorkPerWD]]*MAX(0,Tasks[[#This Row],[_StartWorkday]]-1)</f>
        <v>0</v>
      </c>
      <c r="DA186" s="45" t="n">
        <f aca="false">Tasks[[#This Row],[_Res2Work]]*Tasks[[#This Row],[_LeafProgress]]</f>
        <v>0</v>
      </c>
      <c r="DB186" s="45" t="n">
        <f aca="false">IF(Tasks[[#This Row],[_LeafTotalCost]]=0,0,Tasks[[#This Row],[_LeafAC]]*Tasks[[#This Row],[_Res2Cost]]/Tasks[[#This Row],[_LeafTotalCost]])</f>
        <v>0</v>
      </c>
      <c r="DC18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8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86" s="45" t="n">
        <f aca="false">IF(OR(NOT(Tasks[[#This Row],[_IsLeaf]]=1),Tasks[[#This Row],[_Res3]]=""),0,IF(ISNA(MATCH(Tasks[[#This Row],[_Res3]],res_Name,0)),0,N(Tasks[[#This Row],[Duration]])*HoursPerDay*IF(Tasks[[#This Row],[_Res3Units]]="",DefaultUnits,Tasks[[#This Row],[_Res3Units]])))</f>
        <v>0</v>
      </c>
      <c r="DF186" s="45" t="n">
        <f aca="false">IF(Tasks[[#This Row],[_Res3Work]]=0,0,Tasks[[#This Row],[_Res3Work]]*IFERROR(INDEX(res_Rate,MATCH(Tasks[[#This Row],[_Res3]],res_Name,0)),0))</f>
        <v>0</v>
      </c>
      <c r="DG186" s="45" t="n">
        <f aca="false">IF(AND(AND(Tasks[[#This Row],[_IsLeaf]]=1,Tasks[[#This Row],[_LeafTotalWork]]&gt;0),Tasks[[#This Row],[_Res3Work]]&gt;0),Tasks[[#This Row],[_Res3Work]]/(Tasks[[#This Row],[_FinishWorkday]]-Tasks[[#This Row],[_StartWorkday]]+1),0)</f>
        <v>0</v>
      </c>
      <c r="DH186" s="45" t="n">
        <f aca="false">Tasks[[#This Row],[_Res3WorkPerWD]]*MAX(0,Tasks[[#This Row],[_StartWorkday]]-1)</f>
        <v>0</v>
      </c>
      <c r="DI186" s="45" t="n">
        <f aca="false">Tasks[[#This Row],[_Res3Work]]*Tasks[[#This Row],[_LeafProgress]]</f>
        <v>0</v>
      </c>
      <c r="DJ186" s="45" t="n">
        <f aca="false">IF(Tasks[[#This Row],[_LeafTotalCost]]=0,0,Tasks[[#This Row],[_LeafAC]]*Tasks[[#This Row],[_Res3Cost]]/Tasks[[#This Row],[_LeafTotalCost]])</f>
        <v>0</v>
      </c>
      <c r="DK18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8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86" s="45" t="n">
        <f aca="false">IF(OR(NOT(Tasks[[#This Row],[_IsLeaf]]=1),Tasks[[#This Row],[_Res4]]=""),0,IF(ISNA(MATCH(Tasks[[#This Row],[_Res4]],res_Name,0)),0,N(Tasks[[#This Row],[Duration]])*HoursPerDay*IF(Tasks[[#This Row],[_Res4Units]]="",DefaultUnits,Tasks[[#This Row],[_Res4Units]])))</f>
        <v>0</v>
      </c>
      <c r="DN186" s="45" t="n">
        <f aca="false">IF(Tasks[[#This Row],[_Res4Work]]=0,0,Tasks[[#This Row],[_Res4Work]]*IFERROR(INDEX(res_Rate,MATCH(Tasks[[#This Row],[_Res4]],res_Name,0)),0))</f>
        <v>0</v>
      </c>
      <c r="DO186" s="45" t="n">
        <f aca="false">IF(AND(AND(Tasks[[#This Row],[_IsLeaf]]=1,Tasks[[#This Row],[_LeafTotalWork]]&gt;0),Tasks[[#This Row],[_Res4Work]]&gt;0),Tasks[[#This Row],[_Res4Work]]/(Tasks[[#This Row],[_FinishWorkday]]-Tasks[[#This Row],[_StartWorkday]]+1),0)</f>
        <v>0</v>
      </c>
      <c r="DP186" s="45" t="n">
        <f aca="false">Tasks[[#This Row],[_Res4WorkPerWD]]*MAX(0,Tasks[[#This Row],[_StartWorkday]]-1)</f>
        <v>0</v>
      </c>
      <c r="DQ186" s="45" t="n">
        <f aca="false">Tasks[[#This Row],[_Res4Work]]*Tasks[[#This Row],[_LeafProgress]]</f>
        <v>0</v>
      </c>
      <c r="DR186" s="45" t="n">
        <f aca="false">IF(Tasks[[#This Row],[_LeafTotalCost]]=0,0,Tasks[[#This Row],[_LeafAC]]*Tasks[[#This Row],[_Res4Cost]]/Tasks[[#This Row],[_LeafTotalCost]])</f>
        <v>0</v>
      </c>
      <c r="DS186" s="45" t="n">
        <f aca="false">IF(ISNUMBER(Tasks[[#This Row],[% Complete]]),Tasks[[#This Row],[% Complete]],IF(Tasks[[#This Row],[Stage]]="",0,IFERROR(INDEX(stg_Pct,MATCH(Tasks[[#This Row],[Stage]],stg_Name,0)),0)))</f>
        <v>0</v>
      </c>
      <c r="DT186" s="45" t="n">
        <f aca="false">IF(NOT(Tasks[[#This Row],[_IsLeaf]]=1),0,IF(N(Tasks[[#This Row],[Actual Finish]])&gt;0,1,MIN(1,Tasks[[#This Row],[_Pct]])))</f>
        <v>0</v>
      </c>
      <c r="DU186" s="45" t="n">
        <f aca="false">IF(OR(NOT(Tasks[[#This Row],[_IsLeaf]]=1),Tasks[[#This Row],[_Resource1]]=""),0,IF(ISNA(MATCH(Tasks[[#This Row],[_Resource1]],res_Name,0)),0,N(Tasks[[#This Row],[Duration]])*HoursPerDay*IF(Tasks[[#This Row],[_Units1]]="",DefaultUnits,Tasks[[#This Row],[_Units1]])))</f>
        <v>0</v>
      </c>
      <c r="DV186" s="45" t="n">
        <f aca="false">IF(Tasks[[#This Row],[_LeafWork]]=0,0,Tasks[[#This Row],[_LeafWork]]*IFERROR(INDEX(res_Rate,MATCH(Tasks[[#This Row],[_Resource1]],res_Name,0)),0))</f>
        <v>0</v>
      </c>
      <c r="DW186" s="45" t="n">
        <f aca="false">Tasks[[#This Row],[_LeafWork]]+Tasks[[#This Row],[_Res2Work]]+Tasks[[#This Row],[_Res3Work]]+Tasks[[#This Row],[_Res4Work]]</f>
        <v>0</v>
      </c>
      <c r="DX186" s="45" t="n">
        <f aca="false">Tasks[[#This Row],[_LeafCost]]+Tasks[[#This Row],[_Res2Cost]]+Tasks[[#This Row],[_Res3Cost]]+Tasks[[#This Row],[_Res4Cost]]</f>
        <v>0</v>
      </c>
      <c r="DY186" s="45" t="n">
        <f aca="false">IF(Tasks[[#This Row],[_LeafTotalCost]]=0,Tasks[[#This Row],[_LeafAC]],Tasks[[#This Row],[_LeafAC]]*Tasks[[#This Row],[_LeafCost]]/Tasks[[#This Row],[_LeafTotalCost]])</f>
        <v>0</v>
      </c>
      <c r="DZ18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8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8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8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8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8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8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8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86" s="45" t="n">
        <f aca="false">IF(NOT(Tasks[[#This Row],[_IsLeaf]]=1),0,MAX(_xlfn.MAXIFS(Tasks[_Row],Tasks[_Pred1UID],Tasks[[#This Row],[UID]]),_xlfn.MAXIFS(Tasks[_Row],Tasks[_Pred2UID],Tasks[[#This Row],[UID]]),_xlfn.MAXIFS(Tasks[_Row],Tasks[_Pred3UID],Tasks[[#This Row],[UID]]),_xlfn.MAXIFS(Tasks[_Row],Tasks[_Pred4UID],Tasks[[#This Row],[UID]])))</f>
        <v>0</v>
      </c>
      <c r="EI18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8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86" s="74" t="str">
        <f aca="false">IF(NOT(Tasks[[#This Row],[_IsLeaf]]=1),"",IF(N(Tasks[[#This Row],[Duration]])&lt;=0,Tasks[[#This Row],[_LeafLateFinish]],WORKDAY.INTL(Tasks[[#This Row],[_LeafLateFinish]],-(Tasks[[#This Row],[Duration]]-1),WorkWeek,Holidays)))</f>
        <v/>
      </c>
      <c r="EL18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86" s="73" t="b">
        <f aca="false">AND(Tasks[[#This Row],[_IsLeaf]]=1,Tasks[[#This Row],[_LeafProgress]]&lt;1,N(Tasks[[#This Row],[_LeafTotalSlack]])&lt;=CriticalSlackDays)</f>
        <v>0</v>
      </c>
      <c r="EN186" s="45" t="n">
        <f aca="false">IF(AND(Tasks[[#This Row],[_IsLeaf]]=1,Tasks[[#This Row],[_ConstraintCode]]=1,Tasks[[#This Row],[Mode]]&lt;&gt;"Manual",N(Tasks[[#This Row],[Actual Start]])=0),MAX(0,N(Tasks[[#This Row],[Free Slack]])),0)</f>
        <v>0</v>
      </c>
      <c r="EO186" s="74" t="str">
        <f aca="false">IF(NOT(Tasks[[#This Row],[_IsLeaf]]=1),"",IF(Tasks[[#This Row],[_AlapShift]]=0,Tasks[[#This Row],[_LeafCalcStart]],WORKDAY.INTL(Tasks[[#This Row],[_LeafCalcStart]],Tasks[[#This Row],[_AlapShift]],WorkWeek,Holidays)))</f>
        <v/>
      </c>
      <c r="EP186" s="74" t="str">
        <f aca="false">IF(NOT(Tasks[[#This Row],[_IsLeaf]]=1),"",IF(Tasks[[#This Row],[_AlapShift]]=0,Tasks[[#This Row],[_LeafCalcFinish]],WORKDAY.INTL(Tasks[[#This Row],[_LeafCalcFinish]],Tasks[[#This Row],[_AlapShift]],WorkWeek,Holidays)))</f>
        <v/>
      </c>
      <c r="EQ186" s="74" t="str">
        <f aca="false">IF(NOT(Tasks[[#This Row],[_IsLeaf]]=1),"",IF(Tasks[[#This Row],[_AlapShift]]=0,Tasks[[#This Row],[_LeafFcstStart]],WORKDAY.INTL(Tasks[[#This Row],[_LeafFcstStart]],Tasks[[#This Row],[_AlapShift]],WorkWeek,Holidays)))</f>
        <v/>
      </c>
      <c r="ER186" s="74" t="str">
        <f aca="false">IF(NOT(Tasks[[#This Row],[_IsLeaf]]=1),"",IF(Tasks[[#This Row],[_AlapShift]]=0,Tasks[[#This Row],[_LeafFcstFinish]],WORKDAY.INTL(Tasks[[#This Row],[_LeafFcstFinish]],Tasks[[#This Row],[_AlapShift]],WorkWeek,Holidays)))</f>
        <v/>
      </c>
      <c r="ES186" s="74" t="str">
        <f aca="false">IF(Tasks[[#This Row],[Task Name]]="","",IF(Tasks[[#This Row],[_IsSummary]],MIN(INDEX(Tasks[_ShownCalcStart],Tasks[[#This Row],[_Row]]+1):INDEX(Tasks[_ShownCalcStart],Tasks[[#This Row],[_Row]]+Tasks[[#This Row],[_Descendants]])),Tasks[[#This Row],[_ShownCalcStart]]))</f>
        <v/>
      </c>
      <c r="ET186" s="74" t="str">
        <f aca="false">IF(Tasks[[#This Row],[Task Name]]="","",IF(Tasks[[#This Row],[_IsSummary]],MAX(INDEX(Tasks[_ShownCalcFinish],Tasks[[#This Row],[_Row]]+1):INDEX(Tasks[_ShownCalcFinish],Tasks[[#This Row],[_Row]]+Tasks[[#This Row],[_Descendants]])),Tasks[[#This Row],[_ShownCalcFinish]]))</f>
        <v/>
      </c>
      <c r="EU18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8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8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8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8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8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8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8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8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8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8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8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86" s="45" t="n">
        <f aca="false">IF(AND(Tasks[[#This Row],[_IsLeaf]]=1,Tasks[[#This Row],[_LeafTotalWork]]&gt;0),NETWORKDAYS.INTL(ProjectStart,Tasks[[#This Row],[_ShownFcstStart]],WorkWeek,Holidays),0)</f>
        <v>0</v>
      </c>
      <c r="FH186" s="45" t="n">
        <f aca="false">IF(AND(Tasks[[#This Row],[_IsLeaf]]=1,Tasks[[#This Row],[_LeafTotalWork]]&gt;0),MAX(Tasks[[#This Row],[_StartWorkday]],NETWORKDAYS.INTL(ProjectStart,Tasks[[#This Row],[_ShownFcstFinish]],WorkWeek,Holidays)),0)</f>
        <v>0</v>
      </c>
      <c r="FI186" s="45" t="n">
        <f aca="false">IF(AND(Tasks[[#This Row],[_IsLeaf]]=1,Tasks[[#This Row],[_LeafTotalWork]]&gt;0),Tasks[[#This Row],[_LeafWork]]/(Tasks[[#This Row],[_FinishWorkday]]-Tasks[[#This Row],[_StartWorkday]]+1),0)</f>
        <v>0</v>
      </c>
      <c r="FJ186" s="45" t="n">
        <f aca="false">Tasks[[#This Row],[_WorkPerWorkday]]*(Tasks[[#This Row],[_StartWorkday]]-1)</f>
        <v>-0</v>
      </c>
      <c r="FK186" s="45" t="n">
        <f aca="false">IF(Tasks[[#This Row],[_IsLeaf]]=1,MAX(N(Tasks[[#This Row],[Duration]]),0.1),0)</f>
        <v>0</v>
      </c>
      <c r="FL186" s="45" t="n">
        <f aca="false">Tasks[[#This Row],[_WeightDur]]*Tasks[[#This Row],[_LeafProgress]]</f>
        <v>0</v>
      </c>
      <c r="FM18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86" s="45" t="str">
        <f aca="false">IF(AND(Tasks[[#This Row],[_IsLeaf]]=1,N(Tasks[[#This Row],[Duration]])=0,Tasks[[#This Row],[_LeafProgress]]&lt;1),Tasks[[#This Row],[_ShownFcstFinish]]+Tasks[[#This Row],[_Row]]/100000,"")</f>
        <v/>
      </c>
      <c r="FO18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86" s="45" t="n">
        <f aca="false">IF(NOT(Tasks[[#This Row],[_IsLeaf]]=1),0,IF(Tasks[[#This Row],[Baseline Cost]]="",Tasks[[#This Row],[_LeafTotalCost]],N(Tasks[[#This Row],[Baseline Cost]])))</f>
        <v>0</v>
      </c>
      <c r="FQ186" s="45" t="n">
        <f aca="false">Tasks[[#This Row],[_LeafBudget]]*Tasks[[#This Row],[_PlannedPct]]</f>
        <v>0</v>
      </c>
      <c r="FR186" s="45" t="n">
        <f aca="false">Tasks[[#This Row],[_LeafBudget]]*Tasks[[#This Row],[_LeafProgress]]</f>
        <v>0</v>
      </c>
      <c r="FS186" s="45" t="n">
        <f aca="false">IF(NOT(Tasks[[#This Row],[_IsLeaf]]=1),0,IF(Tasks[[#This Row],[Actual Cost]]="",Tasks[[#This Row],[_LeafTotalCost]]*Tasks[[#This Row],[_LeafProgress]],N(Tasks[[#This Row],[Actual Cost]])))</f>
        <v>0</v>
      </c>
      <c r="FT186" s="45" t="str">
        <f aca="false">IF(Tasks[[#This Row],[Task Name]]="","",LEFT(Tasks[[#This Row],[WBS]],FIND(".",Tasks[[#This Row],[WBS]]&amp;".")-1))</f>
        <v/>
      </c>
      <c r="FU186" s="45" t="str">
        <f aca="false">IF(AND(Tasks[[#This Row],[Task Name]]&lt;&gt;"",Tasks[[#This Row],[_Level]]=1),Tasks[[#This Row],[_Row]],"")</f>
        <v/>
      </c>
      <c r="FV186" s="45" t="str">
        <f aca="false">IF(AND(Tasks[[#This Row],[_IsLeaf]]=1,N(Tasks[[#This Row],[Duration]])=0),Tasks[[#This Row],[Planned Finish]]+Tasks[[#This Row],[_Row]]/100000,"")</f>
        <v/>
      </c>
      <c r="FW186" s="45" t="str">
        <f aca="false">IF(AND(Tasks[[#This Row],[_IsLeaf]]=1,Tasks[[#This Row],[_LeafProgress]]&lt;1,OR(N(Tasks[[#This Row],[Finish Var]])&gt;0,Tasks[[#This Row],[Status]]="Late Start")),MAX(0,Tasks[[#This Row],[Finish Var]])+1-Tasks[[#This Row],[_Row]]/1000000,"")</f>
        <v/>
      </c>
      <c r="FX186" s="45" t="str">
        <f aca="false">IF(AND(Tasks[[#This Row],[_IsLeaf]]=1,N(Tasks[[#This Row],[Actual Start]])=0,Tasks[[#This Row],[_ShownFcstStart]]&gt;=StatusDate,Tasks[[#This Row],[_ShownFcstStart]]&lt;=LookaheadEnd),Tasks[[#This Row],[_ShownFcstStart]]+Tasks[[#This Row],[_Row]]/100000,"")</f>
        <v/>
      </c>
      <c r="FY186" s="45" t="str">
        <f aca="false">IF(AND(Tasks[[#This Row],[_IsLeaf]]=1,Tasks[[#This Row],[_LeafProgress]]&lt;1,Tasks[[#This Row],[_ShownFcstFinish]]&gt;=StatusDate,Tasks[[#This Row],[_ShownFcstFinish]]&lt;=LookaheadEnd),Tasks[[#This Row],[_ShownFcstFinish]]+Tasks[[#This Row],[_Row]]/100000,"")</f>
        <v/>
      </c>
      <c r="FZ186" s="45" t="str">
        <f aca="false">IF(Tasks[[#This Row],[_LeafCritical]],Tasks[[#This Row],[_ShownFcstStart]]+Tasks[[#This Row],[_Row]]/100000,"")</f>
        <v/>
      </c>
      <c r="GA186" s="45" t="n">
        <f aca="false">Tasks[[#This Row],[_LeafWork]]*Tasks[[#This Row],[_LeafProgress]]</f>
        <v>0</v>
      </c>
      <c r="GB186" s="74" t="str">
        <f aca="false">IF(AND(Tasks[[#This Row],[_IsLeaf]]=1,Tasks[[#This Row],[_LeafProgress]]&gt;=1),IF(N(Tasks[[#This Row],[Actual Finish]])&gt;0,Tasks[[#This Row],[Actual Finish]],Tasks[[#This Row],[_ShownFcstFinish]]),"")</f>
        <v/>
      </c>
    </row>
    <row r="187" customFormat="false" ht="15" hidden="false" customHeight="false" outlineLevel="0" collapsed="false">
      <c r="A187" s="67" t="str">
        <f aca="false">IF(Tasks[[#This Row],[Task Name]]="","",COUNTA(Tasks[[#Headers],[Task Name]]:Tasks[[#This Row],[Task Name]])-1)</f>
        <v/>
      </c>
      <c r="B187" s="21" t="n">
        <v>182</v>
      </c>
      <c r="C18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21"/>
      <c r="E187" s="22"/>
      <c r="F187" s="21"/>
      <c r="G187" s="22"/>
      <c r="H187" s="22"/>
      <c r="I187" s="22"/>
      <c r="J187" s="7"/>
      <c r="K187" s="7"/>
      <c r="L187" s="22"/>
      <c r="M187" s="58" t="str">
        <f aca="false">IF(Tasks[[#This Row],[Task Name]]="","",IF(Tasks[[#This Row],[_IsSummary]],MIN(INDEX(Tasks[_ShownFcstStart],Tasks[[#This Row],[_Row]]+1):INDEX(Tasks[_ShownFcstStart],Tasks[[#This Row],[_Row]]+Tasks[[#This Row],[_Descendants]])),Tasks[[#This Row],[_ShownFcstStart]]))</f>
        <v/>
      </c>
      <c r="N187" s="58" t="str">
        <f aca="false">IF(Tasks[[#This Row],[Task Name]]="","",IF(Tasks[[#This Row],[_IsSummary]],MAX(INDEX(Tasks[_ShownFcstFinish],Tasks[[#This Row],[_Row]]+1):INDEX(Tasks[_ShownFcstFinish],Tasks[[#This Row],[_Row]]+Tasks[[#This Row],[_Descendants]])),Tasks[[#This Row],[_ShownFcstFinish]]))</f>
        <v/>
      </c>
      <c r="O187" s="20" t="str">
        <f aca="false">IF(Tasks[[#This Row],[Task Name]]="","",IF(Tasks[[#This Row],[Progress]]&gt;=1,"Complete",IF(OR(N(Tasks[[#This Row],[Actual Start]])&gt;0,Tasks[[#This Row],[Progress]]&gt;0),IF(Tasks[[#This Row],[Finish Var]]&gt;0,"Behind","In Progress"),IF(Tasks[[#This Row],[Planned Start]]&lt;StatusDate,"Late Start","Not Started"))))</f>
        <v/>
      </c>
      <c r="P187" s="20" t="str">
        <f aca="false">IF(Tasks[[#This Row],[Task Name]]="","",IF(IF(Tasks[[#This Row],[_IsSummary]],COUNTIF(INDEX(Tasks[_LeafCritical],Tasks[[#This Row],[_Row]]+1):INDEX(Tasks[_LeafCritical],Tasks[[#This Row],[_Row]]+Tasks[[#This Row],[_Descendants]]),TRUE())&gt;0,Tasks[[#This Row],[_LeafCritical]]),"Yes",""))</f>
        <v/>
      </c>
      <c r="Q18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87" s="67" t="str">
        <f aca="false">IF(Tasks[[#This Row],[Task Name]]="","",IF(Tasks[[#This Row],[_Level]]&lt;=OutlineShowLevel,"Yes","No"))</f>
        <v/>
      </c>
      <c r="S187" s="7"/>
      <c r="T187" s="21"/>
      <c r="U187" s="22"/>
      <c r="V187" s="7"/>
      <c r="W187" s="67" t="str">
        <f aca="false">IF(Tasks[[#This Row],[Task Name]]="","",IF(Tasks[[#This Row],[Finish]]&gt;=Tasks[[#This Row],[Planned Finish]],NETWORKDAYS.INTL(Tasks[[#This Row],[Planned Finish]],Tasks[[#This Row],[Finish]],WorkWeek,Holidays)-1,1-NETWORKDAYS.INTL(Tasks[[#This Row],[Finish]],Tasks[[#This Row],[Planned Finish]],WorkWeek,Holidays)))</f>
        <v/>
      </c>
      <c r="X187" s="58" t="str">
        <f aca="false">IF(Tasks[[#This Row],[Task Name]]="","",IF(N(Tasks[[#This Row],[Baseline Start]])&gt;0,Tasks[[#This Row],[Baseline Start]],Tasks[[#This Row],[_CalcStart]]))</f>
        <v/>
      </c>
      <c r="Y187" s="58" t="str">
        <f aca="false">IF(Tasks[[#This Row],[Task Name]]="","",IF(N(Tasks[[#This Row],[Baseline Finish]])&gt;0,Tasks[[#This Row],[Baseline Finish]],Tasks[[#This Row],[_CalcFinish]]))</f>
        <v/>
      </c>
      <c r="Z187" s="67" t="str">
        <f aca="false">IF(Tasks[[#This Row],[Task Name]]="","",IF(Tasks[[#This Row],[Start]]&gt;=Tasks[[#This Row],[Planned Start]],NETWORKDAYS.INTL(Tasks[[#This Row],[Planned Start]],Tasks[[#This Row],[Start]],WorkWeek,Holidays)-1,1-NETWORKDAYS.INTL(Tasks[[#This Row],[Start]],Tasks[[#This Row],[Planned Start]],WorkWeek,Holidays)))</f>
        <v/>
      </c>
      <c r="AA187" s="58" t="str">
        <f aca="false">IF(Tasks[[#This Row],[Task Name]]="","",IF(Tasks[[#This Row],[_IsSummary]],MIN(INDEX(Tasks[_LeafLateStart],Tasks[[#This Row],[_Row]]+1):INDEX(Tasks[_LeafLateStart],Tasks[[#This Row],[_Row]]+Tasks[[#This Row],[_Descendants]])),Tasks[[#This Row],[_LeafLateStart]]))</f>
        <v/>
      </c>
      <c r="AB187" s="58" t="str">
        <f aca="false">IF(Tasks[[#This Row],[Task Name]]="","",IF(Tasks[[#This Row],[_IsSummary]],MAX(INDEX(Tasks[_LeafLateFinish],Tasks[[#This Row],[_Row]]+1):INDEX(Tasks[_LeafLateFinish],Tasks[[#This Row],[_Row]]+Tasks[[#This Row],[_Descendants]])),Tasks[[#This Row],[_LeafLateFinish]]))</f>
        <v/>
      </c>
      <c r="AC187" s="67" t="str">
        <f aca="false">IF(Tasks[[#This Row],[Task Name]]="","",IF(Tasks[[#This Row],[_IsSummary]],MIN(INDEX(Tasks[_LeafTotalSlack],Tasks[[#This Row],[_Row]]+1):INDEX(Tasks[_LeafTotalSlack],Tasks[[#This Row],[_Row]]+Tasks[[#This Row],[_Descendants]])),Tasks[[#This Row],[_LeafTotalSlack]]))</f>
        <v/>
      </c>
      <c r="AD18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8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8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87" s="60"/>
      <c r="AH18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8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87" s="69" t="str">
        <f aca="false">IF(Tasks[[#This Row],[Task Name]]="","",IF(Tasks[[#This Row],[_IsSummary]],SUM(INDEX(Tasks[_LeafTotalWork],Tasks[[#This Row],[_Row]]+1):INDEX(Tasks[_LeafTotalWork],Tasks[[#This Row],[_Row]]+Tasks[[#This Row],[_Descendants]])),Tasks[[#This Row],[_LeafTotalWork]]))</f>
        <v/>
      </c>
      <c r="AK18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87" s="70" t="str">
        <f aca="false">IF(Tasks[[#This Row],[Task Name]]="","",IF(Tasks[[#This Row],[_IsSummary]],SUM(INDEX(Tasks[_LeafTotalCost],Tasks[[#This Row],[_Row]]+1):INDEX(Tasks[_LeafTotalCost],Tasks[[#This Row],[_Row]]+Tasks[[#This Row],[_Descendants]])),Tasks[[#This Row],[_LeafTotalCost]]))</f>
        <v/>
      </c>
      <c r="AM187" s="71"/>
      <c r="AN187" s="20" t="str">
        <f aca="false">IF(OR(Tasks[[#This Row],[Task Name]]="",Tasks[[#This Row],[Baseline Duration]]=""),"",Tasks[[#This Row],[BL Source Duration]]-N(Tasks[[#This Row],[Baseline Duration]]))</f>
        <v/>
      </c>
      <c r="AO187" s="69" t="str">
        <f aca="false">IF(OR(Tasks[[#This Row],[Task Name]]="",Tasks[[#This Row],[Baseline Work]]=""),"",Tasks[[#This Row],[Work]]-N(Tasks[[#This Row],[Baseline Work]]))</f>
        <v/>
      </c>
      <c r="AP187" s="70" t="str">
        <f aca="false">IF(OR(Tasks[[#This Row],[Task Name]]="",Tasks[[#This Row],[Baseline Cost]]=""),"",Tasks[[#This Row],[Cost]]-N(Tasks[[#This Row],[Baseline Cost]]))</f>
        <v/>
      </c>
      <c r="AQ187" s="58" t="str">
        <f aca="false">IF(Tasks[[#This Row],[Task Name]]="","",Tasks[[#This Row],[Start]])</f>
        <v/>
      </c>
      <c r="AR187" s="58" t="str">
        <f aca="false">IF(Tasks[[#This Row],[Task Name]]="","",Tasks[[#This Row],[Finish]])</f>
        <v/>
      </c>
      <c r="AS187" s="67" t="str">
        <f aca="false">IF(Tasks[[#This Row],[Task Name]]="","",IF(Tasks[[#This Row],[_IsSummary]],NETWORKDAYS.INTL(Tasks[[#This Row],[Start]],Tasks[[#This Row],[Finish]],WorkWeek,Holidays),N(Tasks[[#This Row],[Duration]])))</f>
        <v/>
      </c>
      <c r="AT187" s="69" t="str">
        <f aca="false">IF(Tasks[[#This Row],[Task Name]]="","",Tasks[[#This Row],[Work]])</f>
        <v/>
      </c>
      <c r="AU187" s="70" t="str">
        <f aca="false">IF(Tasks[[#This Row],[Task Name]]="","",Tasks[[#This Row],[Cost]])</f>
        <v/>
      </c>
      <c r="AV187" s="7"/>
      <c r="AW187" s="7"/>
      <c r="AX187" s="21"/>
      <c r="AY187" s="72"/>
      <c r="AZ187" s="71"/>
      <c r="BA187" s="70" t="str">
        <f aca="false">IF(Tasks[[#This Row],[Task Name]]="","",IF(Tasks[[#This Row],[_IsSummary]],SUM(INDEX(Tasks[_LeafEV],Tasks[[#This Row],[_Row]]+1):INDEX(Tasks[_LeafEV],Tasks[[#This Row],[_Row]]+Tasks[[#This Row],[_Descendants]])),Tasks[[#This Row],[_LeafEV]]))</f>
        <v/>
      </c>
      <c r="BB187" s="70" t="str">
        <f aca="false">IF(Tasks[[#This Row],[Task Name]]="","",IF(Tasks[[#This Row],[_IsSummary]],SUM(INDEX(Tasks[_LeafBudget],Tasks[[#This Row],[_Row]]+1):INDEX(Tasks[_LeafBudget],Tasks[[#This Row],[_Row]]+Tasks[[#This Row],[_Descendants]])),Tasks[[#This Row],[_LeafBudget]]))</f>
        <v/>
      </c>
      <c r="BC187" s="70" t="str">
        <f aca="false">IF(Tasks[[#This Row],[Task Name]]="","",IF(Tasks[[#This Row],[_IsSummary]],SUM(INDEX(Tasks[_LeafPV],Tasks[[#This Row],[_Row]]+1):INDEX(Tasks[_LeafPV],Tasks[[#This Row],[_Row]]+Tasks[[#This Row],[_Descendants]])),Tasks[[#This Row],[_LeafPV]]))</f>
        <v/>
      </c>
      <c r="BD187" s="70" t="str">
        <f aca="false">IF(Tasks[[#This Row],[Task Name]]="","",IF(Tasks[[#This Row],[_IsSummary]],SUM(INDEX(Tasks[_LeafAC],Tasks[[#This Row],[_Row]]+1):INDEX(Tasks[_LeafAC],Tasks[[#This Row],[_Row]]+Tasks[[#This Row],[_Descendants]])),Tasks[[#This Row],[_LeafAC]]))</f>
        <v/>
      </c>
      <c r="BE187" s="45" t="str">
        <f aca="false">IF(Tasks[[#This Row],[Task Name]]="","",MAX(1,N(Tasks[[#This Row],[Level]])))</f>
        <v/>
      </c>
      <c r="BF187" s="45" t="n">
        <f aca="false">ROW()-ROW(Tasks[[#Headers],[ID]])</f>
        <v>182</v>
      </c>
      <c r="BG187" s="45" t="n">
        <f aca="false">IF(OR(Tasks[[#This Row],[Task Name]]="",Tasks[[#This Row],[_Level]]&lt;=1),0,IFERROR(LOOKUP(2,1/(Tasks[[#Headers],[_Level]]:Tasks[[#This Row],[_Level]]=Tasks[[#This Row],[_Level]]-1),ROW(Tasks[[#Headers],[_Level]]:Tasks[[#This Row],[_Level]])),0))</f>
        <v>0</v>
      </c>
      <c r="BH187" s="45" t="n">
        <f aca="false">IFERROR(N(INDEX(Tasks[_Level],Tasks[[#This Row],[_Row]]+1)),0)</f>
        <v>0</v>
      </c>
      <c r="BI187" s="73" t="b">
        <f aca="false">AND(Tasks[[#This Row],[Task Name]]&lt;&gt;"",Tasks[[#This Row],[_NextLevel]]&gt;Tasks[[#This Row],[_Level]])</f>
        <v>0</v>
      </c>
      <c r="BJ187" s="45" t="n">
        <f aca="false">IF(Tasks[[#This Row],[_IsSummary]],COUNTIF(Tasks[WBS],Tasks[[#This Row],[WBS]]&amp;".*"),0)</f>
        <v>0</v>
      </c>
      <c r="BK187" s="45" t="n">
        <f aca="false">IF(AND(Tasks[[#This Row],[Task Name]]&lt;&gt;"",NOT(Tasks[[#This Row],[_IsSummary]])),1,0)</f>
        <v>0</v>
      </c>
      <c r="BL187" s="45" t="n">
        <f aca="false">IF(N(Tasks[[#This Row],[_Pred1UID]])=0,0,IFERROR(MATCH(Tasks[[#This Row],[_Pred1UID]],Tasks[UID],0),-1))</f>
        <v>0</v>
      </c>
      <c r="BM187" s="45" t="n">
        <f aca="false">IF(N(Tasks[[#This Row],[_Pred2UID]])=0,0,IFERROR(MATCH(Tasks[[#This Row],[_Pred2UID]],Tasks[UID],0),-1))</f>
        <v>0</v>
      </c>
      <c r="BN187" s="45" t="n">
        <f aca="false">IF(N(Tasks[[#This Row],[_Pred3UID]])=0,0,IFERROR(MATCH(Tasks[[#This Row],[_Pred3UID]],Tasks[UID],0),-1))</f>
        <v>0</v>
      </c>
      <c r="BO187" s="45" t="n">
        <f aca="false">IF(N(Tasks[[#This Row],[_Pred4UID]])=0,0,IFERROR(MATCH(Tasks[[#This Row],[_Pred4UID]],Tasks[UID],0),-1))</f>
        <v>0</v>
      </c>
      <c r="BP18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8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87" s="74" t="n">
        <f aca="false">IF(OR(Tasks[[#This Row],[_ConstraintCode]]=2,Tasks[[#This Row],[_ConstraintCode]]=3,Tasks[[#This Row],[_ConstraintCode]]=4,Tasks[[#This Row],[_ConstraintCode]]=6),Tasks[[#This Row],[_ConstraintStart]],0)</f>
        <v>0</v>
      </c>
      <c r="BS187" s="74" t="n">
        <f aca="false">IF(OR(Tasks[[#This Row],[_ConstraintCode]]=2,Tasks[[#This Row],[_ConstraintCode]]=3,Tasks[[#This Row],[_ConstraintCode]]=5,Tasks[[#This Row],[_ConstraintCode]]=7),Tasks[[#This Row],[_ConstraintStart]],2958465)</f>
        <v>2958465</v>
      </c>
      <c r="BT18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87" s="74" t="str">
        <f aca="false">IF(NOT(Tasks[[#This Row],[_IsLeaf]]=1),"",IF(N(Tasks[[#This Row],[Duration]])&lt;=0,Tasks[[#This Row],[_LeafCalcStart]],WORKDAY.INTL(Tasks[[#This Row],[_LeafCalcStart]],Tasks[[#This Row],[Duration]]-1,WorkWeek,Holidays)))</f>
        <v/>
      </c>
      <c r="BV18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8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87" s="45" t="str">
        <f aca="false">IF(Tasks[[#This Row],[Predecessors]]="","",TRIM(MID(SUBSTITUTE(SUBSTITUTE(SUBSTITUTE(UPPER(Tasks[[#This Row],[Predecessors]]),";",",")," ",""),",",REPT(" ",99)),1,99)))</f>
        <v/>
      </c>
      <c r="BY187" s="45" t="str">
        <f aca="false">IF(Tasks[[#This Row],[_Pred1Text]]="","",IFERROR(VALUE(LEFT(Tasks[[#This Row],[_Pred1Text]],MIN(FIND("F",Tasks[[#This Row],[_Pred1Text]]&amp;"F"),FIND("S",Tasks[[#This Row],[_Pred1Text]]&amp;"S"),FIND("+",Tasks[[#This Row],[_Pred1Text]]&amp;"+"),FIND("-",Tasks[[#This Row],[_Pred1Text]]&amp;"-"))-1)),""))</f>
        <v/>
      </c>
      <c r="BZ18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8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87" s="45" t="str">
        <f aca="false">IF(Tasks[[#This Row],[_Pred1Text]]="","",TRIM(MID(SUBSTITUTE(SUBSTITUTE(SUBSTITUTE(UPPER(Tasks[[#This Row],[Predecessors]]),";",",")," ",""),",",REPT(" ",99)),100,99)))</f>
        <v/>
      </c>
      <c r="CC187" s="45" t="str">
        <f aca="false">IF(Tasks[[#This Row],[_Pred2Text]]="","",IFERROR(VALUE(LEFT(Tasks[[#This Row],[_Pred2Text]],MIN(FIND("F",Tasks[[#This Row],[_Pred2Text]]&amp;"F"),FIND("S",Tasks[[#This Row],[_Pred2Text]]&amp;"S"),FIND("+",Tasks[[#This Row],[_Pred2Text]]&amp;"+"),FIND("-",Tasks[[#This Row],[_Pred2Text]]&amp;"-"))-1)),""))</f>
        <v/>
      </c>
      <c r="CD18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8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87" s="45" t="str">
        <f aca="false">IF(Tasks[[#This Row],[_Pred2Text]]="","",TRIM(MID(SUBSTITUTE(SUBSTITUTE(SUBSTITUTE(UPPER(Tasks[[#This Row],[Predecessors]]),";",",")," ",""),",",REPT(" ",99)),199,99)))</f>
        <v/>
      </c>
      <c r="CG187" s="45" t="str">
        <f aca="false">IF(Tasks[[#This Row],[_Pred3Text]]="","",IFERROR(VALUE(LEFT(Tasks[[#This Row],[_Pred3Text]],MIN(FIND("F",Tasks[[#This Row],[_Pred3Text]]&amp;"F"),FIND("S",Tasks[[#This Row],[_Pred3Text]]&amp;"S"),FIND("+",Tasks[[#This Row],[_Pred3Text]]&amp;"+"),FIND("-",Tasks[[#This Row],[_Pred3Text]]&amp;"-"))-1)),""))</f>
        <v/>
      </c>
      <c r="CH18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8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87" s="45" t="str">
        <f aca="false">IF(Tasks[[#This Row],[_Pred3Text]]="","",TRIM(MID(SUBSTITUTE(SUBSTITUTE(SUBSTITUTE(UPPER(Tasks[[#This Row],[Predecessors]]),";",",")," ",""),",",REPT(" ",99)),298,99)))</f>
        <v/>
      </c>
      <c r="CK187" s="45" t="str">
        <f aca="false">IF(Tasks[[#This Row],[_Pred4Text]]="","",IFERROR(VALUE(LEFT(Tasks[[#This Row],[_Pred4Text]],MIN(FIND("F",Tasks[[#This Row],[_Pred4Text]]&amp;"F"),FIND("S",Tasks[[#This Row],[_Pred4Text]]&amp;"S"),FIND("+",Tasks[[#This Row],[_Pred4Text]]&amp;"+"),FIND("-",Tasks[[#This Row],[_Pred4Text]]&amp;"-"))-1)),""))</f>
        <v/>
      </c>
      <c r="CL18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8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87" s="45" t="str">
        <f aca="false">IF(OR(Tasks[[#This Row],[Task Name]]="",Tasks[[#This Row],[Resources]]=""),"",TRIM(MID(SUBSTITUTE(Tasks[[#This Row],[Resources]],",",REPT(" ",99)),1,99)))</f>
        <v/>
      </c>
      <c r="CO187" s="45" t="str">
        <f aca="false">IF(Tasks[[#This Row],[_Res1Text]]="","",TRIM(MID(SUBSTITUTE(Tasks[[#This Row],[Resources]],",",REPT(" ",99)),100,99)))</f>
        <v/>
      </c>
      <c r="CP187" s="45" t="str">
        <f aca="false">IF(Tasks[[#This Row],[_Res2Text]]="","",TRIM(MID(SUBSTITUTE(Tasks[[#This Row],[Resources]],",",REPT(" ",99)),199,99)))</f>
        <v/>
      </c>
      <c r="CQ187" s="45" t="str">
        <f aca="false">IF(Tasks[[#This Row],[_Res3Text]]="","",TRIM(MID(SUBSTITUTE(Tasks[[#This Row],[Resources]],",",REPT(" ",99)),298,99)))</f>
        <v/>
      </c>
      <c r="CR18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8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7" s="45" t="n">
        <f aca="false">IF(NOT(Tasks[[#This Row],[_IsLeaf]]=1),0,(Tasks[[#This Row],[_Resource1]]&lt;&gt;"")+(Tasks[[#This Row],[_Res2]]&lt;&gt;"")+(Tasks[[#This Row],[_Res3]]&lt;&gt;"")+(Tasks[[#This Row],[_Res4]]&lt;&gt;""))</f>
        <v>0</v>
      </c>
      <c r="CU18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8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7" s="45" t="n">
        <f aca="false">IF(OR(NOT(Tasks[[#This Row],[_IsLeaf]]=1),Tasks[[#This Row],[_Res2]]=""),0,IF(ISNA(MATCH(Tasks[[#This Row],[_Res2]],res_Name,0)),0,N(Tasks[[#This Row],[Duration]])*HoursPerDay*IF(Tasks[[#This Row],[_Res2Units]]="",DefaultUnits,Tasks[[#This Row],[_Res2Units]])))</f>
        <v>0</v>
      </c>
      <c r="CX187" s="45" t="n">
        <f aca="false">IF(Tasks[[#This Row],[_Res2Work]]=0,0,Tasks[[#This Row],[_Res2Work]]*IFERROR(INDEX(res_Rate,MATCH(Tasks[[#This Row],[_Res2]],res_Name,0)),0))</f>
        <v>0</v>
      </c>
      <c r="CY187" s="45" t="n">
        <f aca="false">IF(AND(AND(Tasks[[#This Row],[_IsLeaf]]=1,Tasks[[#This Row],[_LeafTotalWork]]&gt;0),Tasks[[#This Row],[_Res2Work]]&gt;0),Tasks[[#This Row],[_Res2Work]]/(Tasks[[#This Row],[_FinishWorkday]]-Tasks[[#This Row],[_StartWorkday]]+1),0)</f>
        <v>0</v>
      </c>
      <c r="CZ187" s="45" t="n">
        <f aca="false">Tasks[[#This Row],[_Res2WorkPerWD]]*MAX(0,Tasks[[#This Row],[_StartWorkday]]-1)</f>
        <v>0</v>
      </c>
      <c r="DA187" s="45" t="n">
        <f aca="false">Tasks[[#This Row],[_Res2Work]]*Tasks[[#This Row],[_LeafProgress]]</f>
        <v>0</v>
      </c>
      <c r="DB187" s="45" t="n">
        <f aca="false">IF(Tasks[[#This Row],[_LeafTotalCost]]=0,0,Tasks[[#This Row],[_LeafAC]]*Tasks[[#This Row],[_Res2Cost]]/Tasks[[#This Row],[_LeafTotalCost]])</f>
        <v>0</v>
      </c>
      <c r="DC18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8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87" s="45" t="n">
        <f aca="false">IF(OR(NOT(Tasks[[#This Row],[_IsLeaf]]=1),Tasks[[#This Row],[_Res3]]=""),0,IF(ISNA(MATCH(Tasks[[#This Row],[_Res3]],res_Name,0)),0,N(Tasks[[#This Row],[Duration]])*HoursPerDay*IF(Tasks[[#This Row],[_Res3Units]]="",DefaultUnits,Tasks[[#This Row],[_Res3Units]])))</f>
        <v>0</v>
      </c>
      <c r="DF187" s="45" t="n">
        <f aca="false">IF(Tasks[[#This Row],[_Res3Work]]=0,0,Tasks[[#This Row],[_Res3Work]]*IFERROR(INDEX(res_Rate,MATCH(Tasks[[#This Row],[_Res3]],res_Name,0)),0))</f>
        <v>0</v>
      </c>
      <c r="DG187" s="45" t="n">
        <f aca="false">IF(AND(AND(Tasks[[#This Row],[_IsLeaf]]=1,Tasks[[#This Row],[_LeafTotalWork]]&gt;0),Tasks[[#This Row],[_Res3Work]]&gt;0),Tasks[[#This Row],[_Res3Work]]/(Tasks[[#This Row],[_FinishWorkday]]-Tasks[[#This Row],[_StartWorkday]]+1),0)</f>
        <v>0</v>
      </c>
      <c r="DH187" s="45" t="n">
        <f aca="false">Tasks[[#This Row],[_Res3WorkPerWD]]*MAX(0,Tasks[[#This Row],[_StartWorkday]]-1)</f>
        <v>0</v>
      </c>
      <c r="DI187" s="45" t="n">
        <f aca="false">Tasks[[#This Row],[_Res3Work]]*Tasks[[#This Row],[_LeafProgress]]</f>
        <v>0</v>
      </c>
      <c r="DJ187" s="45" t="n">
        <f aca="false">IF(Tasks[[#This Row],[_LeafTotalCost]]=0,0,Tasks[[#This Row],[_LeafAC]]*Tasks[[#This Row],[_Res3Cost]]/Tasks[[#This Row],[_LeafTotalCost]])</f>
        <v>0</v>
      </c>
      <c r="DK18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8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87" s="45" t="n">
        <f aca="false">IF(OR(NOT(Tasks[[#This Row],[_IsLeaf]]=1),Tasks[[#This Row],[_Res4]]=""),0,IF(ISNA(MATCH(Tasks[[#This Row],[_Res4]],res_Name,0)),0,N(Tasks[[#This Row],[Duration]])*HoursPerDay*IF(Tasks[[#This Row],[_Res4Units]]="",DefaultUnits,Tasks[[#This Row],[_Res4Units]])))</f>
        <v>0</v>
      </c>
      <c r="DN187" s="45" t="n">
        <f aca="false">IF(Tasks[[#This Row],[_Res4Work]]=0,0,Tasks[[#This Row],[_Res4Work]]*IFERROR(INDEX(res_Rate,MATCH(Tasks[[#This Row],[_Res4]],res_Name,0)),0))</f>
        <v>0</v>
      </c>
      <c r="DO187" s="45" t="n">
        <f aca="false">IF(AND(AND(Tasks[[#This Row],[_IsLeaf]]=1,Tasks[[#This Row],[_LeafTotalWork]]&gt;0),Tasks[[#This Row],[_Res4Work]]&gt;0),Tasks[[#This Row],[_Res4Work]]/(Tasks[[#This Row],[_FinishWorkday]]-Tasks[[#This Row],[_StartWorkday]]+1),0)</f>
        <v>0</v>
      </c>
      <c r="DP187" s="45" t="n">
        <f aca="false">Tasks[[#This Row],[_Res4WorkPerWD]]*MAX(0,Tasks[[#This Row],[_StartWorkday]]-1)</f>
        <v>0</v>
      </c>
      <c r="DQ187" s="45" t="n">
        <f aca="false">Tasks[[#This Row],[_Res4Work]]*Tasks[[#This Row],[_LeafProgress]]</f>
        <v>0</v>
      </c>
      <c r="DR187" s="45" t="n">
        <f aca="false">IF(Tasks[[#This Row],[_LeafTotalCost]]=0,0,Tasks[[#This Row],[_LeafAC]]*Tasks[[#This Row],[_Res4Cost]]/Tasks[[#This Row],[_LeafTotalCost]])</f>
        <v>0</v>
      </c>
      <c r="DS187" s="45" t="n">
        <f aca="false">IF(ISNUMBER(Tasks[[#This Row],[% Complete]]),Tasks[[#This Row],[% Complete]],IF(Tasks[[#This Row],[Stage]]="",0,IFERROR(INDEX(stg_Pct,MATCH(Tasks[[#This Row],[Stage]],stg_Name,0)),0)))</f>
        <v>0</v>
      </c>
      <c r="DT187" s="45" t="n">
        <f aca="false">IF(NOT(Tasks[[#This Row],[_IsLeaf]]=1),0,IF(N(Tasks[[#This Row],[Actual Finish]])&gt;0,1,MIN(1,Tasks[[#This Row],[_Pct]])))</f>
        <v>0</v>
      </c>
      <c r="DU187" s="45" t="n">
        <f aca="false">IF(OR(NOT(Tasks[[#This Row],[_IsLeaf]]=1),Tasks[[#This Row],[_Resource1]]=""),0,IF(ISNA(MATCH(Tasks[[#This Row],[_Resource1]],res_Name,0)),0,N(Tasks[[#This Row],[Duration]])*HoursPerDay*IF(Tasks[[#This Row],[_Units1]]="",DefaultUnits,Tasks[[#This Row],[_Units1]])))</f>
        <v>0</v>
      </c>
      <c r="DV187" s="45" t="n">
        <f aca="false">IF(Tasks[[#This Row],[_LeafWork]]=0,0,Tasks[[#This Row],[_LeafWork]]*IFERROR(INDEX(res_Rate,MATCH(Tasks[[#This Row],[_Resource1]],res_Name,0)),0))</f>
        <v>0</v>
      </c>
      <c r="DW187" s="45" t="n">
        <f aca="false">Tasks[[#This Row],[_LeafWork]]+Tasks[[#This Row],[_Res2Work]]+Tasks[[#This Row],[_Res3Work]]+Tasks[[#This Row],[_Res4Work]]</f>
        <v>0</v>
      </c>
      <c r="DX187" s="45" t="n">
        <f aca="false">Tasks[[#This Row],[_LeafCost]]+Tasks[[#This Row],[_Res2Cost]]+Tasks[[#This Row],[_Res3Cost]]+Tasks[[#This Row],[_Res4Cost]]</f>
        <v>0</v>
      </c>
      <c r="DY187" s="45" t="n">
        <f aca="false">IF(Tasks[[#This Row],[_LeafTotalCost]]=0,Tasks[[#This Row],[_LeafAC]],Tasks[[#This Row],[_LeafAC]]*Tasks[[#This Row],[_LeafCost]]/Tasks[[#This Row],[_LeafTotalCost]])</f>
        <v>0</v>
      </c>
      <c r="DZ18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8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8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8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8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8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8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8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87" s="45" t="n">
        <f aca="false">IF(NOT(Tasks[[#This Row],[_IsLeaf]]=1),0,MAX(_xlfn.MAXIFS(Tasks[_Row],Tasks[_Pred1UID],Tasks[[#This Row],[UID]]),_xlfn.MAXIFS(Tasks[_Row],Tasks[_Pred2UID],Tasks[[#This Row],[UID]]),_xlfn.MAXIFS(Tasks[_Row],Tasks[_Pred3UID],Tasks[[#This Row],[UID]]),_xlfn.MAXIFS(Tasks[_Row],Tasks[_Pred4UID],Tasks[[#This Row],[UID]])))</f>
        <v>0</v>
      </c>
      <c r="EI18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8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87" s="74" t="str">
        <f aca="false">IF(NOT(Tasks[[#This Row],[_IsLeaf]]=1),"",IF(N(Tasks[[#This Row],[Duration]])&lt;=0,Tasks[[#This Row],[_LeafLateFinish]],WORKDAY.INTL(Tasks[[#This Row],[_LeafLateFinish]],-(Tasks[[#This Row],[Duration]]-1),WorkWeek,Holidays)))</f>
        <v/>
      </c>
      <c r="EL18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87" s="73" t="b">
        <f aca="false">AND(Tasks[[#This Row],[_IsLeaf]]=1,Tasks[[#This Row],[_LeafProgress]]&lt;1,N(Tasks[[#This Row],[_LeafTotalSlack]])&lt;=CriticalSlackDays)</f>
        <v>0</v>
      </c>
      <c r="EN187" s="45" t="n">
        <f aca="false">IF(AND(Tasks[[#This Row],[_IsLeaf]]=1,Tasks[[#This Row],[_ConstraintCode]]=1,Tasks[[#This Row],[Mode]]&lt;&gt;"Manual",N(Tasks[[#This Row],[Actual Start]])=0),MAX(0,N(Tasks[[#This Row],[Free Slack]])),0)</f>
        <v>0</v>
      </c>
      <c r="EO187" s="74" t="str">
        <f aca="false">IF(NOT(Tasks[[#This Row],[_IsLeaf]]=1),"",IF(Tasks[[#This Row],[_AlapShift]]=0,Tasks[[#This Row],[_LeafCalcStart]],WORKDAY.INTL(Tasks[[#This Row],[_LeafCalcStart]],Tasks[[#This Row],[_AlapShift]],WorkWeek,Holidays)))</f>
        <v/>
      </c>
      <c r="EP187" s="74" t="str">
        <f aca="false">IF(NOT(Tasks[[#This Row],[_IsLeaf]]=1),"",IF(Tasks[[#This Row],[_AlapShift]]=0,Tasks[[#This Row],[_LeafCalcFinish]],WORKDAY.INTL(Tasks[[#This Row],[_LeafCalcFinish]],Tasks[[#This Row],[_AlapShift]],WorkWeek,Holidays)))</f>
        <v/>
      </c>
      <c r="EQ187" s="74" t="str">
        <f aca="false">IF(NOT(Tasks[[#This Row],[_IsLeaf]]=1),"",IF(Tasks[[#This Row],[_AlapShift]]=0,Tasks[[#This Row],[_LeafFcstStart]],WORKDAY.INTL(Tasks[[#This Row],[_LeafFcstStart]],Tasks[[#This Row],[_AlapShift]],WorkWeek,Holidays)))</f>
        <v/>
      </c>
      <c r="ER187" s="74" t="str">
        <f aca="false">IF(NOT(Tasks[[#This Row],[_IsLeaf]]=1),"",IF(Tasks[[#This Row],[_AlapShift]]=0,Tasks[[#This Row],[_LeafFcstFinish]],WORKDAY.INTL(Tasks[[#This Row],[_LeafFcstFinish]],Tasks[[#This Row],[_AlapShift]],WorkWeek,Holidays)))</f>
        <v/>
      </c>
      <c r="ES187" s="74" t="str">
        <f aca="false">IF(Tasks[[#This Row],[Task Name]]="","",IF(Tasks[[#This Row],[_IsSummary]],MIN(INDEX(Tasks[_ShownCalcStart],Tasks[[#This Row],[_Row]]+1):INDEX(Tasks[_ShownCalcStart],Tasks[[#This Row],[_Row]]+Tasks[[#This Row],[_Descendants]])),Tasks[[#This Row],[_ShownCalcStart]]))</f>
        <v/>
      </c>
      <c r="ET187" s="74" t="str">
        <f aca="false">IF(Tasks[[#This Row],[Task Name]]="","",IF(Tasks[[#This Row],[_IsSummary]],MAX(INDEX(Tasks[_ShownCalcFinish],Tasks[[#This Row],[_Row]]+1):INDEX(Tasks[_ShownCalcFinish],Tasks[[#This Row],[_Row]]+Tasks[[#This Row],[_Descendants]])),Tasks[[#This Row],[_ShownCalcFinish]]))</f>
        <v/>
      </c>
      <c r="EU18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8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8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8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8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8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8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8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8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8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8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8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87" s="45" t="n">
        <f aca="false">IF(AND(Tasks[[#This Row],[_IsLeaf]]=1,Tasks[[#This Row],[_LeafTotalWork]]&gt;0),NETWORKDAYS.INTL(ProjectStart,Tasks[[#This Row],[_ShownFcstStart]],WorkWeek,Holidays),0)</f>
        <v>0</v>
      </c>
      <c r="FH187" s="45" t="n">
        <f aca="false">IF(AND(Tasks[[#This Row],[_IsLeaf]]=1,Tasks[[#This Row],[_LeafTotalWork]]&gt;0),MAX(Tasks[[#This Row],[_StartWorkday]],NETWORKDAYS.INTL(ProjectStart,Tasks[[#This Row],[_ShownFcstFinish]],WorkWeek,Holidays)),0)</f>
        <v>0</v>
      </c>
      <c r="FI187" s="45" t="n">
        <f aca="false">IF(AND(Tasks[[#This Row],[_IsLeaf]]=1,Tasks[[#This Row],[_LeafTotalWork]]&gt;0),Tasks[[#This Row],[_LeafWork]]/(Tasks[[#This Row],[_FinishWorkday]]-Tasks[[#This Row],[_StartWorkday]]+1),0)</f>
        <v>0</v>
      </c>
      <c r="FJ187" s="45" t="n">
        <f aca="false">Tasks[[#This Row],[_WorkPerWorkday]]*(Tasks[[#This Row],[_StartWorkday]]-1)</f>
        <v>-0</v>
      </c>
      <c r="FK187" s="45" t="n">
        <f aca="false">IF(Tasks[[#This Row],[_IsLeaf]]=1,MAX(N(Tasks[[#This Row],[Duration]]),0.1),0)</f>
        <v>0</v>
      </c>
      <c r="FL187" s="45" t="n">
        <f aca="false">Tasks[[#This Row],[_WeightDur]]*Tasks[[#This Row],[_LeafProgress]]</f>
        <v>0</v>
      </c>
      <c r="FM18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87" s="45" t="str">
        <f aca="false">IF(AND(Tasks[[#This Row],[_IsLeaf]]=1,N(Tasks[[#This Row],[Duration]])=0,Tasks[[#This Row],[_LeafProgress]]&lt;1),Tasks[[#This Row],[_ShownFcstFinish]]+Tasks[[#This Row],[_Row]]/100000,"")</f>
        <v/>
      </c>
      <c r="FO18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87" s="45" t="n">
        <f aca="false">IF(NOT(Tasks[[#This Row],[_IsLeaf]]=1),0,IF(Tasks[[#This Row],[Baseline Cost]]="",Tasks[[#This Row],[_LeafTotalCost]],N(Tasks[[#This Row],[Baseline Cost]])))</f>
        <v>0</v>
      </c>
      <c r="FQ187" s="45" t="n">
        <f aca="false">Tasks[[#This Row],[_LeafBudget]]*Tasks[[#This Row],[_PlannedPct]]</f>
        <v>0</v>
      </c>
      <c r="FR187" s="45" t="n">
        <f aca="false">Tasks[[#This Row],[_LeafBudget]]*Tasks[[#This Row],[_LeafProgress]]</f>
        <v>0</v>
      </c>
      <c r="FS187" s="45" t="n">
        <f aca="false">IF(NOT(Tasks[[#This Row],[_IsLeaf]]=1),0,IF(Tasks[[#This Row],[Actual Cost]]="",Tasks[[#This Row],[_LeafTotalCost]]*Tasks[[#This Row],[_LeafProgress]],N(Tasks[[#This Row],[Actual Cost]])))</f>
        <v>0</v>
      </c>
      <c r="FT187" s="45" t="str">
        <f aca="false">IF(Tasks[[#This Row],[Task Name]]="","",LEFT(Tasks[[#This Row],[WBS]],FIND(".",Tasks[[#This Row],[WBS]]&amp;".")-1))</f>
        <v/>
      </c>
      <c r="FU187" s="45" t="str">
        <f aca="false">IF(AND(Tasks[[#This Row],[Task Name]]&lt;&gt;"",Tasks[[#This Row],[_Level]]=1),Tasks[[#This Row],[_Row]],"")</f>
        <v/>
      </c>
      <c r="FV187" s="45" t="str">
        <f aca="false">IF(AND(Tasks[[#This Row],[_IsLeaf]]=1,N(Tasks[[#This Row],[Duration]])=0),Tasks[[#This Row],[Planned Finish]]+Tasks[[#This Row],[_Row]]/100000,"")</f>
        <v/>
      </c>
      <c r="FW187" s="45" t="str">
        <f aca="false">IF(AND(Tasks[[#This Row],[_IsLeaf]]=1,Tasks[[#This Row],[_LeafProgress]]&lt;1,OR(N(Tasks[[#This Row],[Finish Var]])&gt;0,Tasks[[#This Row],[Status]]="Late Start")),MAX(0,Tasks[[#This Row],[Finish Var]])+1-Tasks[[#This Row],[_Row]]/1000000,"")</f>
        <v/>
      </c>
      <c r="FX187" s="45" t="str">
        <f aca="false">IF(AND(Tasks[[#This Row],[_IsLeaf]]=1,N(Tasks[[#This Row],[Actual Start]])=0,Tasks[[#This Row],[_ShownFcstStart]]&gt;=StatusDate,Tasks[[#This Row],[_ShownFcstStart]]&lt;=LookaheadEnd),Tasks[[#This Row],[_ShownFcstStart]]+Tasks[[#This Row],[_Row]]/100000,"")</f>
        <v/>
      </c>
      <c r="FY187" s="45" t="str">
        <f aca="false">IF(AND(Tasks[[#This Row],[_IsLeaf]]=1,Tasks[[#This Row],[_LeafProgress]]&lt;1,Tasks[[#This Row],[_ShownFcstFinish]]&gt;=StatusDate,Tasks[[#This Row],[_ShownFcstFinish]]&lt;=LookaheadEnd),Tasks[[#This Row],[_ShownFcstFinish]]+Tasks[[#This Row],[_Row]]/100000,"")</f>
        <v/>
      </c>
      <c r="FZ187" s="45" t="str">
        <f aca="false">IF(Tasks[[#This Row],[_LeafCritical]],Tasks[[#This Row],[_ShownFcstStart]]+Tasks[[#This Row],[_Row]]/100000,"")</f>
        <v/>
      </c>
      <c r="GA187" s="45" t="n">
        <f aca="false">Tasks[[#This Row],[_LeafWork]]*Tasks[[#This Row],[_LeafProgress]]</f>
        <v>0</v>
      </c>
      <c r="GB187" s="74" t="str">
        <f aca="false">IF(AND(Tasks[[#This Row],[_IsLeaf]]=1,Tasks[[#This Row],[_LeafProgress]]&gt;=1),IF(N(Tasks[[#This Row],[Actual Finish]])&gt;0,Tasks[[#This Row],[Actual Finish]],Tasks[[#This Row],[_ShownFcstFinish]]),"")</f>
        <v/>
      </c>
    </row>
    <row r="188" customFormat="false" ht="15" hidden="false" customHeight="false" outlineLevel="0" collapsed="false">
      <c r="A188" s="67" t="str">
        <f aca="false">IF(Tasks[[#This Row],[Task Name]]="","",COUNTA(Tasks[[#Headers],[Task Name]]:Tasks[[#This Row],[Task Name]])-1)</f>
        <v/>
      </c>
      <c r="B188" s="21" t="n">
        <v>183</v>
      </c>
      <c r="C18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21"/>
      <c r="E188" s="22"/>
      <c r="F188" s="21"/>
      <c r="G188" s="22"/>
      <c r="H188" s="22"/>
      <c r="I188" s="22"/>
      <c r="J188" s="7"/>
      <c r="K188" s="7"/>
      <c r="L188" s="22"/>
      <c r="M188" s="58" t="str">
        <f aca="false">IF(Tasks[[#This Row],[Task Name]]="","",IF(Tasks[[#This Row],[_IsSummary]],MIN(INDEX(Tasks[_ShownFcstStart],Tasks[[#This Row],[_Row]]+1):INDEX(Tasks[_ShownFcstStart],Tasks[[#This Row],[_Row]]+Tasks[[#This Row],[_Descendants]])),Tasks[[#This Row],[_ShownFcstStart]]))</f>
        <v/>
      </c>
      <c r="N188" s="58" t="str">
        <f aca="false">IF(Tasks[[#This Row],[Task Name]]="","",IF(Tasks[[#This Row],[_IsSummary]],MAX(INDEX(Tasks[_ShownFcstFinish],Tasks[[#This Row],[_Row]]+1):INDEX(Tasks[_ShownFcstFinish],Tasks[[#This Row],[_Row]]+Tasks[[#This Row],[_Descendants]])),Tasks[[#This Row],[_ShownFcstFinish]]))</f>
        <v/>
      </c>
      <c r="O188" s="20" t="str">
        <f aca="false">IF(Tasks[[#This Row],[Task Name]]="","",IF(Tasks[[#This Row],[Progress]]&gt;=1,"Complete",IF(OR(N(Tasks[[#This Row],[Actual Start]])&gt;0,Tasks[[#This Row],[Progress]]&gt;0),IF(Tasks[[#This Row],[Finish Var]]&gt;0,"Behind","In Progress"),IF(Tasks[[#This Row],[Planned Start]]&lt;StatusDate,"Late Start","Not Started"))))</f>
        <v/>
      </c>
      <c r="P188" s="20" t="str">
        <f aca="false">IF(Tasks[[#This Row],[Task Name]]="","",IF(IF(Tasks[[#This Row],[_IsSummary]],COUNTIF(INDEX(Tasks[_LeafCritical],Tasks[[#This Row],[_Row]]+1):INDEX(Tasks[_LeafCritical],Tasks[[#This Row],[_Row]]+Tasks[[#This Row],[_Descendants]]),TRUE())&gt;0,Tasks[[#This Row],[_LeafCritical]]),"Yes",""))</f>
        <v/>
      </c>
      <c r="Q18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88" s="67" t="str">
        <f aca="false">IF(Tasks[[#This Row],[Task Name]]="","",IF(Tasks[[#This Row],[_Level]]&lt;=OutlineShowLevel,"Yes","No"))</f>
        <v/>
      </c>
      <c r="S188" s="7"/>
      <c r="T188" s="21"/>
      <c r="U188" s="22"/>
      <c r="V188" s="7"/>
      <c r="W188" s="67" t="str">
        <f aca="false">IF(Tasks[[#This Row],[Task Name]]="","",IF(Tasks[[#This Row],[Finish]]&gt;=Tasks[[#This Row],[Planned Finish]],NETWORKDAYS.INTL(Tasks[[#This Row],[Planned Finish]],Tasks[[#This Row],[Finish]],WorkWeek,Holidays)-1,1-NETWORKDAYS.INTL(Tasks[[#This Row],[Finish]],Tasks[[#This Row],[Planned Finish]],WorkWeek,Holidays)))</f>
        <v/>
      </c>
      <c r="X188" s="58" t="str">
        <f aca="false">IF(Tasks[[#This Row],[Task Name]]="","",IF(N(Tasks[[#This Row],[Baseline Start]])&gt;0,Tasks[[#This Row],[Baseline Start]],Tasks[[#This Row],[_CalcStart]]))</f>
        <v/>
      </c>
      <c r="Y188" s="58" t="str">
        <f aca="false">IF(Tasks[[#This Row],[Task Name]]="","",IF(N(Tasks[[#This Row],[Baseline Finish]])&gt;0,Tasks[[#This Row],[Baseline Finish]],Tasks[[#This Row],[_CalcFinish]]))</f>
        <v/>
      </c>
      <c r="Z188" s="67" t="str">
        <f aca="false">IF(Tasks[[#This Row],[Task Name]]="","",IF(Tasks[[#This Row],[Start]]&gt;=Tasks[[#This Row],[Planned Start]],NETWORKDAYS.INTL(Tasks[[#This Row],[Planned Start]],Tasks[[#This Row],[Start]],WorkWeek,Holidays)-1,1-NETWORKDAYS.INTL(Tasks[[#This Row],[Start]],Tasks[[#This Row],[Planned Start]],WorkWeek,Holidays)))</f>
        <v/>
      </c>
      <c r="AA188" s="58" t="str">
        <f aca="false">IF(Tasks[[#This Row],[Task Name]]="","",IF(Tasks[[#This Row],[_IsSummary]],MIN(INDEX(Tasks[_LeafLateStart],Tasks[[#This Row],[_Row]]+1):INDEX(Tasks[_LeafLateStart],Tasks[[#This Row],[_Row]]+Tasks[[#This Row],[_Descendants]])),Tasks[[#This Row],[_LeafLateStart]]))</f>
        <v/>
      </c>
      <c r="AB188" s="58" t="str">
        <f aca="false">IF(Tasks[[#This Row],[Task Name]]="","",IF(Tasks[[#This Row],[_IsSummary]],MAX(INDEX(Tasks[_LeafLateFinish],Tasks[[#This Row],[_Row]]+1):INDEX(Tasks[_LeafLateFinish],Tasks[[#This Row],[_Row]]+Tasks[[#This Row],[_Descendants]])),Tasks[[#This Row],[_LeafLateFinish]]))</f>
        <v/>
      </c>
      <c r="AC188" s="67" t="str">
        <f aca="false">IF(Tasks[[#This Row],[Task Name]]="","",IF(Tasks[[#This Row],[_IsSummary]],MIN(INDEX(Tasks[_LeafTotalSlack],Tasks[[#This Row],[_Row]]+1):INDEX(Tasks[_LeafTotalSlack],Tasks[[#This Row],[_Row]]+Tasks[[#This Row],[_Descendants]])),Tasks[[#This Row],[_LeafTotalSlack]]))</f>
        <v/>
      </c>
      <c r="AD18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8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8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88" s="60"/>
      <c r="AH18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8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88" s="69" t="str">
        <f aca="false">IF(Tasks[[#This Row],[Task Name]]="","",IF(Tasks[[#This Row],[_IsSummary]],SUM(INDEX(Tasks[_LeafTotalWork],Tasks[[#This Row],[_Row]]+1):INDEX(Tasks[_LeafTotalWork],Tasks[[#This Row],[_Row]]+Tasks[[#This Row],[_Descendants]])),Tasks[[#This Row],[_LeafTotalWork]]))</f>
        <v/>
      </c>
      <c r="AK18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88" s="70" t="str">
        <f aca="false">IF(Tasks[[#This Row],[Task Name]]="","",IF(Tasks[[#This Row],[_IsSummary]],SUM(INDEX(Tasks[_LeafTotalCost],Tasks[[#This Row],[_Row]]+1):INDEX(Tasks[_LeafTotalCost],Tasks[[#This Row],[_Row]]+Tasks[[#This Row],[_Descendants]])),Tasks[[#This Row],[_LeafTotalCost]]))</f>
        <v/>
      </c>
      <c r="AM188" s="71"/>
      <c r="AN188" s="20" t="str">
        <f aca="false">IF(OR(Tasks[[#This Row],[Task Name]]="",Tasks[[#This Row],[Baseline Duration]]=""),"",Tasks[[#This Row],[BL Source Duration]]-N(Tasks[[#This Row],[Baseline Duration]]))</f>
        <v/>
      </c>
      <c r="AO188" s="69" t="str">
        <f aca="false">IF(OR(Tasks[[#This Row],[Task Name]]="",Tasks[[#This Row],[Baseline Work]]=""),"",Tasks[[#This Row],[Work]]-N(Tasks[[#This Row],[Baseline Work]]))</f>
        <v/>
      </c>
      <c r="AP188" s="70" t="str">
        <f aca="false">IF(OR(Tasks[[#This Row],[Task Name]]="",Tasks[[#This Row],[Baseline Cost]]=""),"",Tasks[[#This Row],[Cost]]-N(Tasks[[#This Row],[Baseline Cost]]))</f>
        <v/>
      </c>
      <c r="AQ188" s="58" t="str">
        <f aca="false">IF(Tasks[[#This Row],[Task Name]]="","",Tasks[[#This Row],[Start]])</f>
        <v/>
      </c>
      <c r="AR188" s="58" t="str">
        <f aca="false">IF(Tasks[[#This Row],[Task Name]]="","",Tasks[[#This Row],[Finish]])</f>
        <v/>
      </c>
      <c r="AS188" s="67" t="str">
        <f aca="false">IF(Tasks[[#This Row],[Task Name]]="","",IF(Tasks[[#This Row],[_IsSummary]],NETWORKDAYS.INTL(Tasks[[#This Row],[Start]],Tasks[[#This Row],[Finish]],WorkWeek,Holidays),N(Tasks[[#This Row],[Duration]])))</f>
        <v/>
      </c>
      <c r="AT188" s="69" t="str">
        <f aca="false">IF(Tasks[[#This Row],[Task Name]]="","",Tasks[[#This Row],[Work]])</f>
        <v/>
      </c>
      <c r="AU188" s="70" t="str">
        <f aca="false">IF(Tasks[[#This Row],[Task Name]]="","",Tasks[[#This Row],[Cost]])</f>
        <v/>
      </c>
      <c r="AV188" s="7"/>
      <c r="AW188" s="7"/>
      <c r="AX188" s="21"/>
      <c r="AY188" s="72"/>
      <c r="AZ188" s="71"/>
      <c r="BA188" s="70" t="str">
        <f aca="false">IF(Tasks[[#This Row],[Task Name]]="","",IF(Tasks[[#This Row],[_IsSummary]],SUM(INDEX(Tasks[_LeafEV],Tasks[[#This Row],[_Row]]+1):INDEX(Tasks[_LeafEV],Tasks[[#This Row],[_Row]]+Tasks[[#This Row],[_Descendants]])),Tasks[[#This Row],[_LeafEV]]))</f>
        <v/>
      </c>
      <c r="BB188" s="70" t="str">
        <f aca="false">IF(Tasks[[#This Row],[Task Name]]="","",IF(Tasks[[#This Row],[_IsSummary]],SUM(INDEX(Tasks[_LeafBudget],Tasks[[#This Row],[_Row]]+1):INDEX(Tasks[_LeafBudget],Tasks[[#This Row],[_Row]]+Tasks[[#This Row],[_Descendants]])),Tasks[[#This Row],[_LeafBudget]]))</f>
        <v/>
      </c>
      <c r="BC188" s="70" t="str">
        <f aca="false">IF(Tasks[[#This Row],[Task Name]]="","",IF(Tasks[[#This Row],[_IsSummary]],SUM(INDEX(Tasks[_LeafPV],Tasks[[#This Row],[_Row]]+1):INDEX(Tasks[_LeafPV],Tasks[[#This Row],[_Row]]+Tasks[[#This Row],[_Descendants]])),Tasks[[#This Row],[_LeafPV]]))</f>
        <v/>
      </c>
      <c r="BD188" s="70" t="str">
        <f aca="false">IF(Tasks[[#This Row],[Task Name]]="","",IF(Tasks[[#This Row],[_IsSummary]],SUM(INDEX(Tasks[_LeafAC],Tasks[[#This Row],[_Row]]+1):INDEX(Tasks[_LeafAC],Tasks[[#This Row],[_Row]]+Tasks[[#This Row],[_Descendants]])),Tasks[[#This Row],[_LeafAC]]))</f>
        <v/>
      </c>
      <c r="BE188" s="45" t="str">
        <f aca="false">IF(Tasks[[#This Row],[Task Name]]="","",MAX(1,N(Tasks[[#This Row],[Level]])))</f>
        <v/>
      </c>
      <c r="BF188" s="45" t="n">
        <f aca="false">ROW()-ROW(Tasks[[#Headers],[ID]])</f>
        <v>183</v>
      </c>
      <c r="BG188" s="45" t="n">
        <f aca="false">IF(OR(Tasks[[#This Row],[Task Name]]="",Tasks[[#This Row],[_Level]]&lt;=1),0,IFERROR(LOOKUP(2,1/(Tasks[[#Headers],[_Level]]:Tasks[[#This Row],[_Level]]=Tasks[[#This Row],[_Level]]-1),ROW(Tasks[[#Headers],[_Level]]:Tasks[[#This Row],[_Level]])),0))</f>
        <v>0</v>
      </c>
      <c r="BH188" s="45" t="n">
        <f aca="false">IFERROR(N(INDEX(Tasks[_Level],Tasks[[#This Row],[_Row]]+1)),0)</f>
        <v>0</v>
      </c>
      <c r="BI188" s="73" t="b">
        <f aca="false">AND(Tasks[[#This Row],[Task Name]]&lt;&gt;"",Tasks[[#This Row],[_NextLevel]]&gt;Tasks[[#This Row],[_Level]])</f>
        <v>0</v>
      </c>
      <c r="BJ188" s="45" t="n">
        <f aca="false">IF(Tasks[[#This Row],[_IsSummary]],COUNTIF(Tasks[WBS],Tasks[[#This Row],[WBS]]&amp;".*"),0)</f>
        <v>0</v>
      </c>
      <c r="BK188" s="45" t="n">
        <f aca="false">IF(AND(Tasks[[#This Row],[Task Name]]&lt;&gt;"",NOT(Tasks[[#This Row],[_IsSummary]])),1,0)</f>
        <v>0</v>
      </c>
      <c r="BL188" s="45" t="n">
        <f aca="false">IF(N(Tasks[[#This Row],[_Pred1UID]])=0,0,IFERROR(MATCH(Tasks[[#This Row],[_Pred1UID]],Tasks[UID],0),-1))</f>
        <v>0</v>
      </c>
      <c r="BM188" s="45" t="n">
        <f aca="false">IF(N(Tasks[[#This Row],[_Pred2UID]])=0,0,IFERROR(MATCH(Tasks[[#This Row],[_Pred2UID]],Tasks[UID],0),-1))</f>
        <v>0</v>
      </c>
      <c r="BN188" s="45" t="n">
        <f aca="false">IF(N(Tasks[[#This Row],[_Pred3UID]])=0,0,IFERROR(MATCH(Tasks[[#This Row],[_Pred3UID]],Tasks[UID],0),-1))</f>
        <v>0</v>
      </c>
      <c r="BO188" s="45" t="n">
        <f aca="false">IF(N(Tasks[[#This Row],[_Pred4UID]])=0,0,IFERROR(MATCH(Tasks[[#This Row],[_Pred4UID]],Tasks[UID],0),-1))</f>
        <v>0</v>
      </c>
      <c r="BP18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8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88" s="74" t="n">
        <f aca="false">IF(OR(Tasks[[#This Row],[_ConstraintCode]]=2,Tasks[[#This Row],[_ConstraintCode]]=3,Tasks[[#This Row],[_ConstraintCode]]=4,Tasks[[#This Row],[_ConstraintCode]]=6),Tasks[[#This Row],[_ConstraintStart]],0)</f>
        <v>0</v>
      </c>
      <c r="BS188" s="74" t="n">
        <f aca="false">IF(OR(Tasks[[#This Row],[_ConstraintCode]]=2,Tasks[[#This Row],[_ConstraintCode]]=3,Tasks[[#This Row],[_ConstraintCode]]=5,Tasks[[#This Row],[_ConstraintCode]]=7),Tasks[[#This Row],[_ConstraintStart]],2958465)</f>
        <v>2958465</v>
      </c>
      <c r="BT18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88" s="74" t="str">
        <f aca="false">IF(NOT(Tasks[[#This Row],[_IsLeaf]]=1),"",IF(N(Tasks[[#This Row],[Duration]])&lt;=0,Tasks[[#This Row],[_LeafCalcStart]],WORKDAY.INTL(Tasks[[#This Row],[_LeafCalcStart]],Tasks[[#This Row],[Duration]]-1,WorkWeek,Holidays)))</f>
        <v/>
      </c>
      <c r="BV18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8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88" s="45" t="str">
        <f aca="false">IF(Tasks[[#This Row],[Predecessors]]="","",TRIM(MID(SUBSTITUTE(SUBSTITUTE(SUBSTITUTE(UPPER(Tasks[[#This Row],[Predecessors]]),";",",")," ",""),",",REPT(" ",99)),1,99)))</f>
        <v/>
      </c>
      <c r="BY188" s="45" t="str">
        <f aca="false">IF(Tasks[[#This Row],[_Pred1Text]]="","",IFERROR(VALUE(LEFT(Tasks[[#This Row],[_Pred1Text]],MIN(FIND("F",Tasks[[#This Row],[_Pred1Text]]&amp;"F"),FIND("S",Tasks[[#This Row],[_Pred1Text]]&amp;"S"),FIND("+",Tasks[[#This Row],[_Pred1Text]]&amp;"+"),FIND("-",Tasks[[#This Row],[_Pred1Text]]&amp;"-"))-1)),""))</f>
        <v/>
      </c>
      <c r="BZ18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8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88" s="45" t="str">
        <f aca="false">IF(Tasks[[#This Row],[_Pred1Text]]="","",TRIM(MID(SUBSTITUTE(SUBSTITUTE(SUBSTITUTE(UPPER(Tasks[[#This Row],[Predecessors]]),";",",")," ",""),",",REPT(" ",99)),100,99)))</f>
        <v/>
      </c>
      <c r="CC188" s="45" t="str">
        <f aca="false">IF(Tasks[[#This Row],[_Pred2Text]]="","",IFERROR(VALUE(LEFT(Tasks[[#This Row],[_Pred2Text]],MIN(FIND("F",Tasks[[#This Row],[_Pred2Text]]&amp;"F"),FIND("S",Tasks[[#This Row],[_Pred2Text]]&amp;"S"),FIND("+",Tasks[[#This Row],[_Pred2Text]]&amp;"+"),FIND("-",Tasks[[#This Row],[_Pred2Text]]&amp;"-"))-1)),""))</f>
        <v/>
      </c>
      <c r="CD18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8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88" s="45" t="str">
        <f aca="false">IF(Tasks[[#This Row],[_Pred2Text]]="","",TRIM(MID(SUBSTITUTE(SUBSTITUTE(SUBSTITUTE(UPPER(Tasks[[#This Row],[Predecessors]]),";",",")," ",""),",",REPT(" ",99)),199,99)))</f>
        <v/>
      </c>
      <c r="CG188" s="45" t="str">
        <f aca="false">IF(Tasks[[#This Row],[_Pred3Text]]="","",IFERROR(VALUE(LEFT(Tasks[[#This Row],[_Pred3Text]],MIN(FIND("F",Tasks[[#This Row],[_Pred3Text]]&amp;"F"),FIND("S",Tasks[[#This Row],[_Pred3Text]]&amp;"S"),FIND("+",Tasks[[#This Row],[_Pred3Text]]&amp;"+"),FIND("-",Tasks[[#This Row],[_Pred3Text]]&amp;"-"))-1)),""))</f>
        <v/>
      </c>
      <c r="CH18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8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88" s="45" t="str">
        <f aca="false">IF(Tasks[[#This Row],[_Pred3Text]]="","",TRIM(MID(SUBSTITUTE(SUBSTITUTE(SUBSTITUTE(UPPER(Tasks[[#This Row],[Predecessors]]),";",",")," ",""),",",REPT(" ",99)),298,99)))</f>
        <v/>
      </c>
      <c r="CK188" s="45" t="str">
        <f aca="false">IF(Tasks[[#This Row],[_Pred4Text]]="","",IFERROR(VALUE(LEFT(Tasks[[#This Row],[_Pred4Text]],MIN(FIND("F",Tasks[[#This Row],[_Pred4Text]]&amp;"F"),FIND("S",Tasks[[#This Row],[_Pred4Text]]&amp;"S"),FIND("+",Tasks[[#This Row],[_Pred4Text]]&amp;"+"),FIND("-",Tasks[[#This Row],[_Pred4Text]]&amp;"-"))-1)),""))</f>
        <v/>
      </c>
      <c r="CL18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8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88" s="45" t="str">
        <f aca="false">IF(OR(Tasks[[#This Row],[Task Name]]="",Tasks[[#This Row],[Resources]]=""),"",TRIM(MID(SUBSTITUTE(Tasks[[#This Row],[Resources]],",",REPT(" ",99)),1,99)))</f>
        <v/>
      </c>
      <c r="CO188" s="45" t="str">
        <f aca="false">IF(Tasks[[#This Row],[_Res1Text]]="","",TRIM(MID(SUBSTITUTE(Tasks[[#This Row],[Resources]],",",REPT(" ",99)),100,99)))</f>
        <v/>
      </c>
      <c r="CP188" s="45" t="str">
        <f aca="false">IF(Tasks[[#This Row],[_Res2Text]]="","",TRIM(MID(SUBSTITUTE(Tasks[[#This Row],[Resources]],",",REPT(" ",99)),199,99)))</f>
        <v/>
      </c>
      <c r="CQ188" s="45" t="str">
        <f aca="false">IF(Tasks[[#This Row],[_Res3Text]]="","",TRIM(MID(SUBSTITUTE(Tasks[[#This Row],[Resources]],",",REPT(" ",99)),298,99)))</f>
        <v/>
      </c>
      <c r="CR18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8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8" s="45" t="n">
        <f aca="false">IF(NOT(Tasks[[#This Row],[_IsLeaf]]=1),0,(Tasks[[#This Row],[_Resource1]]&lt;&gt;"")+(Tasks[[#This Row],[_Res2]]&lt;&gt;"")+(Tasks[[#This Row],[_Res3]]&lt;&gt;"")+(Tasks[[#This Row],[_Res4]]&lt;&gt;""))</f>
        <v>0</v>
      </c>
      <c r="CU18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8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8" s="45" t="n">
        <f aca="false">IF(OR(NOT(Tasks[[#This Row],[_IsLeaf]]=1),Tasks[[#This Row],[_Res2]]=""),0,IF(ISNA(MATCH(Tasks[[#This Row],[_Res2]],res_Name,0)),0,N(Tasks[[#This Row],[Duration]])*HoursPerDay*IF(Tasks[[#This Row],[_Res2Units]]="",DefaultUnits,Tasks[[#This Row],[_Res2Units]])))</f>
        <v>0</v>
      </c>
      <c r="CX188" s="45" t="n">
        <f aca="false">IF(Tasks[[#This Row],[_Res2Work]]=0,0,Tasks[[#This Row],[_Res2Work]]*IFERROR(INDEX(res_Rate,MATCH(Tasks[[#This Row],[_Res2]],res_Name,0)),0))</f>
        <v>0</v>
      </c>
      <c r="CY188" s="45" t="n">
        <f aca="false">IF(AND(AND(Tasks[[#This Row],[_IsLeaf]]=1,Tasks[[#This Row],[_LeafTotalWork]]&gt;0),Tasks[[#This Row],[_Res2Work]]&gt;0),Tasks[[#This Row],[_Res2Work]]/(Tasks[[#This Row],[_FinishWorkday]]-Tasks[[#This Row],[_StartWorkday]]+1),0)</f>
        <v>0</v>
      </c>
      <c r="CZ188" s="45" t="n">
        <f aca="false">Tasks[[#This Row],[_Res2WorkPerWD]]*MAX(0,Tasks[[#This Row],[_StartWorkday]]-1)</f>
        <v>0</v>
      </c>
      <c r="DA188" s="45" t="n">
        <f aca="false">Tasks[[#This Row],[_Res2Work]]*Tasks[[#This Row],[_LeafProgress]]</f>
        <v>0</v>
      </c>
      <c r="DB188" s="45" t="n">
        <f aca="false">IF(Tasks[[#This Row],[_LeafTotalCost]]=0,0,Tasks[[#This Row],[_LeafAC]]*Tasks[[#This Row],[_Res2Cost]]/Tasks[[#This Row],[_LeafTotalCost]])</f>
        <v>0</v>
      </c>
      <c r="DC18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8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88" s="45" t="n">
        <f aca="false">IF(OR(NOT(Tasks[[#This Row],[_IsLeaf]]=1),Tasks[[#This Row],[_Res3]]=""),0,IF(ISNA(MATCH(Tasks[[#This Row],[_Res3]],res_Name,0)),0,N(Tasks[[#This Row],[Duration]])*HoursPerDay*IF(Tasks[[#This Row],[_Res3Units]]="",DefaultUnits,Tasks[[#This Row],[_Res3Units]])))</f>
        <v>0</v>
      </c>
      <c r="DF188" s="45" t="n">
        <f aca="false">IF(Tasks[[#This Row],[_Res3Work]]=0,0,Tasks[[#This Row],[_Res3Work]]*IFERROR(INDEX(res_Rate,MATCH(Tasks[[#This Row],[_Res3]],res_Name,0)),0))</f>
        <v>0</v>
      </c>
      <c r="DG188" s="45" t="n">
        <f aca="false">IF(AND(AND(Tasks[[#This Row],[_IsLeaf]]=1,Tasks[[#This Row],[_LeafTotalWork]]&gt;0),Tasks[[#This Row],[_Res3Work]]&gt;0),Tasks[[#This Row],[_Res3Work]]/(Tasks[[#This Row],[_FinishWorkday]]-Tasks[[#This Row],[_StartWorkday]]+1),0)</f>
        <v>0</v>
      </c>
      <c r="DH188" s="45" t="n">
        <f aca="false">Tasks[[#This Row],[_Res3WorkPerWD]]*MAX(0,Tasks[[#This Row],[_StartWorkday]]-1)</f>
        <v>0</v>
      </c>
      <c r="DI188" s="45" t="n">
        <f aca="false">Tasks[[#This Row],[_Res3Work]]*Tasks[[#This Row],[_LeafProgress]]</f>
        <v>0</v>
      </c>
      <c r="DJ188" s="45" t="n">
        <f aca="false">IF(Tasks[[#This Row],[_LeafTotalCost]]=0,0,Tasks[[#This Row],[_LeafAC]]*Tasks[[#This Row],[_Res3Cost]]/Tasks[[#This Row],[_LeafTotalCost]])</f>
        <v>0</v>
      </c>
      <c r="DK18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8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88" s="45" t="n">
        <f aca="false">IF(OR(NOT(Tasks[[#This Row],[_IsLeaf]]=1),Tasks[[#This Row],[_Res4]]=""),0,IF(ISNA(MATCH(Tasks[[#This Row],[_Res4]],res_Name,0)),0,N(Tasks[[#This Row],[Duration]])*HoursPerDay*IF(Tasks[[#This Row],[_Res4Units]]="",DefaultUnits,Tasks[[#This Row],[_Res4Units]])))</f>
        <v>0</v>
      </c>
      <c r="DN188" s="45" t="n">
        <f aca="false">IF(Tasks[[#This Row],[_Res4Work]]=0,0,Tasks[[#This Row],[_Res4Work]]*IFERROR(INDEX(res_Rate,MATCH(Tasks[[#This Row],[_Res4]],res_Name,0)),0))</f>
        <v>0</v>
      </c>
      <c r="DO188" s="45" t="n">
        <f aca="false">IF(AND(AND(Tasks[[#This Row],[_IsLeaf]]=1,Tasks[[#This Row],[_LeafTotalWork]]&gt;0),Tasks[[#This Row],[_Res4Work]]&gt;0),Tasks[[#This Row],[_Res4Work]]/(Tasks[[#This Row],[_FinishWorkday]]-Tasks[[#This Row],[_StartWorkday]]+1),0)</f>
        <v>0</v>
      </c>
      <c r="DP188" s="45" t="n">
        <f aca="false">Tasks[[#This Row],[_Res4WorkPerWD]]*MAX(0,Tasks[[#This Row],[_StartWorkday]]-1)</f>
        <v>0</v>
      </c>
      <c r="DQ188" s="45" t="n">
        <f aca="false">Tasks[[#This Row],[_Res4Work]]*Tasks[[#This Row],[_LeafProgress]]</f>
        <v>0</v>
      </c>
      <c r="DR188" s="45" t="n">
        <f aca="false">IF(Tasks[[#This Row],[_LeafTotalCost]]=0,0,Tasks[[#This Row],[_LeafAC]]*Tasks[[#This Row],[_Res4Cost]]/Tasks[[#This Row],[_LeafTotalCost]])</f>
        <v>0</v>
      </c>
      <c r="DS188" s="45" t="n">
        <f aca="false">IF(ISNUMBER(Tasks[[#This Row],[% Complete]]),Tasks[[#This Row],[% Complete]],IF(Tasks[[#This Row],[Stage]]="",0,IFERROR(INDEX(stg_Pct,MATCH(Tasks[[#This Row],[Stage]],stg_Name,0)),0)))</f>
        <v>0</v>
      </c>
      <c r="DT188" s="45" t="n">
        <f aca="false">IF(NOT(Tasks[[#This Row],[_IsLeaf]]=1),0,IF(N(Tasks[[#This Row],[Actual Finish]])&gt;0,1,MIN(1,Tasks[[#This Row],[_Pct]])))</f>
        <v>0</v>
      </c>
      <c r="DU188" s="45" t="n">
        <f aca="false">IF(OR(NOT(Tasks[[#This Row],[_IsLeaf]]=1),Tasks[[#This Row],[_Resource1]]=""),0,IF(ISNA(MATCH(Tasks[[#This Row],[_Resource1]],res_Name,0)),0,N(Tasks[[#This Row],[Duration]])*HoursPerDay*IF(Tasks[[#This Row],[_Units1]]="",DefaultUnits,Tasks[[#This Row],[_Units1]])))</f>
        <v>0</v>
      </c>
      <c r="DV188" s="45" t="n">
        <f aca="false">IF(Tasks[[#This Row],[_LeafWork]]=0,0,Tasks[[#This Row],[_LeafWork]]*IFERROR(INDEX(res_Rate,MATCH(Tasks[[#This Row],[_Resource1]],res_Name,0)),0))</f>
        <v>0</v>
      </c>
      <c r="DW188" s="45" t="n">
        <f aca="false">Tasks[[#This Row],[_LeafWork]]+Tasks[[#This Row],[_Res2Work]]+Tasks[[#This Row],[_Res3Work]]+Tasks[[#This Row],[_Res4Work]]</f>
        <v>0</v>
      </c>
      <c r="DX188" s="45" t="n">
        <f aca="false">Tasks[[#This Row],[_LeafCost]]+Tasks[[#This Row],[_Res2Cost]]+Tasks[[#This Row],[_Res3Cost]]+Tasks[[#This Row],[_Res4Cost]]</f>
        <v>0</v>
      </c>
      <c r="DY188" s="45" t="n">
        <f aca="false">IF(Tasks[[#This Row],[_LeafTotalCost]]=0,Tasks[[#This Row],[_LeafAC]],Tasks[[#This Row],[_LeafAC]]*Tasks[[#This Row],[_LeafCost]]/Tasks[[#This Row],[_LeafTotalCost]])</f>
        <v>0</v>
      </c>
      <c r="DZ18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8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8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8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8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8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8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8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88" s="45" t="n">
        <f aca="false">IF(NOT(Tasks[[#This Row],[_IsLeaf]]=1),0,MAX(_xlfn.MAXIFS(Tasks[_Row],Tasks[_Pred1UID],Tasks[[#This Row],[UID]]),_xlfn.MAXIFS(Tasks[_Row],Tasks[_Pred2UID],Tasks[[#This Row],[UID]]),_xlfn.MAXIFS(Tasks[_Row],Tasks[_Pred3UID],Tasks[[#This Row],[UID]]),_xlfn.MAXIFS(Tasks[_Row],Tasks[_Pred4UID],Tasks[[#This Row],[UID]])))</f>
        <v>0</v>
      </c>
      <c r="EI18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8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88" s="74" t="str">
        <f aca="false">IF(NOT(Tasks[[#This Row],[_IsLeaf]]=1),"",IF(N(Tasks[[#This Row],[Duration]])&lt;=0,Tasks[[#This Row],[_LeafLateFinish]],WORKDAY.INTL(Tasks[[#This Row],[_LeafLateFinish]],-(Tasks[[#This Row],[Duration]]-1),WorkWeek,Holidays)))</f>
        <v/>
      </c>
      <c r="EL18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88" s="73" t="b">
        <f aca="false">AND(Tasks[[#This Row],[_IsLeaf]]=1,Tasks[[#This Row],[_LeafProgress]]&lt;1,N(Tasks[[#This Row],[_LeafTotalSlack]])&lt;=CriticalSlackDays)</f>
        <v>0</v>
      </c>
      <c r="EN188" s="45" t="n">
        <f aca="false">IF(AND(Tasks[[#This Row],[_IsLeaf]]=1,Tasks[[#This Row],[_ConstraintCode]]=1,Tasks[[#This Row],[Mode]]&lt;&gt;"Manual",N(Tasks[[#This Row],[Actual Start]])=0),MAX(0,N(Tasks[[#This Row],[Free Slack]])),0)</f>
        <v>0</v>
      </c>
      <c r="EO188" s="74" t="str">
        <f aca="false">IF(NOT(Tasks[[#This Row],[_IsLeaf]]=1),"",IF(Tasks[[#This Row],[_AlapShift]]=0,Tasks[[#This Row],[_LeafCalcStart]],WORKDAY.INTL(Tasks[[#This Row],[_LeafCalcStart]],Tasks[[#This Row],[_AlapShift]],WorkWeek,Holidays)))</f>
        <v/>
      </c>
      <c r="EP188" s="74" t="str">
        <f aca="false">IF(NOT(Tasks[[#This Row],[_IsLeaf]]=1),"",IF(Tasks[[#This Row],[_AlapShift]]=0,Tasks[[#This Row],[_LeafCalcFinish]],WORKDAY.INTL(Tasks[[#This Row],[_LeafCalcFinish]],Tasks[[#This Row],[_AlapShift]],WorkWeek,Holidays)))</f>
        <v/>
      </c>
      <c r="EQ188" s="74" t="str">
        <f aca="false">IF(NOT(Tasks[[#This Row],[_IsLeaf]]=1),"",IF(Tasks[[#This Row],[_AlapShift]]=0,Tasks[[#This Row],[_LeafFcstStart]],WORKDAY.INTL(Tasks[[#This Row],[_LeafFcstStart]],Tasks[[#This Row],[_AlapShift]],WorkWeek,Holidays)))</f>
        <v/>
      </c>
      <c r="ER188" s="74" t="str">
        <f aca="false">IF(NOT(Tasks[[#This Row],[_IsLeaf]]=1),"",IF(Tasks[[#This Row],[_AlapShift]]=0,Tasks[[#This Row],[_LeafFcstFinish]],WORKDAY.INTL(Tasks[[#This Row],[_LeafFcstFinish]],Tasks[[#This Row],[_AlapShift]],WorkWeek,Holidays)))</f>
        <v/>
      </c>
      <c r="ES188" s="74" t="str">
        <f aca="false">IF(Tasks[[#This Row],[Task Name]]="","",IF(Tasks[[#This Row],[_IsSummary]],MIN(INDEX(Tasks[_ShownCalcStart],Tasks[[#This Row],[_Row]]+1):INDEX(Tasks[_ShownCalcStart],Tasks[[#This Row],[_Row]]+Tasks[[#This Row],[_Descendants]])),Tasks[[#This Row],[_ShownCalcStart]]))</f>
        <v/>
      </c>
      <c r="ET188" s="74" t="str">
        <f aca="false">IF(Tasks[[#This Row],[Task Name]]="","",IF(Tasks[[#This Row],[_IsSummary]],MAX(INDEX(Tasks[_ShownCalcFinish],Tasks[[#This Row],[_Row]]+1):INDEX(Tasks[_ShownCalcFinish],Tasks[[#This Row],[_Row]]+Tasks[[#This Row],[_Descendants]])),Tasks[[#This Row],[_ShownCalcFinish]]))</f>
        <v/>
      </c>
      <c r="EU18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8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8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8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8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8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8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8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8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8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8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8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88" s="45" t="n">
        <f aca="false">IF(AND(Tasks[[#This Row],[_IsLeaf]]=1,Tasks[[#This Row],[_LeafTotalWork]]&gt;0),NETWORKDAYS.INTL(ProjectStart,Tasks[[#This Row],[_ShownFcstStart]],WorkWeek,Holidays),0)</f>
        <v>0</v>
      </c>
      <c r="FH188" s="45" t="n">
        <f aca="false">IF(AND(Tasks[[#This Row],[_IsLeaf]]=1,Tasks[[#This Row],[_LeafTotalWork]]&gt;0),MAX(Tasks[[#This Row],[_StartWorkday]],NETWORKDAYS.INTL(ProjectStart,Tasks[[#This Row],[_ShownFcstFinish]],WorkWeek,Holidays)),0)</f>
        <v>0</v>
      </c>
      <c r="FI188" s="45" t="n">
        <f aca="false">IF(AND(Tasks[[#This Row],[_IsLeaf]]=1,Tasks[[#This Row],[_LeafTotalWork]]&gt;0),Tasks[[#This Row],[_LeafWork]]/(Tasks[[#This Row],[_FinishWorkday]]-Tasks[[#This Row],[_StartWorkday]]+1),0)</f>
        <v>0</v>
      </c>
      <c r="FJ188" s="45" t="n">
        <f aca="false">Tasks[[#This Row],[_WorkPerWorkday]]*(Tasks[[#This Row],[_StartWorkday]]-1)</f>
        <v>-0</v>
      </c>
      <c r="FK188" s="45" t="n">
        <f aca="false">IF(Tasks[[#This Row],[_IsLeaf]]=1,MAX(N(Tasks[[#This Row],[Duration]]),0.1),0)</f>
        <v>0</v>
      </c>
      <c r="FL188" s="45" t="n">
        <f aca="false">Tasks[[#This Row],[_WeightDur]]*Tasks[[#This Row],[_LeafProgress]]</f>
        <v>0</v>
      </c>
      <c r="FM18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88" s="45" t="str">
        <f aca="false">IF(AND(Tasks[[#This Row],[_IsLeaf]]=1,N(Tasks[[#This Row],[Duration]])=0,Tasks[[#This Row],[_LeafProgress]]&lt;1),Tasks[[#This Row],[_ShownFcstFinish]]+Tasks[[#This Row],[_Row]]/100000,"")</f>
        <v/>
      </c>
      <c r="FO18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88" s="45" t="n">
        <f aca="false">IF(NOT(Tasks[[#This Row],[_IsLeaf]]=1),0,IF(Tasks[[#This Row],[Baseline Cost]]="",Tasks[[#This Row],[_LeafTotalCost]],N(Tasks[[#This Row],[Baseline Cost]])))</f>
        <v>0</v>
      </c>
      <c r="FQ188" s="45" t="n">
        <f aca="false">Tasks[[#This Row],[_LeafBudget]]*Tasks[[#This Row],[_PlannedPct]]</f>
        <v>0</v>
      </c>
      <c r="FR188" s="45" t="n">
        <f aca="false">Tasks[[#This Row],[_LeafBudget]]*Tasks[[#This Row],[_LeafProgress]]</f>
        <v>0</v>
      </c>
      <c r="FS188" s="45" t="n">
        <f aca="false">IF(NOT(Tasks[[#This Row],[_IsLeaf]]=1),0,IF(Tasks[[#This Row],[Actual Cost]]="",Tasks[[#This Row],[_LeafTotalCost]]*Tasks[[#This Row],[_LeafProgress]],N(Tasks[[#This Row],[Actual Cost]])))</f>
        <v>0</v>
      </c>
      <c r="FT188" s="45" t="str">
        <f aca="false">IF(Tasks[[#This Row],[Task Name]]="","",LEFT(Tasks[[#This Row],[WBS]],FIND(".",Tasks[[#This Row],[WBS]]&amp;".")-1))</f>
        <v/>
      </c>
      <c r="FU188" s="45" t="str">
        <f aca="false">IF(AND(Tasks[[#This Row],[Task Name]]&lt;&gt;"",Tasks[[#This Row],[_Level]]=1),Tasks[[#This Row],[_Row]],"")</f>
        <v/>
      </c>
      <c r="FV188" s="45" t="str">
        <f aca="false">IF(AND(Tasks[[#This Row],[_IsLeaf]]=1,N(Tasks[[#This Row],[Duration]])=0),Tasks[[#This Row],[Planned Finish]]+Tasks[[#This Row],[_Row]]/100000,"")</f>
        <v/>
      </c>
      <c r="FW188" s="45" t="str">
        <f aca="false">IF(AND(Tasks[[#This Row],[_IsLeaf]]=1,Tasks[[#This Row],[_LeafProgress]]&lt;1,OR(N(Tasks[[#This Row],[Finish Var]])&gt;0,Tasks[[#This Row],[Status]]="Late Start")),MAX(0,Tasks[[#This Row],[Finish Var]])+1-Tasks[[#This Row],[_Row]]/1000000,"")</f>
        <v/>
      </c>
      <c r="FX188" s="45" t="str">
        <f aca="false">IF(AND(Tasks[[#This Row],[_IsLeaf]]=1,N(Tasks[[#This Row],[Actual Start]])=0,Tasks[[#This Row],[_ShownFcstStart]]&gt;=StatusDate,Tasks[[#This Row],[_ShownFcstStart]]&lt;=LookaheadEnd),Tasks[[#This Row],[_ShownFcstStart]]+Tasks[[#This Row],[_Row]]/100000,"")</f>
        <v/>
      </c>
      <c r="FY188" s="45" t="str">
        <f aca="false">IF(AND(Tasks[[#This Row],[_IsLeaf]]=1,Tasks[[#This Row],[_LeafProgress]]&lt;1,Tasks[[#This Row],[_ShownFcstFinish]]&gt;=StatusDate,Tasks[[#This Row],[_ShownFcstFinish]]&lt;=LookaheadEnd),Tasks[[#This Row],[_ShownFcstFinish]]+Tasks[[#This Row],[_Row]]/100000,"")</f>
        <v/>
      </c>
      <c r="FZ188" s="45" t="str">
        <f aca="false">IF(Tasks[[#This Row],[_LeafCritical]],Tasks[[#This Row],[_ShownFcstStart]]+Tasks[[#This Row],[_Row]]/100000,"")</f>
        <v/>
      </c>
      <c r="GA188" s="45" t="n">
        <f aca="false">Tasks[[#This Row],[_LeafWork]]*Tasks[[#This Row],[_LeafProgress]]</f>
        <v>0</v>
      </c>
      <c r="GB188" s="74" t="str">
        <f aca="false">IF(AND(Tasks[[#This Row],[_IsLeaf]]=1,Tasks[[#This Row],[_LeafProgress]]&gt;=1),IF(N(Tasks[[#This Row],[Actual Finish]])&gt;0,Tasks[[#This Row],[Actual Finish]],Tasks[[#This Row],[_ShownFcstFinish]]),"")</f>
        <v/>
      </c>
    </row>
    <row r="189" customFormat="false" ht="15" hidden="false" customHeight="false" outlineLevel="0" collapsed="false">
      <c r="A189" s="67" t="str">
        <f aca="false">IF(Tasks[[#This Row],[Task Name]]="","",COUNTA(Tasks[[#Headers],[Task Name]]:Tasks[[#This Row],[Task Name]])-1)</f>
        <v/>
      </c>
      <c r="B189" s="21" t="n">
        <v>184</v>
      </c>
      <c r="C18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21"/>
      <c r="E189" s="22"/>
      <c r="F189" s="21"/>
      <c r="G189" s="22"/>
      <c r="H189" s="22"/>
      <c r="I189" s="22"/>
      <c r="J189" s="7"/>
      <c r="K189" s="7"/>
      <c r="L189" s="22"/>
      <c r="M189" s="58" t="str">
        <f aca="false">IF(Tasks[[#This Row],[Task Name]]="","",IF(Tasks[[#This Row],[_IsSummary]],MIN(INDEX(Tasks[_ShownFcstStart],Tasks[[#This Row],[_Row]]+1):INDEX(Tasks[_ShownFcstStart],Tasks[[#This Row],[_Row]]+Tasks[[#This Row],[_Descendants]])),Tasks[[#This Row],[_ShownFcstStart]]))</f>
        <v/>
      </c>
      <c r="N189" s="58" t="str">
        <f aca="false">IF(Tasks[[#This Row],[Task Name]]="","",IF(Tasks[[#This Row],[_IsSummary]],MAX(INDEX(Tasks[_ShownFcstFinish],Tasks[[#This Row],[_Row]]+1):INDEX(Tasks[_ShownFcstFinish],Tasks[[#This Row],[_Row]]+Tasks[[#This Row],[_Descendants]])),Tasks[[#This Row],[_ShownFcstFinish]]))</f>
        <v/>
      </c>
      <c r="O189" s="20" t="str">
        <f aca="false">IF(Tasks[[#This Row],[Task Name]]="","",IF(Tasks[[#This Row],[Progress]]&gt;=1,"Complete",IF(OR(N(Tasks[[#This Row],[Actual Start]])&gt;0,Tasks[[#This Row],[Progress]]&gt;0),IF(Tasks[[#This Row],[Finish Var]]&gt;0,"Behind","In Progress"),IF(Tasks[[#This Row],[Planned Start]]&lt;StatusDate,"Late Start","Not Started"))))</f>
        <v/>
      </c>
      <c r="P189" s="20" t="str">
        <f aca="false">IF(Tasks[[#This Row],[Task Name]]="","",IF(IF(Tasks[[#This Row],[_IsSummary]],COUNTIF(INDEX(Tasks[_LeafCritical],Tasks[[#This Row],[_Row]]+1):INDEX(Tasks[_LeafCritical],Tasks[[#This Row],[_Row]]+Tasks[[#This Row],[_Descendants]]),TRUE())&gt;0,Tasks[[#This Row],[_LeafCritical]]),"Yes",""))</f>
        <v/>
      </c>
      <c r="Q18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89" s="67" t="str">
        <f aca="false">IF(Tasks[[#This Row],[Task Name]]="","",IF(Tasks[[#This Row],[_Level]]&lt;=OutlineShowLevel,"Yes","No"))</f>
        <v/>
      </c>
      <c r="S189" s="7"/>
      <c r="T189" s="21"/>
      <c r="U189" s="22"/>
      <c r="V189" s="7"/>
      <c r="W189" s="67" t="str">
        <f aca="false">IF(Tasks[[#This Row],[Task Name]]="","",IF(Tasks[[#This Row],[Finish]]&gt;=Tasks[[#This Row],[Planned Finish]],NETWORKDAYS.INTL(Tasks[[#This Row],[Planned Finish]],Tasks[[#This Row],[Finish]],WorkWeek,Holidays)-1,1-NETWORKDAYS.INTL(Tasks[[#This Row],[Finish]],Tasks[[#This Row],[Planned Finish]],WorkWeek,Holidays)))</f>
        <v/>
      </c>
      <c r="X189" s="58" t="str">
        <f aca="false">IF(Tasks[[#This Row],[Task Name]]="","",IF(N(Tasks[[#This Row],[Baseline Start]])&gt;0,Tasks[[#This Row],[Baseline Start]],Tasks[[#This Row],[_CalcStart]]))</f>
        <v/>
      </c>
      <c r="Y189" s="58" t="str">
        <f aca="false">IF(Tasks[[#This Row],[Task Name]]="","",IF(N(Tasks[[#This Row],[Baseline Finish]])&gt;0,Tasks[[#This Row],[Baseline Finish]],Tasks[[#This Row],[_CalcFinish]]))</f>
        <v/>
      </c>
      <c r="Z189" s="67" t="str">
        <f aca="false">IF(Tasks[[#This Row],[Task Name]]="","",IF(Tasks[[#This Row],[Start]]&gt;=Tasks[[#This Row],[Planned Start]],NETWORKDAYS.INTL(Tasks[[#This Row],[Planned Start]],Tasks[[#This Row],[Start]],WorkWeek,Holidays)-1,1-NETWORKDAYS.INTL(Tasks[[#This Row],[Start]],Tasks[[#This Row],[Planned Start]],WorkWeek,Holidays)))</f>
        <v/>
      </c>
      <c r="AA189" s="58" t="str">
        <f aca="false">IF(Tasks[[#This Row],[Task Name]]="","",IF(Tasks[[#This Row],[_IsSummary]],MIN(INDEX(Tasks[_LeafLateStart],Tasks[[#This Row],[_Row]]+1):INDEX(Tasks[_LeafLateStart],Tasks[[#This Row],[_Row]]+Tasks[[#This Row],[_Descendants]])),Tasks[[#This Row],[_LeafLateStart]]))</f>
        <v/>
      </c>
      <c r="AB189" s="58" t="str">
        <f aca="false">IF(Tasks[[#This Row],[Task Name]]="","",IF(Tasks[[#This Row],[_IsSummary]],MAX(INDEX(Tasks[_LeafLateFinish],Tasks[[#This Row],[_Row]]+1):INDEX(Tasks[_LeafLateFinish],Tasks[[#This Row],[_Row]]+Tasks[[#This Row],[_Descendants]])),Tasks[[#This Row],[_LeafLateFinish]]))</f>
        <v/>
      </c>
      <c r="AC189" s="67" t="str">
        <f aca="false">IF(Tasks[[#This Row],[Task Name]]="","",IF(Tasks[[#This Row],[_IsSummary]],MIN(INDEX(Tasks[_LeafTotalSlack],Tasks[[#This Row],[_Row]]+1):INDEX(Tasks[_LeafTotalSlack],Tasks[[#This Row],[_Row]]+Tasks[[#This Row],[_Descendants]])),Tasks[[#This Row],[_LeafTotalSlack]]))</f>
        <v/>
      </c>
      <c r="AD18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8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8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89" s="60"/>
      <c r="AH18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8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89" s="69" t="str">
        <f aca="false">IF(Tasks[[#This Row],[Task Name]]="","",IF(Tasks[[#This Row],[_IsSummary]],SUM(INDEX(Tasks[_LeafTotalWork],Tasks[[#This Row],[_Row]]+1):INDEX(Tasks[_LeafTotalWork],Tasks[[#This Row],[_Row]]+Tasks[[#This Row],[_Descendants]])),Tasks[[#This Row],[_LeafTotalWork]]))</f>
        <v/>
      </c>
      <c r="AK18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89" s="70" t="str">
        <f aca="false">IF(Tasks[[#This Row],[Task Name]]="","",IF(Tasks[[#This Row],[_IsSummary]],SUM(INDEX(Tasks[_LeafTotalCost],Tasks[[#This Row],[_Row]]+1):INDEX(Tasks[_LeafTotalCost],Tasks[[#This Row],[_Row]]+Tasks[[#This Row],[_Descendants]])),Tasks[[#This Row],[_LeafTotalCost]]))</f>
        <v/>
      </c>
      <c r="AM189" s="71"/>
      <c r="AN189" s="20" t="str">
        <f aca="false">IF(OR(Tasks[[#This Row],[Task Name]]="",Tasks[[#This Row],[Baseline Duration]]=""),"",Tasks[[#This Row],[BL Source Duration]]-N(Tasks[[#This Row],[Baseline Duration]]))</f>
        <v/>
      </c>
      <c r="AO189" s="69" t="str">
        <f aca="false">IF(OR(Tasks[[#This Row],[Task Name]]="",Tasks[[#This Row],[Baseline Work]]=""),"",Tasks[[#This Row],[Work]]-N(Tasks[[#This Row],[Baseline Work]]))</f>
        <v/>
      </c>
      <c r="AP189" s="70" t="str">
        <f aca="false">IF(OR(Tasks[[#This Row],[Task Name]]="",Tasks[[#This Row],[Baseline Cost]]=""),"",Tasks[[#This Row],[Cost]]-N(Tasks[[#This Row],[Baseline Cost]]))</f>
        <v/>
      </c>
      <c r="AQ189" s="58" t="str">
        <f aca="false">IF(Tasks[[#This Row],[Task Name]]="","",Tasks[[#This Row],[Start]])</f>
        <v/>
      </c>
      <c r="AR189" s="58" t="str">
        <f aca="false">IF(Tasks[[#This Row],[Task Name]]="","",Tasks[[#This Row],[Finish]])</f>
        <v/>
      </c>
      <c r="AS189" s="67" t="str">
        <f aca="false">IF(Tasks[[#This Row],[Task Name]]="","",IF(Tasks[[#This Row],[_IsSummary]],NETWORKDAYS.INTL(Tasks[[#This Row],[Start]],Tasks[[#This Row],[Finish]],WorkWeek,Holidays),N(Tasks[[#This Row],[Duration]])))</f>
        <v/>
      </c>
      <c r="AT189" s="69" t="str">
        <f aca="false">IF(Tasks[[#This Row],[Task Name]]="","",Tasks[[#This Row],[Work]])</f>
        <v/>
      </c>
      <c r="AU189" s="70" t="str">
        <f aca="false">IF(Tasks[[#This Row],[Task Name]]="","",Tasks[[#This Row],[Cost]])</f>
        <v/>
      </c>
      <c r="AV189" s="7"/>
      <c r="AW189" s="7"/>
      <c r="AX189" s="21"/>
      <c r="AY189" s="72"/>
      <c r="AZ189" s="71"/>
      <c r="BA189" s="70" t="str">
        <f aca="false">IF(Tasks[[#This Row],[Task Name]]="","",IF(Tasks[[#This Row],[_IsSummary]],SUM(INDEX(Tasks[_LeafEV],Tasks[[#This Row],[_Row]]+1):INDEX(Tasks[_LeafEV],Tasks[[#This Row],[_Row]]+Tasks[[#This Row],[_Descendants]])),Tasks[[#This Row],[_LeafEV]]))</f>
        <v/>
      </c>
      <c r="BB189" s="70" t="str">
        <f aca="false">IF(Tasks[[#This Row],[Task Name]]="","",IF(Tasks[[#This Row],[_IsSummary]],SUM(INDEX(Tasks[_LeafBudget],Tasks[[#This Row],[_Row]]+1):INDEX(Tasks[_LeafBudget],Tasks[[#This Row],[_Row]]+Tasks[[#This Row],[_Descendants]])),Tasks[[#This Row],[_LeafBudget]]))</f>
        <v/>
      </c>
      <c r="BC189" s="70" t="str">
        <f aca="false">IF(Tasks[[#This Row],[Task Name]]="","",IF(Tasks[[#This Row],[_IsSummary]],SUM(INDEX(Tasks[_LeafPV],Tasks[[#This Row],[_Row]]+1):INDEX(Tasks[_LeafPV],Tasks[[#This Row],[_Row]]+Tasks[[#This Row],[_Descendants]])),Tasks[[#This Row],[_LeafPV]]))</f>
        <v/>
      </c>
      <c r="BD189" s="70" t="str">
        <f aca="false">IF(Tasks[[#This Row],[Task Name]]="","",IF(Tasks[[#This Row],[_IsSummary]],SUM(INDEX(Tasks[_LeafAC],Tasks[[#This Row],[_Row]]+1):INDEX(Tasks[_LeafAC],Tasks[[#This Row],[_Row]]+Tasks[[#This Row],[_Descendants]])),Tasks[[#This Row],[_LeafAC]]))</f>
        <v/>
      </c>
      <c r="BE189" s="45" t="str">
        <f aca="false">IF(Tasks[[#This Row],[Task Name]]="","",MAX(1,N(Tasks[[#This Row],[Level]])))</f>
        <v/>
      </c>
      <c r="BF189" s="45" t="n">
        <f aca="false">ROW()-ROW(Tasks[[#Headers],[ID]])</f>
        <v>184</v>
      </c>
      <c r="BG189" s="45" t="n">
        <f aca="false">IF(OR(Tasks[[#This Row],[Task Name]]="",Tasks[[#This Row],[_Level]]&lt;=1),0,IFERROR(LOOKUP(2,1/(Tasks[[#Headers],[_Level]]:Tasks[[#This Row],[_Level]]=Tasks[[#This Row],[_Level]]-1),ROW(Tasks[[#Headers],[_Level]]:Tasks[[#This Row],[_Level]])),0))</f>
        <v>0</v>
      </c>
      <c r="BH189" s="45" t="n">
        <f aca="false">IFERROR(N(INDEX(Tasks[_Level],Tasks[[#This Row],[_Row]]+1)),0)</f>
        <v>0</v>
      </c>
      <c r="BI189" s="73" t="b">
        <f aca="false">AND(Tasks[[#This Row],[Task Name]]&lt;&gt;"",Tasks[[#This Row],[_NextLevel]]&gt;Tasks[[#This Row],[_Level]])</f>
        <v>0</v>
      </c>
      <c r="BJ189" s="45" t="n">
        <f aca="false">IF(Tasks[[#This Row],[_IsSummary]],COUNTIF(Tasks[WBS],Tasks[[#This Row],[WBS]]&amp;".*"),0)</f>
        <v>0</v>
      </c>
      <c r="BK189" s="45" t="n">
        <f aca="false">IF(AND(Tasks[[#This Row],[Task Name]]&lt;&gt;"",NOT(Tasks[[#This Row],[_IsSummary]])),1,0)</f>
        <v>0</v>
      </c>
      <c r="BL189" s="45" t="n">
        <f aca="false">IF(N(Tasks[[#This Row],[_Pred1UID]])=0,0,IFERROR(MATCH(Tasks[[#This Row],[_Pred1UID]],Tasks[UID],0),-1))</f>
        <v>0</v>
      </c>
      <c r="BM189" s="45" t="n">
        <f aca="false">IF(N(Tasks[[#This Row],[_Pred2UID]])=0,0,IFERROR(MATCH(Tasks[[#This Row],[_Pred2UID]],Tasks[UID],0),-1))</f>
        <v>0</v>
      </c>
      <c r="BN189" s="45" t="n">
        <f aca="false">IF(N(Tasks[[#This Row],[_Pred3UID]])=0,0,IFERROR(MATCH(Tasks[[#This Row],[_Pred3UID]],Tasks[UID],0),-1))</f>
        <v>0</v>
      </c>
      <c r="BO189" s="45" t="n">
        <f aca="false">IF(N(Tasks[[#This Row],[_Pred4UID]])=0,0,IFERROR(MATCH(Tasks[[#This Row],[_Pred4UID]],Tasks[UID],0),-1))</f>
        <v>0</v>
      </c>
      <c r="BP18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8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89" s="74" t="n">
        <f aca="false">IF(OR(Tasks[[#This Row],[_ConstraintCode]]=2,Tasks[[#This Row],[_ConstraintCode]]=3,Tasks[[#This Row],[_ConstraintCode]]=4,Tasks[[#This Row],[_ConstraintCode]]=6),Tasks[[#This Row],[_ConstraintStart]],0)</f>
        <v>0</v>
      </c>
      <c r="BS189" s="74" t="n">
        <f aca="false">IF(OR(Tasks[[#This Row],[_ConstraintCode]]=2,Tasks[[#This Row],[_ConstraintCode]]=3,Tasks[[#This Row],[_ConstraintCode]]=5,Tasks[[#This Row],[_ConstraintCode]]=7),Tasks[[#This Row],[_ConstraintStart]],2958465)</f>
        <v>2958465</v>
      </c>
      <c r="BT18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89" s="74" t="str">
        <f aca="false">IF(NOT(Tasks[[#This Row],[_IsLeaf]]=1),"",IF(N(Tasks[[#This Row],[Duration]])&lt;=0,Tasks[[#This Row],[_LeafCalcStart]],WORKDAY.INTL(Tasks[[#This Row],[_LeafCalcStart]],Tasks[[#This Row],[Duration]]-1,WorkWeek,Holidays)))</f>
        <v/>
      </c>
      <c r="BV18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8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89" s="45" t="str">
        <f aca="false">IF(Tasks[[#This Row],[Predecessors]]="","",TRIM(MID(SUBSTITUTE(SUBSTITUTE(SUBSTITUTE(UPPER(Tasks[[#This Row],[Predecessors]]),";",",")," ",""),",",REPT(" ",99)),1,99)))</f>
        <v/>
      </c>
      <c r="BY189" s="45" t="str">
        <f aca="false">IF(Tasks[[#This Row],[_Pred1Text]]="","",IFERROR(VALUE(LEFT(Tasks[[#This Row],[_Pred1Text]],MIN(FIND("F",Tasks[[#This Row],[_Pred1Text]]&amp;"F"),FIND("S",Tasks[[#This Row],[_Pred1Text]]&amp;"S"),FIND("+",Tasks[[#This Row],[_Pred1Text]]&amp;"+"),FIND("-",Tasks[[#This Row],[_Pred1Text]]&amp;"-"))-1)),""))</f>
        <v/>
      </c>
      <c r="BZ18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8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89" s="45" t="str">
        <f aca="false">IF(Tasks[[#This Row],[_Pred1Text]]="","",TRIM(MID(SUBSTITUTE(SUBSTITUTE(SUBSTITUTE(UPPER(Tasks[[#This Row],[Predecessors]]),";",",")," ",""),",",REPT(" ",99)),100,99)))</f>
        <v/>
      </c>
      <c r="CC189" s="45" t="str">
        <f aca="false">IF(Tasks[[#This Row],[_Pred2Text]]="","",IFERROR(VALUE(LEFT(Tasks[[#This Row],[_Pred2Text]],MIN(FIND("F",Tasks[[#This Row],[_Pred2Text]]&amp;"F"),FIND("S",Tasks[[#This Row],[_Pred2Text]]&amp;"S"),FIND("+",Tasks[[#This Row],[_Pred2Text]]&amp;"+"),FIND("-",Tasks[[#This Row],[_Pred2Text]]&amp;"-"))-1)),""))</f>
        <v/>
      </c>
      <c r="CD18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8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89" s="45" t="str">
        <f aca="false">IF(Tasks[[#This Row],[_Pred2Text]]="","",TRIM(MID(SUBSTITUTE(SUBSTITUTE(SUBSTITUTE(UPPER(Tasks[[#This Row],[Predecessors]]),";",",")," ",""),",",REPT(" ",99)),199,99)))</f>
        <v/>
      </c>
      <c r="CG189" s="45" t="str">
        <f aca="false">IF(Tasks[[#This Row],[_Pred3Text]]="","",IFERROR(VALUE(LEFT(Tasks[[#This Row],[_Pred3Text]],MIN(FIND("F",Tasks[[#This Row],[_Pred3Text]]&amp;"F"),FIND("S",Tasks[[#This Row],[_Pred3Text]]&amp;"S"),FIND("+",Tasks[[#This Row],[_Pred3Text]]&amp;"+"),FIND("-",Tasks[[#This Row],[_Pred3Text]]&amp;"-"))-1)),""))</f>
        <v/>
      </c>
      <c r="CH18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8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89" s="45" t="str">
        <f aca="false">IF(Tasks[[#This Row],[_Pred3Text]]="","",TRIM(MID(SUBSTITUTE(SUBSTITUTE(SUBSTITUTE(UPPER(Tasks[[#This Row],[Predecessors]]),";",",")," ",""),",",REPT(" ",99)),298,99)))</f>
        <v/>
      </c>
      <c r="CK189" s="45" t="str">
        <f aca="false">IF(Tasks[[#This Row],[_Pred4Text]]="","",IFERROR(VALUE(LEFT(Tasks[[#This Row],[_Pred4Text]],MIN(FIND("F",Tasks[[#This Row],[_Pred4Text]]&amp;"F"),FIND("S",Tasks[[#This Row],[_Pred4Text]]&amp;"S"),FIND("+",Tasks[[#This Row],[_Pred4Text]]&amp;"+"),FIND("-",Tasks[[#This Row],[_Pred4Text]]&amp;"-"))-1)),""))</f>
        <v/>
      </c>
      <c r="CL18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8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89" s="45" t="str">
        <f aca="false">IF(OR(Tasks[[#This Row],[Task Name]]="",Tasks[[#This Row],[Resources]]=""),"",TRIM(MID(SUBSTITUTE(Tasks[[#This Row],[Resources]],",",REPT(" ",99)),1,99)))</f>
        <v/>
      </c>
      <c r="CO189" s="45" t="str">
        <f aca="false">IF(Tasks[[#This Row],[_Res1Text]]="","",TRIM(MID(SUBSTITUTE(Tasks[[#This Row],[Resources]],",",REPT(" ",99)),100,99)))</f>
        <v/>
      </c>
      <c r="CP189" s="45" t="str">
        <f aca="false">IF(Tasks[[#This Row],[_Res2Text]]="","",TRIM(MID(SUBSTITUTE(Tasks[[#This Row],[Resources]],",",REPT(" ",99)),199,99)))</f>
        <v/>
      </c>
      <c r="CQ189" s="45" t="str">
        <f aca="false">IF(Tasks[[#This Row],[_Res3Text]]="","",TRIM(MID(SUBSTITUTE(Tasks[[#This Row],[Resources]],",",REPT(" ",99)),298,99)))</f>
        <v/>
      </c>
      <c r="CR18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8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9" s="45" t="n">
        <f aca="false">IF(NOT(Tasks[[#This Row],[_IsLeaf]]=1),0,(Tasks[[#This Row],[_Resource1]]&lt;&gt;"")+(Tasks[[#This Row],[_Res2]]&lt;&gt;"")+(Tasks[[#This Row],[_Res3]]&lt;&gt;"")+(Tasks[[#This Row],[_Res4]]&lt;&gt;""))</f>
        <v>0</v>
      </c>
      <c r="CU18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8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9" s="45" t="n">
        <f aca="false">IF(OR(NOT(Tasks[[#This Row],[_IsLeaf]]=1),Tasks[[#This Row],[_Res2]]=""),0,IF(ISNA(MATCH(Tasks[[#This Row],[_Res2]],res_Name,0)),0,N(Tasks[[#This Row],[Duration]])*HoursPerDay*IF(Tasks[[#This Row],[_Res2Units]]="",DefaultUnits,Tasks[[#This Row],[_Res2Units]])))</f>
        <v>0</v>
      </c>
      <c r="CX189" s="45" t="n">
        <f aca="false">IF(Tasks[[#This Row],[_Res2Work]]=0,0,Tasks[[#This Row],[_Res2Work]]*IFERROR(INDEX(res_Rate,MATCH(Tasks[[#This Row],[_Res2]],res_Name,0)),0))</f>
        <v>0</v>
      </c>
      <c r="CY189" s="45" t="n">
        <f aca="false">IF(AND(AND(Tasks[[#This Row],[_IsLeaf]]=1,Tasks[[#This Row],[_LeafTotalWork]]&gt;0),Tasks[[#This Row],[_Res2Work]]&gt;0),Tasks[[#This Row],[_Res2Work]]/(Tasks[[#This Row],[_FinishWorkday]]-Tasks[[#This Row],[_StartWorkday]]+1),0)</f>
        <v>0</v>
      </c>
      <c r="CZ189" s="45" t="n">
        <f aca="false">Tasks[[#This Row],[_Res2WorkPerWD]]*MAX(0,Tasks[[#This Row],[_StartWorkday]]-1)</f>
        <v>0</v>
      </c>
      <c r="DA189" s="45" t="n">
        <f aca="false">Tasks[[#This Row],[_Res2Work]]*Tasks[[#This Row],[_LeafProgress]]</f>
        <v>0</v>
      </c>
      <c r="DB189" s="45" t="n">
        <f aca="false">IF(Tasks[[#This Row],[_LeafTotalCost]]=0,0,Tasks[[#This Row],[_LeafAC]]*Tasks[[#This Row],[_Res2Cost]]/Tasks[[#This Row],[_LeafTotalCost]])</f>
        <v>0</v>
      </c>
      <c r="DC18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8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89" s="45" t="n">
        <f aca="false">IF(OR(NOT(Tasks[[#This Row],[_IsLeaf]]=1),Tasks[[#This Row],[_Res3]]=""),0,IF(ISNA(MATCH(Tasks[[#This Row],[_Res3]],res_Name,0)),0,N(Tasks[[#This Row],[Duration]])*HoursPerDay*IF(Tasks[[#This Row],[_Res3Units]]="",DefaultUnits,Tasks[[#This Row],[_Res3Units]])))</f>
        <v>0</v>
      </c>
      <c r="DF189" s="45" t="n">
        <f aca="false">IF(Tasks[[#This Row],[_Res3Work]]=0,0,Tasks[[#This Row],[_Res3Work]]*IFERROR(INDEX(res_Rate,MATCH(Tasks[[#This Row],[_Res3]],res_Name,0)),0))</f>
        <v>0</v>
      </c>
      <c r="DG189" s="45" t="n">
        <f aca="false">IF(AND(AND(Tasks[[#This Row],[_IsLeaf]]=1,Tasks[[#This Row],[_LeafTotalWork]]&gt;0),Tasks[[#This Row],[_Res3Work]]&gt;0),Tasks[[#This Row],[_Res3Work]]/(Tasks[[#This Row],[_FinishWorkday]]-Tasks[[#This Row],[_StartWorkday]]+1),0)</f>
        <v>0</v>
      </c>
      <c r="DH189" s="45" t="n">
        <f aca="false">Tasks[[#This Row],[_Res3WorkPerWD]]*MAX(0,Tasks[[#This Row],[_StartWorkday]]-1)</f>
        <v>0</v>
      </c>
      <c r="DI189" s="45" t="n">
        <f aca="false">Tasks[[#This Row],[_Res3Work]]*Tasks[[#This Row],[_LeafProgress]]</f>
        <v>0</v>
      </c>
      <c r="DJ189" s="45" t="n">
        <f aca="false">IF(Tasks[[#This Row],[_LeafTotalCost]]=0,0,Tasks[[#This Row],[_LeafAC]]*Tasks[[#This Row],[_Res3Cost]]/Tasks[[#This Row],[_LeafTotalCost]])</f>
        <v>0</v>
      </c>
      <c r="DK18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8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89" s="45" t="n">
        <f aca="false">IF(OR(NOT(Tasks[[#This Row],[_IsLeaf]]=1),Tasks[[#This Row],[_Res4]]=""),0,IF(ISNA(MATCH(Tasks[[#This Row],[_Res4]],res_Name,0)),0,N(Tasks[[#This Row],[Duration]])*HoursPerDay*IF(Tasks[[#This Row],[_Res4Units]]="",DefaultUnits,Tasks[[#This Row],[_Res4Units]])))</f>
        <v>0</v>
      </c>
      <c r="DN189" s="45" t="n">
        <f aca="false">IF(Tasks[[#This Row],[_Res4Work]]=0,0,Tasks[[#This Row],[_Res4Work]]*IFERROR(INDEX(res_Rate,MATCH(Tasks[[#This Row],[_Res4]],res_Name,0)),0))</f>
        <v>0</v>
      </c>
      <c r="DO189" s="45" t="n">
        <f aca="false">IF(AND(AND(Tasks[[#This Row],[_IsLeaf]]=1,Tasks[[#This Row],[_LeafTotalWork]]&gt;0),Tasks[[#This Row],[_Res4Work]]&gt;0),Tasks[[#This Row],[_Res4Work]]/(Tasks[[#This Row],[_FinishWorkday]]-Tasks[[#This Row],[_StartWorkday]]+1),0)</f>
        <v>0</v>
      </c>
      <c r="DP189" s="45" t="n">
        <f aca="false">Tasks[[#This Row],[_Res4WorkPerWD]]*MAX(0,Tasks[[#This Row],[_StartWorkday]]-1)</f>
        <v>0</v>
      </c>
      <c r="DQ189" s="45" t="n">
        <f aca="false">Tasks[[#This Row],[_Res4Work]]*Tasks[[#This Row],[_LeafProgress]]</f>
        <v>0</v>
      </c>
      <c r="DR189" s="45" t="n">
        <f aca="false">IF(Tasks[[#This Row],[_LeafTotalCost]]=0,0,Tasks[[#This Row],[_LeafAC]]*Tasks[[#This Row],[_Res4Cost]]/Tasks[[#This Row],[_LeafTotalCost]])</f>
        <v>0</v>
      </c>
      <c r="DS189" s="45" t="n">
        <f aca="false">IF(ISNUMBER(Tasks[[#This Row],[% Complete]]),Tasks[[#This Row],[% Complete]],IF(Tasks[[#This Row],[Stage]]="",0,IFERROR(INDEX(stg_Pct,MATCH(Tasks[[#This Row],[Stage]],stg_Name,0)),0)))</f>
        <v>0</v>
      </c>
      <c r="DT189" s="45" t="n">
        <f aca="false">IF(NOT(Tasks[[#This Row],[_IsLeaf]]=1),0,IF(N(Tasks[[#This Row],[Actual Finish]])&gt;0,1,MIN(1,Tasks[[#This Row],[_Pct]])))</f>
        <v>0</v>
      </c>
      <c r="DU189" s="45" t="n">
        <f aca="false">IF(OR(NOT(Tasks[[#This Row],[_IsLeaf]]=1),Tasks[[#This Row],[_Resource1]]=""),0,IF(ISNA(MATCH(Tasks[[#This Row],[_Resource1]],res_Name,0)),0,N(Tasks[[#This Row],[Duration]])*HoursPerDay*IF(Tasks[[#This Row],[_Units1]]="",DefaultUnits,Tasks[[#This Row],[_Units1]])))</f>
        <v>0</v>
      </c>
      <c r="DV189" s="45" t="n">
        <f aca="false">IF(Tasks[[#This Row],[_LeafWork]]=0,0,Tasks[[#This Row],[_LeafWork]]*IFERROR(INDEX(res_Rate,MATCH(Tasks[[#This Row],[_Resource1]],res_Name,0)),0))</f>
        <v>0</v>
      </c>
      <c r="DW189" s="45" t="n">
        <f aca="false">Tasks[[#This Row],[_LeafWork]]+Tasks[[#This Row],[_Res2Work]]+Tasks[[#This Row],[_Res3Work]]+Tasks[[#This Row],[_Res4Work]]</f>
        <v>0</v>
      </c>
      <c r="DX189" s="45" t="n">
        <f aca="false">Tasks[[#This Row],[_LeafCost]]+Tasks[[#This Row],[_Res2Cost]]+Tasks[[#This Row],[_Res3Cost]]+Tasks[[#This Row],[_Res4Cost]]</f>
        <v>0</v>
      </c>
      <c r="DY189" s="45" t="n">
        <f aca="false">IF(Tasks[[#This Row],[_LeafTotalCost]]=0,Tasks[[#This Row],[_LeafAC]],Tasks[[#This Row],[_LeafAC]]*Tasks[[#This Row],[_LeafCost]]/Tasks[[#This Row],[_LeafTotalCost]])</f>
        <v>0</v>
      </c>
      <c r="DZ18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8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8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8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8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8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8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8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89" s="45" t="n">
        <f aca="false">IF(NOT(Tasks[[#This Row],[_IsLeaf]]=1),0,MAX(_xlfn.MAXIFS(Tasks[_Row],Tasks[_Pred1UID],Tasks[[#This Row],[UID]]),_xlfn.MAXIFS(Tasks[_Row],Tasks[_Pred2UID],Tasks[[#This Row],[UID]]),_xlfn.MAXIFS(Tasks[_Row],Tasks[_Pred3UID],Tasks[[#This Row],[UID]]),_xlfn.MAXIFS(Tasks[_Row],Tasks[_Pred4UID],Tasks[[#This Row],[UID]])))</f>
        <v>0</v>
      </c>
      <c r="EI18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8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89" s="74" t="str">
        <f aca="false">IF(NOT(Tasks[[#This Row],[_IsLeaf]]=1),"",IF(N(Tasks[[#This Row],[Duration]])&lt;=0,Tasks[[#This Row],[_LeafLateFinish]],WORKDAY.INTL(Tasks[[#This Row],[_LeafLateFinish]],-(Tasks[[#This Row],[Duration]]-1),WorkWeek,Holidays)))</f>
        <v/>
      </c>
      <c r="EL18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89" s="73" t="b">
        <f aca="false">AND(Tasks[[#This Row],[_IsLeaf]]=1,Tasks[[#This Row],[_LeafProgress]]&lt;1,N(Tasks[[#This Row],[_LeafTotalSlack]])&lt;=CriticalSlackDays)</f>
        <v>0</v>
      </c>
      <c r="EN189" s="45" t="n">
        <f aca="false">IF(AND(Tasks[[#This Row],[_IsLeaf]]=1,Tasks[[#This Row],[_ConstraintCode]]=1,Tasks[[#This Row],[Mode]]&lt;&gt;"Manual",N(Tasks[[#This Row],[Actual Start]])=0),MAX(0,N(Tasks[[#This Row],[Free Slack]])),0)</f>
        <v>0</v>
      </c>
      <c r="EO189" s="74" t="str">
        <f aca="false">IF(NOT(Tasks[[#This Row],[_IsLeaf]]=1),"",IF(Tasks[[#This Row],[_AlapShift]]=0,Tasks[[#This Row],[_LeafCalcStart]],WORKDAY.INTL(Tasks[[#This Row],[_LeafCalcStart]],Tasks[[#This Row],[_AlapShift]],WorkWeek,Holidays)))</f>
        <v/>
      </c>
      <c r="EP189" s="74" t="str">
        <f aca="false">IF(NOT(Tasks[[#This Row],[_IsLeaf]]=1),"",IF(Tasks[[#This Row],[_AlapShift]]=0,Tasks[[#This Row],[_LeafCalcFinish]],WORKDAY.INTL(Tasks[[#This Row],[_LeafCalcFinish]],Tasks[[#This Row],[_AlapShift]],WorkWeek,Holidays)))</f>
        <v/>
      </c>
      <c r="EQ189" s="74" t="str">
        <f aca="false">IF(NOT(Tasks[[#This Row],[_IsLeaf]]=1),"",IF(Tasks[[#This Row],[_AlapShift]]=0,Tasks[[#This Row],[_LeafFcstStart]],WORKDAY.INTL(Tasks[[#This Row],[_LeafFcstStart]],Tasks[[#This Row],[_AlapShift]],WorkWeek,Holidays)))</f>
        <v/>
      </c>
      <c r="ER189" s="74" t="str">
        <f aca="false">IF(NOT(Tasks[[#This Row],[_IsLeaf]]=1),"",IF(Tasks[[#This Row],[_AlapShift]]=0,Tasks[[#This Row],[_LeafFcstFinish]],WORKDAY.INTL(Tasks[[#This Row],[_LeafFcstFinish]],Tasks[[#This Row],[_AlapShift]],WorkWeek,Holidays)))</f>
        <v/>
      </c>
      <c r="ES189" s="74" t="str">
        <f aca="false">IF(Tasks[[#This Row],[Task Name]]="","",IF(Tasks[[#This Row],[_IsSummary]],MIN(INDEX(Tasks[_ShownCalcStart],Tasks[[#This Row],[_Row]]+1):INDEX(Tasks[_ShownCalcStart],Tasks[[#This Row],[_Row]]+Tasks[[#This Row],[_Descendants]])),Tasks[[#This Row],[_ShownCalcStart]]))</f>
        <v/>
      </c>
      <c r="ET189" s="74" t="str">
        <f aca="false">IF(Tasks[[#This Row],[Task Name]]="","",IF(Tasks[[#This Row],[_IsSummary]],MAX(INDEX(Tasks[_ShownCalcFinish],Tasks[[#This Row],[_Row]]+1):INDEX(Tasks[_ShownCalcFinish],Tasks[[#This Row],[_Row]]+Tasks[[#This Row],[_Descendants]])),Tasks[[#This Row],[_ShownCalcFinish]]))</f>
        <v/>
      </c>
      <c r="EU18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8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8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8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8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8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8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8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8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8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8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8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89" s="45" t="n">
        <f aca="false">IF(AND(Tasks[[#This Row],[_IsLeaf]]=1,Tasks[[#This Row],[_LeafTotalWork]]&gt;0),NETWORKDAYS.INTL(ProjectStart,Tasks[[#This Row],[_ShownFcstStart]],WorkWeek,Holidays),0)</f>
        <v>0</v>
      </c>
      <c r="FH189" s="45" t="n">
        <f aca="false">IF(AND(Tasks[[#This Row],[_IsLeaf]]=1,Tasks[[#This Row],[_LeafTotalWork]]&gt;0),MAX(Tasks[[#This Row],[_StartWorkday]],NETWORKDAYS.INTL(ProjectStart,Tasks[[#This Row],[_ShownFcstFinish]],WorkWeek,Holidays)),0)</f>
        <v>0</v>
      </c>
      <c r="FI189" s="45" t="n">
        <f aca="false">IF(AND(Tasks[[#This Row],[_IsLeaf]]=1,Tasks[[#This Row],[_LeafTotalWork]]&gt;0),Tasks[[#This Row],[_LeafWork]]/(Tasks[[#This Row],[_FinishWorkday]]-Tasks[[#This Row],[_StartWorkday]]+1),0)</f>
        <v>0</v>
      </c>
      <c r="FJ189" s="45" t="n">
        <f aca="false">Tasks[[#This Row],[_WorkPerWorkday]]*(Tasks[[#This Row],[_StartWorkday]]-1)</f>
        <v>-0</v>
      </c>
      <c r="FK189" s="45" t="n">
        <f aca="false">IF(Tasks[[#This Row],[_IsLeaf]]=1,MAX(N(Tasks[[#This Row],[Duration]]),0.1),0)</f>
        <v>0</v>
      </c>
      <c r="FL189" s="45" t="n">
        <f aca="false">Tasks[[#This Row],[_WeightDur]]*Tasks[[#This Row],[_LeafProgress]]</f>
        <v>0</v>
      </c>
      <c r="FM18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89" s="45" t="str">
        <f aca="false">IF(AND(Tasks[[#This Row],[_IsLeaf]]=1,N(Tasks[[#This Row],[Duration]])=0,Tasks[[#This Row],[_LeafProgress]]&lt;1),Tasks[[#This Row],[_ShownFcstFinish]]+Tasks[[#This Row],[_Row]]/100000,"")</f>
        <v/>
      </c>
      <c r="FO18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89" s="45" t="n">
        <f aca="false">IF(NOT(Tasks[[#This Row],[_IsLeaf]]=1),0,IF(Tasks[[#This Row],[Baseline Cost]]="",Tasks[[#This Row],[_LeafTotalCost]],N(Tasks[[#This Row],[Baseline Cost]])))</f>
        <v>0</v>
      </c>
      <c r="FQ189" s="45" t="n">
        <f aca="false">Tasks[[#This Row],[_LeafBudget]]*Tasks[[#This Row],[_PlannedPct]]</f>
        <v>0</v>
      </c>
      <c r="FR189" s="45" t="n">
        <f aca="false">Tasks[[#This Row],[_LeafBudget]]*Tasks[[#This Row],[_LeafProgress]]</f>
        <v>0</v>
      </c>
      <c r="FS189" s="45" t="n">
        <f aca="false">IF(NOT(Tasks[[#This Row],[_IsLeaf]]=1),0,IF(Tasks[[#This Row],[Actual Cost]]="",Tasks[[#This Row],[_LeafTotalCost]]*Tasks[[#This Row],[_LeafProgress]],N(Tasks[[#This Row],[Actual Cost]])))</f>
        <v>0</v>
      </c>
      <c r="FT189" s="45" t="str">
        <f aca="false">IF(Tasks[[#This Row],[Task Name]]="","",LEFT(Tasks[[#This Row],[WBS]],FIND(".",Tasks[[#This Row],[WBS]]&amp;".")-1))</f>
        <v/>
      </c>
      <c r="FU189" s="45" t="str">
        <f aca="false">IF(AND(Tasks[[#This Row],[Task Name]]&lt;&gt;"",Tasks[[#This Row],[_Level]]=1),Tasks[[#This Row],[_Row]],"")</f>
        <v/>
      </c>
      <c r="FV189" s="45" t="str">
        <f aca="false">IF(AND(Tasks[[#This Row],[_IsLeaf]]=1,N(Tasks[[#This Row],[Duration]])=0),Tasks[[#This Row],[Planned Finish]]+Tasks[[#This Row],[_Row]]/100000,"")</f>
        <v/>
      </c>
      <c r="FW189" s="45" t="str">
        <f aca="false">IF(AND(Tasks[[#This Row],[_IsLeaf]]=1,Tasks[[#This Row],[_LeafProgress]]&lt;1,OR(N(Tasks[[#This Row],[Finish Var]])&gt;0,Tasks[[#This Row],[Status]]="Late Start")),MAX(0,Tasks[[#This Row],[Finish Var]])+1-Tasks[[#This Row],[_Row]]/1000000,"")</f>
        <v/>
      </c>
      <c r="FX189" s="45" t="str">
        <f aca="false">IF(AND(Tasks[[#This Row],[_IsLeaf]]=1,N(Tasks[[#This Row],[Actual Start]])=0,Tasks[[#This Row],[_ShownFcstStart]]&gt;=StatusDate,Tasks[[#This Row],[_ShownFcstStart]]&lt;=LookaheadEnd),Tasks[[#This Row],[_ShownFcstStart]]+Tasks[[#This Row],[_Row]]/100000,"")</f>
        <v/>
      </c>
      <c r="FY189" s="45" t="str">
        <f aca="false">IF(AND(Tasks[[#This Row],[_IsLeaf]]=1,Tasks[[#This Row],[_LeafProgress]]&lt;1,Tasks[[#This Row],[_ShownFcstFinish]]&gt;=StatusDate,Tasks[[#This Row],[_ShownFcstFinish]]&lt;=LookaheadEnd),Tasks[[#This Row],[_ShownFcstFinish]]+Tasks[[#This Row],[_Row]]/100000,"")</f>
        <v/>
      </c>
      <c r="FZ189" s="45" t="str">
        <f aca="false">IF(Tasks[[#This Row],[_LeafCritical]],Tasks[[#This Row],[_ShownFcstStart]]+Tasks[[#This Row],[_Row]]/100000,"")</f>
        <v/>
      </c>
      <c r="GA189" s="45" t="n">
        <f aca="false">Tasks[[#This Row],[_LeafWork]]*Tasks[[#This Row],[_LeafProgress]]</f>
        <v>0</v>
      </c>
      <c r="GB189" s="74" t="str">
        <f aca="false">IF(AND(Tasks[[#This Row],[_IsLeaf]]=1,Tasks[[#This Row],[_LeafProgress]]&gt;=1),IF(N(Tasks[[#This Row],[Actual Finish]])&gt;0,Tasks[[#This Row],[Actual Finish]],Tasks[[#This Row],[_ShownFcstFinish]]),"")</f>
        <v/>
      </c>
    </row>
    <row r="190" customFormat="false" ht="15" hidden="false" customHeight="false" outlineLevel="0" collapsed="false">
      <c r="A190" s="67" t="str">
        <f aca="false">IF(Tasks[[#This Row],[Task Name]]="","",COUNTA(Tasks[[#Headers],[Task Name]]:Tasks[[#This Row],[Task Name]])-1)</f>
        <v/>
      </c>
      <c r="B190" s="21" t="n">
        <v>185</v>
      </c>
      <c r="C19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21"/>
      <c r="E190" s="22"/>
      <c r="F190" s="21"/>
      <c r="G190" s="22"/>
      <c r="H190" s="22"/>
      <c r="I190" s="22"/>
      <c r="J190" s="7"/>
      <c r="K190" s="7"/>
      <c r="L190" s="22"/>
      <c r="M190" s="58" t="str">
        <f aca="false">IF(Tasks[[#This Row],[Task Name]]="","",IF(Tasks[[#This Row],[_IsSummary]],MIN(INDEX(Tasks[_ShownFcstStart],Tasks[[#This Row],[_Row]]+1):INDEX(Tasks[_ShownFcstStart],Tasks[[#This Row],[_Row]]+Tasks[[#This Row],[_Descendants]])),Tasks[[#This Row],[_ShownFcstStart]]))</f>
        <v/>
      </c>
      <c r="N190" s="58" t="str">
        <f aca="false">IF(Tasks[[#This Row],[Task Name]]="","",IF(Tasks[[#This Row],[_IsSummary]],MAX(INDEX(Tasks[_ShownFcstFinish],Tasks[[#This Row],[_Row]]+1):INDEX(Tasks[_ShownFcstFinish],Tasks[[#This Row],[_Row]]+Tasks[[#This Row],[_Descendants]])),Tasks[[#This Row],[_ShownFcstFinish]]))</f>
        <v/>
      </c>
      <c r="O190" s="20" t="str">
        <f aca="false">IF(Tasks[[#This Row],[Task Name]]="","",IF(Tasks[[#This Row],[Progress]]&gt;=1,"Complete",IF(OR(N(Tasks[[#This Row],[Actual Start]])&gt;0,Tasks[[#This Row],[Progress]]&gt;0),IF(Tasks[[#This Row],[Finish Var]]&gt;0,"Behind","In Progress"),IF(Tasks[[#This Row],[Planned Start]]&lt;StatusDate,"Late Start","Not Started"))))</f>
        <v/>
      </c>
      <c r="P190" s="20" t="str">
        <f aca="false">IF(Tasks[[#This Row],[Task Name]]="","",IF(IF(Tasks[[#This Row],[_IsSummary]],COUNTIF(INDEX(Tasks[_LeafCritical],Tasks[[#This Row],[_Row]]+1):INDEX(Tasks[_LeafCritical],Tasks[[#This Row],[_Row]]+Tasks[[#This Row],[_Descendants]]),TRUE())&gt;0,Tasks[[#This Row],[_LeafCritical]]),"Yes",""))</f>
        <v/>
      </c>
      <c r="Q19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90" s="67" t="str">
        <f aca="false">IF(Tasks[[#This Row],[Task Name]]="","",IF(Tasks[[#This Row],[_Level]]&lt;=OutlineShowLevel,"Yes","No"))</f>
        <v/>
      </c>
      <c r="S190" s="7"/>
      <c r="T190" s="21"/>
      <c r="U190" s="22"/>
      <c r="V190" s="7"/>
      <c r="W190" s="67" t="str">
        <f aca="false">IF(Tasks[[#This Row],[Task Name]]="","",IF(Tasks[[#This Row],[Finish]]&gt;=Tasks[[#This Row],[Planned Finish]],NETWORKDAYS.INTL(Tasks[[#This Row],[Planned Finish]],Tasks[[#This Row],[Finish]],WorkWeek,Holidays)-1,1-NETWORKDAYS.INTL(Tasks[[#This Row],[Finish]],Tasks[[#This Row],[Planned Finish]],WorkWeek,Holidays)))</f>
        <v/>
      </c>
      <c r="X190" s="58" t="str">
        <f aca="false">IF(Tasks[[#This Row],[Task Name]]="","",IF(N(Tasks[[#This Row],[Baseline Start]])&gt;0,Tasks[[#This Row],[Baseline Start]],Tasks[[#This Row],[_CalcStart]]))</f>
        <v/>
      </c>
      <c r="Y190" s="58" t="str">
        <f aca="false">IF(Tasks[[#This Row],[Task Name]]="","",IF(N(Tasks[[#This Row],[Baseline Finish]])&gt;0,Tasks[[#This Row],[Baseline Finish]],Tasks[[#This Row],[_CalcFinish]]))</f>
        <v/>
      </c>
      <c r="Z190" s="67" t="str">
        <f aca="false">IF(Tasks[[#This Row],[Task Name]]="","",IF(Tasks[[#This Row],[Start]]&gt;=Tasks[[#This Row],[Planned Start]],NETWORKDAYS.INTL(Tasks[[#This Row],[Planned Start]],Tasks[[#This Row],[Start]],WorkWeek,Holidays)-1,1-NETWORKDAYS.INTL(Tasks[[#This Row],[Start]],Tasks[[#This Row],[Planned Start]],WorkWeek,Holidays)))</f>
        <v/>
      </c>
      <c r="AA190" s="58" t="str">
        <f aca="false">IF(Tasks[[#This Row],[Task Name]]="","",IF(Tasks[[#This Row],[_IsSummary]],MIN(INDEX(Tasks[_LeafLateStart],Tasks[[#This Row],[_Row]]+1):INDEX(Tasks[_LeafLateStart],Tasks[[#This Row],[_Row]]+Tasks[[#This Row],[_Descendants]])),Tasks[[#This Row],[_LeafLateStart]]))</f>
        <v/>
      </c>
      <c r="AB190" s="58" t="str">
        <f aca="false">IF(Tasks[[#This Row],[Task Name]]="","",IF(Tasks[[#This Row],[_IsSummary]],MAX(INDEX(Tasks[_LeafLateFinish],Tasks[[#This Row],[_Row]]+1):INDEX(Tasks[_LeafLateFinish],Tasks[[#This Row],[_Row]]+Tasks[[#This Row],[_Descendants]])),Tasks[[#This Row],[_LeafLateFinish]]))</f>
        <v/>
      </c>
      <c r="AC190" s="67" t="str">
        <f aca="false">IF(Tasks[[#This Row],[Task Name]]="","",IF(Tasks[[#This Row],[_IsSummary]],MIN(INDEX(Tasks[_LeafTotalSlack],Tasks[[#This Row],[_Row]]+1):INDEX(Tasks[_LeafTotalSlack],Tasks[[#This Row],[_Row]]+Tasks[[#This Row],[_Descendants]])),Tasks[[#This Row],[_LeafTotalSlack]]))</f>
        <v/>
      </c>
      <c r="AD19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9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9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90" s="60"/>
      <c r="AH19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9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90" s="69" t="str">
        <f aca="false">IF(Tasks[[#This Row],[Task Name]]="","",IF(Tasks[[#This Row],[_IsSummary]],SUM(INDEX(Tasks[_LeafTotalWork],Tasks[[#This Row],[_Row]]+1):INDEX(Tasks[_LeafTotalWork],Tasks[[#This Row],[_Row]]+Tasks[[#This Row],[_Descendants]])),Tasks[[#This Row],[_LeafTotalWork]]))</f>
        <v/>
      </c>
      <c r="AK19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90" s="70" t="str">
        <f aca="false">IF(Tasks[[#This Row],[Task Name]]="","",IF(Tasks[[#This Row],[_IsSummary]],SUM(INDEX(Tasks[_LeafTotalCost],Tasks[[#This Row],[_Row]]+1):INDEX(Tasks[_LeafTotalCost],Tasks[[#This Row],[_Row]]+Tasks[[#This Row],[_Descendants]])),Tasks[[#This Row],[_LeafTotalCost]]))</f>
        <v/>
      </c>
      <c r="AM190" s="71"/>
      <c r="AN190" s="20" t="str">
        <f aca="false">IF(OR(Tasks[[#This Row],[Task Name]]="",Tasks[[#This Row],[Baseline Duration]]=""),"",Tasks[[#This Row],[BL Source Duration]]-N(Tasks[[#This Row],[Baseline Duration]]))</f>
        <v/>
      </c>
      <c r="AO190" s="69" t="str">
        <f aca="false">IF(OR(Tasks[[#This Row],[Task Name]]="",Tasks[[#This Row],[Baseline Work]]=""),"",Tasks[[#This Row],[Work]]-N(Tasks[[#This Row],[Baseline Work]]))</f>
        <v/>
      </c>
      <c r="AP190" s="70" t="str">
        <f aca="false">IF(OR(Tasks[[#This Row],[Task Name]]="",Tasks[[#This Row],[Baseline Cost]]=""),"",Tasks[[#This Row],[Cost]]-N(Tasks[[#This Row],[Baseline Cost]]))</f>
        <v/>
      </c>
      <c r="AQ190" s="58" t="str">
        <f aca="false">IF(Tasks[[#This Row],[Task Name]]="","",Tasks[[#This Row],[Start]])</f>
        <v/>
      </c>
      <c r="AR190" s="58" t="str">
        <f aca="false">IF(Tasks[[#This Row],[Task Name]]="","",Tasks[[#This Row],[Finish]])</f>
        <v/>
      </c>
      <c r="AS190" s="67" t="str">
        <f aca="false">IF(Tasks[[#This Row],[Task Name]]="","",IF(Tasks[[#This Row],[_IsSummary]],NETWORKDAYS.INTL(Tasks[[#This Row],[Start]],Tasks[[#This Row],[Finish]],WorkWeek,Holidays),N(Tasks[[#This Row],[Duration]])))</f>
        <v/>
      </c>
      <c r="AT190" s="69" t="str">
        <f aca="false">IF(Tasks[[#This Row],[Task Name]]="","",Tasks[[#This Row],[Work]])</f>
        <v/>
      </c>
      <c r="AU190" s="70" t="str">
        <f aca="false">IF(Tasks[[#This Row],[Task Name]]="","",Tasks[[#This Row],[Cost]])</f>
        <v/>
      </c>
      <c r="AV190" s="7"/>
      <c r="AW190" s="7"/>
      <c r="AX190" s="21"/>
      <c r="AY190" s="72"/>
      <c r="AZ190" s="71"/>
      <c r="BA190" s="70" t="str">
        <f aca="false">IF(Tasks[[#This Row],[Task Name]]="","",IF(Tasks[[#This Row],[_IsSummary]],SUM(INDEX(Tasks[_LeafEV],Tasks[[#This Row],[_Row]]+1):INDEX(Tasks[_LeafEV],Tasks[[#This Row],[_Row]]+Tasks[[#This Row],[_Descendants]])),Tasks[[#This Row],[_LeafEV]]))</f>
        <v/>
      </c>
      <c r="BB190" s="70" t="str">
        <f aca="false">IF(Tasks[[#This Row],[Task Name]]="","",IF(Tasks[[#This Row],[_IsSummary]],SUM(INDEX(Tasks[_LeafBudget],Tasks[[#This Row],[_Row]]+1):INDEX(Tasks[_LeafBudget],Tasks[[#This Row],[_Row]]+Tasks[[#This Row],[_Descendants]])),Tasks[[#This Row],[_LeafBudget]]))</f>
        <v/>
      </c>
      <c r="BC190" s="70" t="str">
        <f aca="false">IF(Tasks[[#This Row],[Task Name]]="","",IF(Tasks[[#This Row],[_IsSummary]],SUM(INDEX(Tasks[_LeafPV],Tasks[[#This Row],[_Row]]+1):INDEX(Tasks[_LeafPV],Tasks[[#This Row],[_Row]]+Tasks[[#This Row],[_Descendants]])),Tasks[[#This Row],[_LeafPV]]))</f>
        <v/>
      </c>
      <c r="BD190" s="70" t="str">
        <f aca="false">IF(Tasks[[#This Row],[Task Name]]="","",IF(Tasks[[#This Row],[_IsSummary]],SUM(INDEX(Tasks[_LeafAC],Tasks[[#This Row],[_Row]]+1):INDEX(Tasks[_LeafAC],Tasks[[#This Row],[_Row]]+Tasks[[#This Row],[_Descendants]])),Tasks[[#This Row],[_LeafAC]]))</f>
        <v/>
      </c>
      <c r="BE190" s="45" t="str">
        <f aca="false">IF(Tasks[[#This Row],[Task Name]]="","",MAX(1,N(Tasks[[#This Row],[Level]])))</f>
        <v/>
      </c>
      <c r="BF190" s="45" t="n">
        <f aca="false">ROW()-ROW(Tasks[[#Headers],[ID]])</f>
        <v>185</v>
      </c>
      <c r="BG190" s="45" t="n">
        <f aca="false">IF(OR(Tasks[[#This Row],[Task Name]]="",Tasks[[#This Row],[_Level]]&lt;=1),0,IFERROR(LOOKUP(2,1/(Tasks[[#Headers],[_Level]]:Tasks[[#This Row],[_Level]]=Tasks[[#This Row],[_Level]]-1),ROW(Tasks[[#Headers],[_Level]]:Tasks[[#This Row],[_Level]])),0))</f>
        <v>0</v>
      </c>
      <c r="BH190" s="45" t="n">
        <f aca="false">IFERROR(N(INDEX(Tasks[_Level],Tasks[[#This Row],[_Row]]+1)),0)</f>
        <v>0</v>
      </c>
      <c r="BI190" s="73" t="b">
        <f aca="false">AND(Tasks[[#This Row],[Task Name]]&lt;&gt;"",Tasks[[#This Row],[_NextLevel]]&gt;Tasks[[#This Row],[_Level]])</f>
        <v>0</v>
      </c>
      <c r="BJ190" s="45" t="n">
        <f aca="false">IF(Tasks[[#This Row],[_IsSummary]],COUNTIF(Tasks[WBS],Tasks[[#This Row],[WBS]]&amp;".*"),0)</f>
        <v>0</v>
      </c>
      <c r="BK190" s="45" t="n">
        <f aca="false">IF(AND(Tasks[[#This Row],[Task Name]]&lt;&gt;"",NOT(Tasks[[#This Row],[_IsSummary]])),1,0)</f>
        <v>0</v>
      </c>
      <c r="BL190" s="45" t="n">
        <f aca="false">IF(N(Tasks[[#This Row],[_Pred1UID]])=0,0,IFERROR(MATCH(Tasks[[#This Row],[_Pred1UID]],Tasks[UID],0),-1))</f>
        <v>0</v>
      </c>
      <c r="BM190" s="45" t="n">
        <f aca="false">IF(N(Tasks[[#This Row],[_Pred2UID]])=0,0,IFERROR(MATCH(Tasks[[#This Row],[_Pred2UID]],Tasks[UID],0),-1))</f>
        <v>0</v>
      </c>
      <c r="BN190" s="45" t="n">
        <f aca="false">IF(N(Tasks[[#This Row],[_Pred3UID]])=0,0,IFERROR(MATCH(Tasks[[#This Row],[_Pred3UID]],Tasks[UID],0),-1))</f>
        <v>0</v>
      </c>
      <c r="BO190" s="45" t="n">
        <f aca="false">IF(N(Tasks[[#This Row],[_Pred4UID]])=0,0,IFERROR(MATCH(Tasks[[#This Row],[_Pred4UID]],Tasks[UID],0),-1))</f>
        <v>0</v>
      </c>
      <c r="BP19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9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90" s="74" t="n">
        <f aca="false">IF(OR(Tasks[[#This Row],[_ConstraintCode]]=2,Tasks[[#This Row],[_ConstraintCode]]=3,Tasks[[#This Row],[_ConstraintCode]]=4,Tasks[[#This Row],[_ConstraintCode]]=6),Tasks[[#This Row],[_ConstraintStart]],0)</f>
        <v>0</v>
      </c>
      <c r="BS190" s="74" t="n">
        <f aca="false">IF(OR(Tasks[[#This Row],[_ConstraintCode]]=2,Tasks[[#This Row],[_ConstraintCode]]=3,Tasks[[#This Row],[_ConstraintCode]]=5,Tasks[[#This Row],[_ConstraintCode]]=7),Tasks[[#This Row],[_ConstraintStart]],2958465)</f>
        <v>2958465</v>
      </c>
      <c r="BT19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90" s="74" t="str">
        <f aca="false">IF(NOT(Tasks[[#This Row],[_IsLeaf]]=1),"",IF(N(Tasks[[#This Row],[Duration]])&lt;=0,Tasks[[#This Row],[_LeafCalcStart]],WORKDAY.INTL(Tasks[[#This Row],[_LeafCalcStart]],Tasks[[#This Row],[Duration]]-1,WorkWeek,Holidays)))</f>
        <v/>
      </c>
      <c r="BV19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9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90" s="45" t="str">
        <f aca="false">IF(Tasks[[#This Row],[Predecessors]]="","",TRIM(MID(SUBSTITUTE(SUBSTITUTE(SUBSTITUTE(UPPER(Tasks[[#This Row],[Predecessors]]),";",",")," ",""),",",REPT(" ",99)),1,99)))</f>
        <v/>
      </c>
      <c r="BY190" s="45" t="str">
        <f aca="false">IF(Tasks[[#This Row],[_Pred1Text]]="","",IFERROR(VALUE(LEFT(Tasks[[#This Row],[_Pred1Text]],MIN(FIND("F",Tasks[[#This Row],[_Pred1Text]]&amp;"F"),FIND("S",Tasks[[#This Row],[_Pred1Text]]&amp;"S"),FIND("+",Tasks[[#This Row],[_Pred1Text]]&amp;"+"),FIND("-",Tasks[[#This Row],[_Pred1Text]]&amp;"-"))-1)),""))</f>
        <v/>
      </c>
      <c r="BZ19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9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90" s="45" t="str">
        <f aca="false">IF(Tasks[[#This Row],[_Pred1Text]]="","",TRIM(MID(SUBSTITUTE(SUBSTITUTE(SUBSTITUTE(UPPER(Tasks[[#This Row],[Predecessors]]),";",",")," ",""),",",REPT(" ",99)),100,99)))</f>
        <v/>
      </c>
      <c r="CC190" s="45" t="str">
        <f aca="false">IF(Tasks[[#This Row],[_Pred2Text]]="","",IFERROR(VALUE(LEFT(Tasks[[#This Row],[_Pred2Text]],MIN(FIND("F",Tasks[[#This Row],[_Pred2Text]]&amp;"F"),FIND("S",Tasks[[#This Row],[_Pred2Text]]&amp;"S"),FIND("+",Tasks[[#This Row],[_Pred2Text]]&amp;"+"),FIND("-",Tasks[[#This Row],[_Pred2Text]]&amp;"-"))-1)),""))</f>
        <v/>
      </c>
      <c r="CD19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9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90" s="45" t="str">
        <f aca="false">IF(Tasks[[#This Row],[_Pred2Text]]="","",TRIM(MID(SUBSTITUTE(SUBSTITUTE(SUBSTITUTE(UPPER(Tasks[[#This Row],[Predecessors]]),";",",")," ",""),",",REPT(" ",99)),199,99)))</f>
        <v/>
      </c>
      <c r="CG190" s="45" t="str">
        <f aca="false">IF(Tasks[[#This Row],[_Pred3Text]]="","",IFERROR(VALUE(LEFT(Tasks[[#This Row],[_Pred3Text]],MIN(FIND("F",Tasks[[#This Row],[_Pred3Text]]&amp;"F"),FIND("S",Tasks[[#This Row],[_Pred3Text]]&amp;"S"),FIND("+",Tasks[[#This Row],[_Pred3Text]]&amp;"+"),FIND("-",Tasks[[#This Row],[_Pred3Text]]&amp;"-"))-1)),""))</f>
        <v/>
      </c>
      <c r="CH19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9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90" s="45" t="str">
        <f aca="false">IF(Tasks[[#This Row],[_Pred3Text]]="","",TRIM(MID(SUBSTITUTE(SUBSTITUTE(SUBSTITUTE(UPPER(Tasks[[#This Row],[Predecessors]]),";",",")," ",""),",",REPT(" ",99)),298,99)))</f>
        <v/>
      </c>
      <c r="CK190" s="45" t="str">
        <f aca="false">IF(Tasks[[#This Row],[_Pred4Text]]="","",IFERROR(VALUE(LEFT(Tasks[[#This Row],[_Pred4Text]],MIN(FIND("F",Tasks[[#This Row],[_Pred4Text]]&amp;"F"),FIND("S",Tasks[[#This Row],[_Pred4Text]]&amp;"S"),FIND("+",Tasks[[#This Row],[_Pred4Text]]&amp;"+"),FIND("-",Tasks[[#This Row],[_Pred4Text]]&amp;"-"))-1)),""))</f>
        <v/>
      </c>
      <c r="CL19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9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90" s="45" t="str">
        <f aca="false">IF(OR(Tasks[[#This Row],[Task Name]]="",Tasks[[#This Row],[Resources]]=""),"",TRIM(MID(SUBSTITUTE(Tasks[[#This Row],[Resources]],",",REPT(" ",99)),1,99)))</f>
        <v/>
      </c>
      <c r="CO190" s="45" t="str">
        <f aca="false">IF(Tasks[[#This Row],[_Res1Text]]="","",TRIM(MID(SUBSTITUTE(Tasks[[#This Row],[Resources]],",",REPT(" ",99)),100,99)))</f>
        <v/>
      </c>
      <c r="CP190" s="45" t="str">
        <f aca="false">IF(Tasks[[#This Row],[_Res2Text]]="","",TRIM(MID(SUBSTITUTE(Tasks[[#This Row],[Resources]],",",REPT(" ",99)),199,99)))</f>
        <v/>
      </c>
      <c r="CQ190" s="45" t="str">
        <f aca="false">IF(Tasks[[#This Row],[_Res3Text]]="","",TRIM(MID(SUBSTITUTE(Tasks[[#This Row],[Resources]],",",REPT(" ",99)),298,99)))</f>
        <v/>
      </c>
      <c r="CR19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9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0" s="45" t="n">
        <f aca="false">IF(NOT(Tasks[[#This Row],[_IsLeaf]]=1),0,(Tasks[[#This Row],[_Resource1]]&lt;&gt;"")+(Tasks[[#This Row],[_Res2]]&lt;&gt;"")+(Tasks[[#This Row],[_Res3]]&lt;&gt;"")+(Tasks[[#This Row],[_Res4]]&lt;&gt;""))</f>
        <v>0</v>
      </c>
      <c r="CU19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9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0" s="45" t="n">
        <f aca="false">IF(OR(NOT(Tasks[[#This Row],[_IsLeaf]]=1),Tasks[[#This Row],[_Res2]]=""),0,IF(ISNA(MATCH(Tasks[[#This Row],[_Res2]],res_Name,0)),0,N(Tasks[[#This Row],[Duration]])*HoursPerDay*IF(Tasks[[#This Row],[_Res2Units]]="",DefaultUnits,Tasks[[#This Row],[_Res2Units]])))</f>
        <v>0</v>
      </c>
      <c r="CX190" s="45" t="n">
        <f aca="false">IF(Tasks[[#This Row],[_Res2Work]]=0,0,Tasks[[#This Row],[_Res2Work]]*IFERROR(INDEX(res_Rate,MATCH(Tasks[[#This Row],[_Res2]],res_Name,0)),0))</f>
        <v>0</v>
      </c>
      <c r="CY190" s="45" t="n">
        <f aca="false">IF(AND(AND(Tasks[[#This Row],[_IsLeaf]]=1,Tasks[[#This Row],[_LeafTotalWork]]&gt;0),Tasks[[#This Row],[_Res2Work]]&gt;0),Tasks[[#This Row],[_Res2Work]]/(Tasks[[#This Row],[_FinishWorkday]]-Tasks[[#This Row],[_StartWorkday]]+1),0)</f>
        <v>0</v>
      </c>
      <c r="CZ190" s="45" t="n">
        <f aca="false">Tasks[[#This Row],[_Res2WorkPerWD]]*MAX(0,Tasks[[#This Row],[_StartWorkday]]-1)</f>
        <v>0</v>
      </c>
      <c r="DA190" s="45" t="n">
        <f aca="false">Tasks[[#This Row],[_Res2Work]]*Tasks[[#This Row],[_LeafProgress]]</f>
        <v>0</v>
      </c>
      <c r="DB190" s="45" t="n">
        <f aca="false">IF(Tasks[[#This Row],[_LeafTotalCost]]=0,0,Tasks[[#This Row],[_LeafAC]]*Tasks[[#This Row],[_Res2Cost]]/Tasks[[#This Row],[_LeafTotalCost]])</f>
        <v>0</v>
      </c>
      <c r="DC19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9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90" s="45" t="n">
        <f aca="false">IF(OR(NOT(Tasks[[#This Row],[_IsLeaf]]=1),Tasks[[#This Row],[_Res3]]=""),0,IF(ISNA(MATCH(Tasks[[#This Row],[_Res3]],res_Name,0)),0,N(Tasks[[#This Row],[Duration]])*HoursPerDay*IF(Tasks[[#This Row],[_Res3Units]]="",DefaultUnits,Tasks[[#This Row],[_Res3Units]])))</f>
        <v>0</v>
      </c>
      <c r="DF190" s="45" t="n">
        <f aca="false">IF(Tasks[[#This Row],[_Res3Work]]=0,0,Tasks[[#This Row],[_Res3Work]]*IFERROR(INDEX(res_Rate,MATCH(Tasks[[#This Row],[_Res3]],res_Name,0)),0))</f>
        <v>0</v>
      </c>
      <c r="DG190" s="45" t="n">
        <f aca="false">IF(AND(AND(Tasks[[#This Row],[_IsLeaf]]=1,Tasks[[#This Row],[_LeafTotalWork]]&gt;0),Tasks[[#This Row],[_Res3Work]]&gt;0),Tasks[[#This Row],[_Res3Work]]/(Tasks[[#This Row],[_FinishWorkday]]-Tasks[[#This Row],[_StartWorkday]]+1),0)</f>
        <v>0</v>
      </c>
      <c r="DH190" s="45" t="n">
        <f aca="false">Tasks[[#This Row],[_Res3WorkPerWD]]*MAX(0,Tasks[[#This Row],[_StartWorkday]]-1)</f>
        <v>0</v>
      </c>
      <c r="DI190" s="45" t="n">
        <f aca="false">Tasks[[#This Row],[_Res3Work]]*Tasks[[#This Row],[_LeafProgress]]</f>
        <v>0</v>
      </c>
      <c r="DJ190" s="45" t="n">
        <f aca="false">IF(Tasks[[#This Row],[_LeafTotalCost]]=0,0,Tasks[[#This Row],[_LeafAC]]*Tasks[[#This Row],[_Res3Cost]]/Tasks[[#This Row],[_LeafTotalCost]])</f>
        <v>0</v>
      </c>
      <c r="DK19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9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90" s="45" t="n">
        <f aca="false">IF(OR(NOT(Tasks[[#This Row],[_IsLeaf]]=1),Tasks[[#This Row],[_Res4]]=""),0,IF(ISNA(MATCH(Tasks[[#This Row],[_Res4]],res_Name,0)),0,N(Tasks[[#This Row],[Duration]])*HoursPerDay*IF(Tasks[[#This Row],[_Res4Units]]="",DefaultUnits,Tasks[[#This Row],[_Res4Units]])))</f>
        <v>0</v>
      </c>
      <c r="DN190" s="45" t="n">
        <f aca="false">IF(Tasks[[#This Row],[_Res4Work]]=0,0,Tasks[[#This Row],[_Res4Work]]*IFERROR(INDEX(res_Rate,MATCH(Tasks[[#This Row],[_Res4]],res_Name,0)),0))</f>
        <v>0</v>
      </c>
      <c r="DO190" s="45" t="n">
        <f aca="false">IF(AND(AND(Tasks[[#This Row],[_IsLeaf]]=1,Tasks[[#This Row],[_LeafTotalWork]]&gt;0),Tasks[[#This Row],[_Res4Work]]&gt;0),Tasks[[#This Row],[_Res4Work]]/(Tasks[[#This Row],[_FinishWorkday]]-Tasks[[#This Row],[_StartWorkday]]+1),0)</f>
        <v>0</v>
      </c>
      <c r="DP190" s="45" t="n">
        <f aca="false">Tasks[[#This Row],[_Res4WorkPerWD]]*MAX(0,Tasks[[#This Row],[_StartWorkday]]-1)</f>
        <v>0</v>
      </c>
      <c r="DQ190" s="45" t="n">
        <f aca="false">Tasks[[#This Row],[_Res4Work]]*Tasks[[#This Row],[_LeafProgress]]</f>
        <v>0</v>
      </c>
      <c r="DR190" s="45" t="n">
        <f aca="false">IF(Tasks[[#This Row],[_LeafTotalCost]]=0,0,Tasks[[#This Row],[_LeafAC]]*Tasks[[#This Row],[_Res4Cost]]/Tasks[[#This Row],[_LeafTotalCost]])</f>
        <v>0</v>
      </c>
      <c r="DS190" s="45" t="n">
        <f aca="false">IF(ISNUMBER(Tasks[[#This Row],[% Complete]]),Tasks[[#This Row],[% Complete]],IF(Tasks[[#This Row],[Stage]]="",0,IFERROR(INDEX(stg_Pct,MATCH(Tasks[[#This Row],[Stage]],stg_Name,0)),0)))</f>
        <v>0</v>
      </c>
      <c r="DT190" s="45" t="n">
        <f aca="false">IF(NOT(Tasks[[#This Row],[_IsLeaf]]=1),0,IF(N(Tasks[[#This Row],[Actual Finish]])&gt;0,1,MIN(1,Tasks[[#This Row],[_Pct]])))</f>
        <v>0</v>
      </c>
      <c r="DU190" s="45" t="n">
        <f aca="false">IF(OR(NOT(Tasks[[#This Row],[_IsLeaf]]=1),Tasks[[#This Row],[_Resource1]]=""),0,IF(ISNA(MATCH(Tasks[[#This Row],[_Resource1]],res_Name,0)),0,N(Tasks[[#This Row],[Duration]])*HoursPerDay*IF(Tasks[[#This Row],[_Units1]]="",DefaultUnits,Tasks[[#This Row],[_Units1]])))</f>
        <v>0</v>
      </c>
      <c r="DV190" s="45" t="n">
        <f aca="false">IF(Tasks[[#This Row],[_LeafWork]]=0,0,Tasks[[#This Row],[_LeafWork]]*IFERROR(INDEX(res_Rate,MATCH(Tasks[[#This Row],[_Resource1]],res_Name,0)),0))</f>
        <v>0</v>
      </c>
      <c r="DW190" s="45" t="n">
        <f aca="false">Tasks[[#This Row],[_LeafWork]]+Tasks[[#This Row],[_Res2Work]]+Tasks[[#This Row],[_Res3Work]]+Tasks[[#This Row],[_Res4Work]]</f>
        <v>0</v>
      </c>
      <c r="DX190" s="45" t="n">
        <f aca="false">Tasks[[#This Row],[_LeafCost]]+Tasks[[#This Row],[_Res2Cost]]+Tasks[[#This Row],[_Res3Cost]]+Tasks[[#This Row],[_Res4Cost]]</f>
        <v>0</v>
      </c>
      <c r="DY190" s="45" t="n">
        <f aca="false">IF(Tasks[[#This Row],[_LeafTotalCost]]=0,Tasks[[#This Row],[_LeafAC]],Tasks[[#This Row],[_LeafAC]]*Tasks[[#This Row],[_LeafCost]]/Tasks[[#This Row],[_LeafTotalCost]])</f>
        <v>0</v>
      </c>
      <c r="DZ19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9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9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9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9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9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9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9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90" s="45" t="n">
        <f aca="false">IF(NOT(Tasks[[#This Row],[_IsLeaf]]=1),0,MAX(_xlfn.MAXIFS(Tasks[_Row],Tasks[_Pred1UID],Tasks[[#This Row],[UID]]),_xlfn.MAXIFS(Tasks[_Row],Tasks[_Pred2UID],Tasks[[#This Row],[UID]]),_xlfn.MAXIFS(Tasks[_Row],Tasks[_Pred3UID],Tasks[[#This Row],[UID]]),_xlfn.MAXIFS(Tasks[_Row],Tasks[_Pred4UID],Tasks[[#This Row],[UID]])))</f>
        <v>0</v>
      </c>
      <c r="EI19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9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90" s="74" t="str">
        <f aca="false">IF(NOT(Tasks[[#This Row],[_IsLeaf]]=1),"",IF(N(Tasks[[#This Row],[Duration]])&lt;=0,Tasks[[#This Row],[_LeafLateFinish]],WORKDAY.INTL(Tasks[[#This Row],[_LeafLateFinish]],-(Tasks[[#This Row],[Duration]]-1),WorkWeek,Holidays)))</f>
        <v/>
      </c>
      <c r="EL19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90" s="73" t="b">
        <f aca="false">AND(Tasks[[#This Row],[_IsLeaf]]=1,Tasks[[#This Row],[_LeafProgress]]&lt;1,N(Tasks[[#This Row],[_LeafTotalSlack]])&lt;=CriticalSlackDays)</f>
        <v>0</v>
      </c>
      <c r="EN190" s="45" t="n">
        <f aca="false">IF(AND(Tasks[[#This Row],[_IsLeaf]]=1,Tasks[[#This Row],[_ConstraintCode]]=1,Tasks[[#This Row],[Mode]]&lt;&gt;"Manual",N(Tasks[[#This Row],[Actual Start]])=0),MAX(0,N(Tasks[[#This Row],[Free Slack]])),0)</f>
        <v>0</v>
      </c>
      <c r="EO190" s="74" t="str">
        <f aca="false">IF(NOT(Tasks[[#This Row],[_IsLeaf]]=1),"",IF(Tasks[[#This Row],[_AlapShift]]=0,Tasks[[#This Row],[_LeafCalcStart]],WORKDAY.INTL(Tasks[[#This Row],[_LeafCalcStart]],Tasks[[#This Row],[_AlapShift]],WorkWeek,Holidays)))</f>
        <v/>
      </c>
      <c r="EP190" s="74" t="str">
        <f aca="false">IF(NOT(Tasks[[#This Row],[_IsLeaf]]=1),"",IF(Tasks[[#This Row],[_AlapShift]]=0,Tasks[[#This Row],[_LeafCalcFinish]],WORKDAY.INTL(Tasks[[#This Row],[_LeafCalcFinish]],Tasks[[#This Row],[_AlapShift]],WorkWeek,Holidays)))</f>
        <v/>
      </c>
      <c r="EQ190" s="74" t="str">
        <f aca="false">IF(NOT(Tasks[[#This Row],[_IsLeaf]]=1),"",IF(Tasks[[#This Row],[_AlapShift]]=0,Tasks[[#This Row],[_LeafFcstStart]],WORKDAY.INTL(Tasks[[#This Row],[_LeafFcstStart]],Tasks[[#This Row],[_AlapShift]],WorkWeek,Holidays)))</f>
        <v/>
      </c>
      <c r="ER190" s="74" t="str">
        <f aca="false">IF(NOT(Tasks[[#This Row],[_IsLeaf]]=1),"",IF(Tasks[[#This Row],[_AlapShift]]=0,Tasks[[#This Row],[_LeafFcstFinish]],WORKDAY.INTL(Tasks[[#This Row],[_LeafFcstFinish]],Tasks[[#This Row],[_AlapShift]],WorkWeek,Holidays)))</f>
        <v/>
      </c>
      <c r="ES190" s="74" t="str">
        <f aca="false">IF(Tasks[[#This Row],[Task Name]]="","",IF(Tasks[[#This Row],[_IsSummary]],MIN(INDEX(Tasks[_ShownCalcStart],Tasks[[#This Row],[_Row]]+1):INDEX(Tasks[_ShownCalcStart],Tasks[[#This Row],[_Row]]+Tasks[[#This Row],[_Descendants]])),Tasks[[#This Row],[_ShownCalcStart]]))</f>
        <v/>
      </c>
      <c r="ET190" s="74" t="str">
        <f aca="false">IF(Tasks[[#This Row],[Task Name]]="","",IF(Tasks[[#This Row],[_IsSummary]],MAX(INDEX(Tasks[_ShownCalcFinish],Tasks[[#This Row],[_Row]]+1):INDEX(Tasks[_ShownCalcFinish],Tasks[[#This Row],[_Row]]+Tasks[[#This Row],[_Descendants]])),Tasks[[#This Row],[_ShownCalcFinish]]))</f>
        <v/>
      </c>
      <c r="EU19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9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9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9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9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9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9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9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9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9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9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9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90" s="45" t="n">
        <f aca="false">IF(AND(Tasks[[#This Row],[_IsLeaf]]=1,Tasks[[#This Row],[_LeafTotalWork]]&gt;0),NETWORKDAYS.INTL(ProjectStart,Tasks[[#This Row],[_ShownFcstStart]],WorkWeek,Holidays),0)</f>
        <v>0</v>
      </c>
      <c r="FH190" s="45" t="n">
        <f aca="false">IF(AND(Tasks[[#This Row],[_IsLeaf]]=1,Tasks[[#This Row],[_LeafTotalWork]]&gt;0),MAX(Tasks[[#This Row],[_StartWorkday]],NETWORKDAYS.INTL(ProjectStart,Tasks[[#This Row],[_ShownFcstFinish]],WorkWeek,Holidays)),0)</f>
        <v>0</v>
      </c>
      <c r="FI190" s="45" t="n">
        <f aca="false">IF(AND(Tasks[[#This Row],[_IsLeaf]]=1,Tasks[[#This Row],[_LeafTotalWork]]&gt;0),Tasks[[#This Row],[_LeafWork]]/(Tasks[[#This Row],[_FinishWorkday]]-Tasks[[#This Row],[_StartWorkday]]+1),0)</f>
        <v>0</v>
      </c>
      <c r="FJ190" s="45" t="n">
        <f aca="false">Tasks[[#This Row],[_WorkPerWorkday]]*(Tasks[[#This Row],[_StartWorkday]]-1)</f>
        <v>-0</v>
      </c>
      <c r="FK190" s="45" t="n">
        <f aca="false">IF(Tasks[[#This Row],[_IsLeaf]]=1,MAX(N(Tasks[[#This Row],[Duration]]),0.1),0)</f>
        <v>0</v>
      </c>
      <c r="FL190" s="45" t="n">
        <f aca="false">Tasks[[#This Row],[_WeightDur]]*Tasks[[#This Row],[_LeafProgress]]</f>
        <v>0</v>
      </c>
      <c r="FM19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90" s="45" t="str">
        <f aca="false">IF(AND(Tasks[[#This Row],[_IsLeaf]]=1,N(Tasks[[#This Row],[Duration]])=0,Tasks[[#This Row],[_LeafProgress]]&lt;1),Tasks[[#This Row],[_ShownFcstFinish]]+Tasks[[#This Row],[_Row]]/100000,"")</f>
        <v/>
      </c>
      <c r="FO19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90" s="45" t="n">
        <f aca="false">IF(NOT(Tasks[[#This Row],[_IsLeaf]]=1),0,IF(Tasks[[#This Row],[Baseline Cost]]="",Tasks[[#This Row],[_LeafTotalCost]],N(Tasks[[#This Row],[Baseline Cost]])))</f>
        <v>0</v>
      </c>
      <c r="FQ190" s="45" t="n">
        <f aca="false">Tasks[[#This Row],[_LeafBudget]]*Tasks[[#This Row],[_PlannedPct]]</f>
        <v>0</v>
      </c>
      <c r="FR190" s="45" t="n">
        <f aca="false">Tasks[[#This Row],[_LeafBudget]]*Tasks[[#This Row],[_LeafProgress]]</f>
        <v>0</v>
      </c>
      <c r="FS190" s="45" t="n">
        <f aca="false">IF(NOT(Tasks[[#This Row],[_IsLeaf]]=1),0,IF(Tasks[[#This Row],[Actual Cost]]="",Tasks[[#This Row],[_LeafTotalCost]]*Tasks[[#This Row],[_LeafProgress]],N(Tasks[[#This Row],[Actual Cost]])))</f>
        <v>0</v>
      </c>
      <c r="FT190" s="45" t="str">
        <f aca="false">IF(Tasks[[#This Row],[Task Name]]="","",LEFT(Tasks[[#This Row],[WBS]],FIND(".",Tasks[[#This Row],[WBS]]&amp;".")-1))</f>
        <v/>
      </c>
      <c r="FU190" s="45" t="str">
        <f aca="false">IF(AND(Tasks[[#This Row],[Task Name]]&lt;&gt;"",Tasks[[#This Row],[_Level]]=1),Tasks[[#This Row],[_Row]],"")</f>
        <v/>
      </c>
      <c r="FV190" s="45" t="str">
        <f aca="false">IF(AND(Tasks[[#This Row],[_IsLeaf]]=1,N(Tasks[[#This Row],[Duration]])=0),Tasks[[#This Row],[Planned Finish]]+Tasks[[#This Row],[_Row]]/100000,"")</f>
        <v/>
      </c>
      <c r="FW190" s="45" t="str">
        <f aca="false">IF(AND(Tasks[[#This Row],[_IsLeaf]]=1,Tasks[[#This Row],[_LeafProgress]]&lt;1,OR(N(Tasks[[#This Row],[Finish Var]])&gt;0,Tasks[[#This Row],[Status]]="Late Start")),MAX(0,Tasks[[#This Row],[Finish Var]])+1-Tasks[[#This Row],[_Row]]/1000000,"")</f>
        <v/>
      </c>
      <c r="FX190" s="45" t="str">
        <f aca="false">IF(AND(Tasks[[#This Row],[_IsLeaf]]=1,N(Tasks[[#This Row],[Actual Start]])=0,Tasks[[#This Row],[_ShownFcstStart]]&gt;=StatusDate,Tasks[[#This Row],[_ShownFcstStart]]&lt;=LookaheadEnd),Tasks[[#This Row],[_ShownFcstStart]]+Tasks[[#This Row],[_Row]]/100000,"")</f>
        <v/>
      </c>
      <c r="FY190" s="45" t="str">
        <f aca="false">IF(AND(Tasks[[#This Row],[_IsLeaf]]=1,Tasks[[#This Row],[_LeafProgress]]&lt;1,Tasks[[#This Row],[_ShownFcstFinish]]&gt;=StatusDate,Tasks[[#This Row],[_ShownFcstFinish]]&lt;=LookaheadEnd),Tasks[[#This Row],[_ShownFcstFinish]]+Tasks[[#This Row],[_Row]]/100000,"")</f>
        <v/>
      </c>
      <c r="FZ190" s="45" t="str">
        <f aca="false">IF(Tasks[[#This Row],[_LeafCritical]],Tasks[[#This Row],[_ShownFcstStart]]+Tasks[[#This Row],[_Row]]/100000,"")</f>
        <v/>
      </c>
      <c r="GA190" s="45" t="n">
        <f aca="false">Tasks[[#This Row],[_LeafWork]]*Tasks[[#This Row],[_LeafProgress]]</f>
        <v>0</v>
      </c>
      <c r="GB190" s="74" t="str">
        <f aca="false">IF(AND(Tasks[[#This Row],[_IsLeaf]]=1,Tasks[[#This Row],[_LeafProgress]]&gt;=1),IF(N(Tasks[[#This Row],[Actual Finish]])&gt;0,Tasks[[#This Row],[Actual Finish]],Tasks[[#This Row],[_ShownFcstFinish]]),"")</f>
        <v/>
      </c>
    </row>
    <row r="191" customFormat="false" ht="15" hidden="false" customHeight="false" outlineLevel="0" collapsed="false">
      <c r="A191" s="67" t="str">
        <f aca="false">IF(Tasks[[#This Row],[Task Name]]="","",COUNTA(Tasks[[#Headers],[Task Name]]:Tasks[[#This Row],[Task Name]])-1)</f>
        <v/>
      </c>
      <c r="B191" s="21" t="n">
        <v>186</v>
      </c>
      <c r="C19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21"/>
      <c r="E191" s="22"/>
      <c r="F191" s="21"/>
      <c r="G191" s="22"/>
      <c r="H191" s="22"/>
      <c r="I191" s="22"/>
      <c r="J191" s="7"/>
      <c r="K191" s="7"/>
      <c r="L191" s="22"/>
      <c r="M191" s="58" t="str">
        <f aca="false">IF(Tasks[[#This Row],[Task Name]]="","",IF(Tasks[[#This Row],[_IsSummary]],MIN(INDEX(Tasks[_ShownFcstStart],Tasks[[#This Row],[_Row]]+1):INDEX(Tasks[_ShownFcstStart],Tasks[[#This Row],[_Row]]+Tasks[[#This Row],[_Descendants]])),Tasks[[#This Row],[_ShownFcstStart]]))</f>
        <v/>
      </c>
      <c r="N191" s="58" t="str">
        <f aca="false">IF(Tasks[[#This Row],[Task Name]]="","",IF(Tasks[[#This Row],[_IsSummary]],MAX(INDEX(Tasks[_ShownFcstFinish],Tasks[[#This Row],[_Row]]+1):INDEX(Tasks[_ShownFcstFinish],Tasks[[#This Row],[_Row]]+Tasks[[#This Row],[_Descendants]])),Tasks[[#This Row],[_ShownFcstFinish]]))</f>
        <v/>
      </c>
      <c r="O191" s="20" t="str">
        <f aca="false">IF(Tasks[[#This Row],[Task Name]]="","",IF(Tasks[[#This Row],[Progress]]&gt;=1,"Complete",IF(OR(N(Tasks[[#This Row],[Actual Start]])&gt;0,Tasks[[#This Row],[Progress]]&gt;0),IF(Tasks[[#This Row],[Finish Var]]&gt;0,"Behind","In Progress"),IF(Tasks[[#This Row],[Planned Start]]&lt;StatusDate,"Late Start","Not Started"))))</f>
        <v/>
      </c>
      <c r="P191" s="20" t="str">
        <f aca="false">IF(Tasks[[#This Row],[Task Name]]="","",IF(IF(Tasks[[#This Row],[_IsSummary]],COUNTIF(INDEX(Tasks[_LeafCritical],Tasks[[#This Row],[_Row]]+1):INDEX(Tasks[_LeafCritical],Tasks[[#This Row],[_Row]]+Tasks[[#This Row],[_Descendants]]),TRUE())&gt;0,Tasks[[#This Row],[_LeafCritical]]),"Yes",""))</f>
        <v/>
      </c>
      <c r="Q19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91" s="67" t="str">
        <f aca="false">IF(Tasks[[#This Row],[Task Name]]="","",IF(Tasks[[#This Row],[_Level]]&lt;=OutlineShowLevel,"Yes","No"))</f>
        <v/>
      </c>
      <c r="S191" s="7"/>
      <c r="T191" s="21"/>
      <c r="U191" s="22"/>
      <c r="V191" s="7"/>
      <c r="W191" s="67" t="str">
        <f aca="false">IF(Tasks[[#This Row],[Task Name]]="","",IF(Tasks[[#This Row],[Finish]]&gt;=Tasks[[#This Row],[Planned Finish]],NETWORKDAYS.INTL(Tasks[[#This Row],[Planned Finish]],Tasks[[#This Row],[Finish]],WorkWeek,Holidays)-1,1-NETWORKDAYS.INTL(Tasks[[#This Row],[Finish]],Tasks[[#This Row],[Planned Finish]],WorkWeek,Holidays)))</f>
        <v/>
      </c>
      <c r="X191" s="58" t="str">
        <f aca="false">IF(Tasks[[#This Row],[Task Name]]="","",IF(N(Tasks[[#This Row],[Baseline Start]])&gt;0,Tasks[[#This Row],[Baseline Start]],Tasks[[#This Row],[_CalcStart]]))</f>
        <v/>
      </c>
      <c r="Y191" s="58" t="str">
        <f aca="false">IF(Tasks[[#This Row],[Task Name]]="","",IF(N(Tasks[[#This Row],[Baseline Finish]])&gt;0,Tasks[[#This Row],[Baseline Finish]],Tasks[[#This Row],[_CalcFinish]]))</f>
        <v/>
      </c>
      <c r="Z191" s="67" t="str">
        <f aca="false">IF(Tasks[[#This Row],[Task Name]]="","",IF(Tasks[[#This Row],[Start]]&gt;=Tasks[[#This Row],[Planned Start]],NETWORKDAYS.INTL(Tasks[[#This Row],[Planned Start]],Tasks[[#This Row],[Start]],WorkWeek,Holidays)-1,1-NETWORKDAYS.INTL(Tasks[[#This Row],[Start]],Tasks[[#This Row],[Planned Start]],WorkWeek,Holidays)))</f>
        <v/>
      </c>
      <c r="AA191" s="58" t="str">
        <f aca="false">IF(Tasks[[#This Row],[Task Name]]="","",IF(Tasks[[#This Row],[_IsSummary]],MIN(INDEX(Tasks[_LeafLateStart],Tasks[[#This Row],[_Row]]+1):INDEX(Tasks[_LeafLateStart],Tasks[[#This Row],[_Row]]+Tasks[[#This Row],[_Descendants]])),Tasks[[#This Row],[_LeafLateStart]]))</f>
        <v/>
      </c>
      <c r="AB191" s="58" t="str">
        <f aca="false">IF(Tasks[[#This Row],[Task Name]]="","",IF(Tasks[[#This Row],[_IsSummary]],MAX(INDEX(Tasks[_LeafLateFinish],Tasks[[#This Row],[_Row]]+1):INDEX(Tasks[_LeafLateFinish],Tasks[[#This Row],[_Row]]+Tasks[[#This Row],[_Descendants]])),Tasks[[#This Row],[_LeafLateFinish]]))</f>
        <v/>
      </c>
      <c r="AC191" s="67" t="str">
        <f aca="false">IF(Tasks[[#This Row],[Task Name]]="","",IF(Tasks[[#This Row],[_IsSummary]],MIN(INDEX(Tasks[_LeafTotalSlack],Tasks[[#This Row],[_Row]]+1):INDEX(Tasks[_LeafTotalSlack],Tasks[[#This Row],[_Row]]+Tasks[[#This Row],[_Descendants]])),Tasks[[#This Row],[_LeafTotalSlack]]))</f>
        <v/>
      </c>
      <c r="AD19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9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9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91" s="60"/>
      <c r="AH19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9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91" s="69" t="str">
        <f aca="false">IF(Tasks[[#This Row],[Task Name]]="","",IF(Tasks[[#This Row],[_IsSummary]],SUM(INDEX(Tasks[_LeafTotalWork],Tasks[[#This Row],[_Row]]+1):INDEX(Tasks[_LeafTotalWork],Tasks[[#This Row],[_Row]]+Tasks[[#This Row],[_Descendants]])),Tasks[[#This Row],[_LeafTotalWork]]))</f>
        <v/>
      </c>
      <c r="AK19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91" s="70" t="str">
        <f aca="false">IF(Tasks[[#This Row],[Task Name]]="","",IF(Tasks[[#This Row],[_IsSummary]],SUM(INDEX(Tasks[_LeafTotalCost],Tasks[[#This Row],[_Row]]+1):INDEX(Tasks[_LeafTotalCost],Tasks[[#This Row],[_Row]]+Tasks[[#This Row],[_Descendants]])),Tasks[[#This Row],[_LeafTotalCost]]))</f>
        <v/>
      </c>
      <c r="AM191" s="71"/>
      <c r="AN191" s="20" t="str">
        <f aca="false">IF(OR(Tasks[[#This Row],[Task Name]]="",Tasks[[#This Row],[Baseline Duration]]=""),"",Tasks[[#This Row],[BL Source Duration]]-N(Tasks[[#This Row],[Baseline Duration]]))</f>
        <v/>
      </c>
      <c r="AO191" s="69" t="str">
        <f aca="false">IF(OR(Tasks[[#This Row],[Task Name]]="",Tasks[[#This Row],[Baseline Work]]=""),"",Tasks[[#This Row],[Work]]-N(Tasks[[#This Row],[Baseline Work]]))</f>
        <v/>
      </c>
      <c r="AP191" s="70" t="str">
        <f aca="false">IF(OR(Tasks[[#This Row],[Task Name]]="",Tasks[[#This Row],[Baseline Cost]]=""),"",Tasks[[#This Row],[Cost]]-N(Tasks[[#This Row],[Baseline Cost]]))</f>
        <v/>
      </c>
      <c r="AQ191" s="58" t="str">
        <f aca="false">IF(Tasks[[#This Row],[Task Name]]="","",Tasks[[#This Row],[Start]])</f>
        <v/>
      </c>
      <c r="AR191" s="58" t="str">
        <f aca="false">IF(Tasks[[#This Row],[Task Name]]="","",Tasks[[#This Row],[Finish]])</f>
        <v/>
      </c>
      <c r="AS191" s="67" t="str">
        <f aca="false">IF(Tasks[[#This Row],[Task Name]]="","",IF(Tasks[[#This Row],[_IsSummary]],NETWORKDAYS.INTL(Tasks[[#This Row],[Start]],Tasks[[#This Row],[Finish]],WorkWeek,Holidays),N(Tasks[[#This Row],[Duration]])))</f>
        <v/>
      </c>
      <c r="AT191" s="69" t="str">
        <f aca="false">IF(Tasks[[#This Row],[Task Name]]="","",Tasks[[#This Row],[Work]])</f>
        <v/>
      </c>
      <c r="AU191" s="70" t="str">
        <f aca="false">IF(Tasks[[#This Row],[Task Name]]="","",Tasks[[#This Row],[Cost]])</f>
        <v/>
      </c>
      <c r="AV191" s="7"/>
      <c r="AW191" s="7"/>
      <c r="AX191" s="21"/>
      <c r="AY191" s="72"/>
      <c r="AZ191" s="71"/>
      <c r="BA191" s="70" t="str">
        <f aca="false">IF(Tasks[[#This Row],[Task Name]]="","",IF(Tasks[[#This Row],[_IsSummary]],SUM(INDEX(Tasks[_LeafEV],Tasks[[#This Row],[_Row]]+1):INDEX(Tasks[_LeafEV],Tasks[[#This Row],[_Row]]+Tasks[[#This Row],[_Descendants]])),Tasks[[#This Row],[_LeafEV]]))</f>
        <v/>
      </c>
      <c r="BB191" s="70" t="str">
        <f aca="false">IF(Tasks[[#This Row],[Task Name]]="","",IF(Tasks[[#This Row],[_IsSummary]],SUM(INDEX(Tasks[_LeafBudget],Tasks[[#This Row],[_Row]]+1):INDEX(Tasks[_LeafBudget],Tasks[[#This Row],[_Row]]+Tasks[[#This Row],[_Descendants]])),Tasks[[#This Row],[_LeafBudget]]))</f>
        <v/>
      </c>
      <c r="BC191" s="70" t="str">
        <f aca="false">IF(Tasks[[#This Row],[Task Name]]="","",IF(Tasks[[#This Row],[_IsSummary]],SUM(INDEX(Tasks[_LeafPV],Tasks[[#This Row],[_Row]]+1):INDEX(Tasks[_LeafPV],Tasks[[#This Row],[_Row]]+Tasks[[#This Row],[_Descendants]])),Tasks[[#This Row],[_LeafPV]]))</f>
        <v/>
      </c>
      <c r="BD191" s="70" t="str">
        <f aca="false">IF(Tasks[[#This Row],[Task Name]]="","",IF(Tasks[[#This Row],[_IsSummary]],SUM(INDEX(Tasks[_LeafAC],Tasks[[#This Row],[_Row]]+1):INDEX(Tasks[_LeafAC],Tasks[[#This Row],[_Row]]+Tasks[[#This Row],[_Descendants]])),Tasks[[#This Row],[_LeafAC]]))</f>
        <v/>
      </c>
      <c r="BE191" s="45" t="str">
        <f aca="false">IF(Tasks[[#This Row],[Task Name]]="","",MAX(1,N(Tasks[[#This Row],[Level]])))</f>
        <v/>
      </c>
      <c r="BF191" s="45" t="n">
        <f aca="false">ROW()-ROW(Tasks[[#Headers],[ID]])</f>
        <v>186</v>
      </c>
      <c r="BG191" s="45" t="n">
        <f aca="false">IF(OR(Tasks[[#This Row],[Task Name]]="",Tasks[[#This Row],[_Level]]&lt;=1),0,IFERROR(LOOKUP(2,1/(Tasks[[#Headers],[_Level]]:Tasks[[#This Row],[_Level]]=Tasks[[#This Row],[_Level]]-1),ROW(Tasks[[#Headers],[_Level]]:Tasks[[#This Row],[_Level]])),0))</f>
        <v>0</v>
      </c>
      <c r="BH191" s="45" t="n">
        <f aca="false">IFERROR(N(INDEX(Tasks[_Level],Tasks[[#This Row],[_Row]]+1)),0)</f>
        <v>0</v>
      </c>
      <c r="BI191" s="73" t="b">
        <f aca="false">AND(Tasks[[#This Row],[Task Name]]&lt;&gt;"",Tasks[[#This Row],[_NextLevel]]&gt;Tasks[[#This Row],[_Level]])</f>
        <v>0</v>
      </c>
      <c r="BJ191" s="45" t="n">
        <f aca="false">IF(Tasks[[#This Row],[_IsSummary]],COUNTIF(Tasks[WBS],Tasks[[#This Row],[WBS]]&amp;".*"),0)</f>
        <v>0</v>
      </c>
      <c r="BK191" s="45" t="n">
        <f aca="false">IF(AND(Tasks[[#This Row],[Task Name]]&lt;&gt;"",NOT(Tasks[[#This Row],[_IsSummary]])),1,0)</f>
        <v>0</v>
      </c>
      <c r="BL191" s="45" t="n">
        <f aca="false">IF(N(Tasks[[#This Row],[_Pred1UID]])=0,0,IFERROR(MATCH(Tasks[[#This Row],[_Pred1UID]],Tasks[UID],0),-1))</f>
        <v>0</v>
      </c>
      <c r="BM191" s="45" t="n">
        <f aca="false">IF(N(Tasks[[#This Row],[_Pred2UID]])=0,0,IFERROR(MATCH(Tasks[[#This Row],[_Pred2UID]],Tasks[UID],0),-1))</f>
        <v>0</v>
      </c>
      <c r="BN191" s="45" t="n">
        <f aca="false">IF(N(Tasks[[#This Row],[_Pred3UID]])=0,0,IFERROR(MATCH(Tasks[[#This Row],[_Pred3UID]],Tasks[UID],0),-1))</f>
        <v>0</v>
      </c>
      <c r="BO191" s="45" t="n">
        <f aca="false">IF(N(Tasks[[#This Row],[_Pred4UID]])=0,0,IFERROR(MATCH(Tasks[[#This Row],[_Pred4UID]],Tasks[UID],0),-1))</f>
        <v>0</v>
      </c>
      <c r="BP19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9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91" s="74" t="n">
        <f aca="false">IF(OR(Tasks[[#This Row],[_ConstraintCode]]=2,Tasks[[#This Row],[_ConstraintCode]]=3,Tasks[[#This Row],[_ConstraintCode]]=4,Tasks[[#This Row],[_ConstraintCode]]=6),Tasks[[#This Row],[_ConstraintStart]],0)</f>
        <v>0</v>
      </c>
      <c r="BS191" s="74" t="n">
        <f aca="false">IF(OR(Tasks[[#This Row],[_ConstraintCode]]=2,Tasks[[#This Row],[_ConstraintCode]]=3,Tasks[[#This Row],[_ConstraintCode]]=5,Tasks[[#This Row],[_ConstraintCode]]=7),Tasks[[#This Row],[_ConstraintStart]],2958465)</f>
        <v>2958465</v>
      </c>
      <c r="BT19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91" s="74" t="str">
        <f aca="false">IF(NOT(Tasks[[#This Row],[_IsLeaf]]=1),"",IF(N(Tasks[[#This Row],[Duration]])&lt;=0,Tasks[[#This Row],[_LeafCalcStart]],WORKDAY.INTL(Tasks[[#This Row],[_LeafCalcStart]],Tasks[[#This Row],[Duration]]-1,WorkWeek,Holidays)))</f>
        <v/>
      </c>
      <c r="BV19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9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91" s="45" t="str">
        <f aca="false">IF(Tasks[[#This Row],[Predecessors]]="","",TRIM(MID(SUBSTITUTE(SUBSTITUTE(SUBSTITUTE(UPPER(Tasks[[#This Row],[Predecessors]]),";",",")," ",""),",",REPT(" ",99)),1,99)))</f>
        <v/>
      </c>
      <c r="BY191" s="45" t="str">
        <f aca="false">IF(Tasks[[#This Row],[_Pred1Text]]="","",IFERROR(VALUE(LEFT(Tasks[[#This Row],[_Pred1Text]],MIN(FIND("F",Tasks[[#This Row],[_Pred1Text]]&amp;"F"),FIND("S",Tasks[[#This Row],[_Pred1Text]]&amp;"S"),FIND("+",Tasks[[#This Row],[_Pred1Text]]&amp;"+"),FIND("-",Tasks[[#This Row],[_Pred1Text]]&amp;"-"))-1)),""))</f>
        <v/>
      </c>
      <c r="BZ19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9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91" s="45" t="str">
        <f aca="false">IF(Tasks[[#This Row],[_Pred1Text]]="","",TRIM(MID(SUBSTITUTE(SUBSTITUTE(SUBSTITUTE(UPPER(Tasks[[#This Row],[Predecessors]]),";",",")," ",""),",",REPT(" ",99)),100,99)))</f>
        <v/>
      </c>
      <c r="CC191" s="45" t="str">
        <f aca="false">IF(Tasks[[#This Row],[_Pred2Text]]="","",IFERROR(VALUE(LEFT(Tasks[[#This Row],[_Pred2Text]],MIN(FIND("F",Tasks[[#This Row],[_Pred2Text]]&amp;"F"),FIND("S",Tasks[[#This Row],[_Pred2Text]]&amp;"S"),FIND("+",Tasks[[#This Row],[_Pred2Text]]&amp;"+"),FIND("-",Tasks[[#This Row],[_Pred2Text]]&amp;"-"))-1)),""))</f>
        <v/>
      </c>
      <c r="CD19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9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91" s="45" t="str">
        <f aca="false">IF(Tasks[[#This Row],[_Pred2Text]]="","",TRIM(MID(SUBSTITUTE(SUBSTITUTE(SUBSTITUTE(UPPER(Tasks[[#This Row],[Predecessors]]),";",",")," ",""),",",REPT(" ",99)),199,99)))</f>
        <v/>
      </c>
      <c r="CG191" s="45" t="str">
        <f aca="false">IF(Tasks[[#This Row],[_Pred3Text]]="","",IFERROR(VALUE(LEFT(Tasks[[#This Row],[_Pred3Text]],MIN(FIND("F",Tasks[[#This Row],[_Pred3Text]]&amp;"F"),FIND("S",Tasks[[#This Row],[_Pred3Text]]&amp;"S"),FIND("+",Tasks[[#This Row],[_Pred3Text]]&amp;"+"),FIND("-",Tasks[[#This Row],[_Pred3Text]]&amp;"-"))-1)),""))</f>
        <v/>
      </c>
      <c r="CH19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9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91" s="45" t="str">
        <f aca="false">IF(Tasks[[#This Row],[_Pred3Text]]="","",TRIM(MID(SUBSTITUTE(SUBSTITUTE(SUBSTITUTE(UPPER(Tasks[[#This Row],[Predecessors]]),";",",")," ",""),",",REPT(" ",99)),298,99)))</f>
        <v/>
      </c>
      <c r="CK191" s="45" t="str">
        <f aca="false">IF(Tasks[[#This Row],[_Pred4Text]]="","",IFERROR(VALUE(LEFT(Tasks[[#This Row],[_Pred4Text]],MIN(FIND("F",Tasks[[#This Row],[_Pred4Text]]&amp;"F"),FIND("S",Tasks[[#This Row],[_Pred4Text]]&amp;"S"),FIND("+",Tasks[[#This Row],[_Pred4Text]]&amp;"+"),FIND("-",Tasks[[#This Row],[_Pred4Text]]&amp;"-"))-1)),""))</f>
        <v/>
      </c>
      <c r="CL19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9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91" s="45" t="str">
        <f aca="false">IF(OR(Tasks[[#This Row],[Task Name]]="",Tasks[[#This Row],[Resources]]=""),"",TRIM(MID(SUBSTITUTE(Tasks[[#This Row],[Resources]],",",REPT(" ",99)),1,99)))</f>
        <v/>
      </c>
      <c r="CO191" s="45" t="str">
        <f aca="false">IF(Tasks[[#This Row],[_Res1Text]]="","",TRIM(MID(SUBSTITUTE(Tasks[[#This Row],[Resources]],",",REPT(" ",99)),100,99)))</f>
        <v/>
      </c>
      <c r="CP191" s="45" t="str">
        <f aca="false">IF(Tasks[[#This Row],[_Res2Text]]="","",TRIM(MID(SUBSTITUTE(Tasks[[#This Row],[Resources]],",",REPT(" ",99)),199,99)))</f>
        <v/>
      </c>
      <c r="CQ191" s="45" t="str">
        <f aca="false">IF(Tasks[[#This Row],[_Res3Text]]="","",TRIM(MID(SUBSTITUTE(Tasks[[#This Row],[Resources]],",",REPT(" ",99)),298,99)))</f>
        <v/>
      </c>
      <c r="CR19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9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1" s="45" t="n">
        <f aca="false">IF(NOT(Tasks[[#This Row],[_IsLeaf]]=1),0,(Tasks[[#This Row],[_Resource1]]&lt;&gt;"")+(Tasks[[#This Row],[_Res2]]&lt;&gt;"")+(Tasks[[#This Row],[_Res3]]&lt;&gt;"")+(Tasks[[#This Row],[_Res4]]&lt;&gt;""))</f>
        <v>0</v>
      </c>
      <c r="CU19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9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1" s="45" t="n">
        <f aca="false">IF(OR(NOT(Tasks[[#This Row],[_IsLeaf]]=1),Tasks[[#This Row],[_Res2]]=""),0,IF(ISNA(MATCH(Tasks[[#This Row],[_Res2]],res_Name,0)),0,N(Tasks[[#This Row],[Duration]])*HoursPerDay*IF(Tasks[[#This Row],[_Res2Units]]="",DefaultUnits,Tasks[[#This Row],[_Res2Units]])))</f>
        <v>0</v>
      </c>
      <c r="CX191" s="45" t="n">
        <f aca="false">IF(Tasks[[#This Row],[_Res2Work]]=0,0,Tasks[[#This Row],[_Res2Work]]*IFERROR(INDEX(res_Rate,MATCH(Tasks[[#This Row],[_Res2]],res_Name,0)),0))</f>
        <v>0</v>
      </c>
      <c r="CY191" s="45" t="n">
        <f aca="false">IF(AND(AND(Tasks[[#This Row],[_IsLeaf]]=1,Tasks[[#This Row],[_LeafTotalWork]]&gt;0),Tasks[[#This Row],[_Res2Work]]&gt;0),Tasks[[#This Row],[_Res2Work]]/(Tasks[[#This Row],[_FinishWorkday]]-Tasks[[#This Row],[_StartWorkday]]+1),0)</f>
        <v>0</v>
      </c>
      <c r="CZ191" s="45" t="n">
        <f aca="false">Tasks[[#This Row],[_Res2WorkPerWD]]*MAX(0,Tasks[[#This Row],[_StartWorkday]]-1)</f>
        <v>0</v>
      </c>
      <c r="DA191" s="45" t="n">
        <f aca="false">Tasks[[#This Row],[_Res2Work]]*Tasks[[#This Row],[_LeafProgress]]</f>
        <v>0</v>
      </c>
      <c r="DB191" s="45" t="n">
        <f aca="false">IF(Tasks[[#This Row],[_LeafTotalCost]]=0,0,Tasks[[#This Row],[_LeafAC]]*Tasks[[#This Row],[_Res2Cost]]/Tasks[[#This Row],[_LeafTotalCost]])</f>
        <v>0</v>
      </c>
      <c r="DC19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9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91" s="45" t="n">
        <f aca="false">IF(OR(NOT(Tasks[[#This Row],[_IsLeaf]]=1),Tasks[[#This Row],[_Res3]]=""),0,IF(ISNA(MATCH(Tasks[[#This Row],[_Res3]],res_Name,0)),0,N(Tasks[[#This Row],[Duration]])*HoursPerDay*IF(Tasks[[#This Row],[_Res3Units]]="",DefaultUnits,Tasks[[#This Row],[_Res3Units]])))</f>
        <v>0</v>
      </c>
      <c r="DF191" s="45" t="n">
        <f aca="false">IF(Tasks[[#This Row],[_Res3Work]]=0,0,Tasks[[#This Row],[_Res3Work]]*IFERROR(INDEX(res_Rate,MATCH(Tasks[[#This Row],[_Res3]],res_Name,0)),0))</f>
        <v>0</v>
      </c>
      <c r="DG191" s="45" t="n">
        <f aca="false">IF(AND(AND(Tasks[[#This Row],[_IsLeaf]]=1,Tasks[[#This Row],[_LeafTotalWork]]&gt;0),Tasks[[#This Row],[_Res3Work]]&gt;0),Tasks[[#This Row],[_Res3Work]]/(Tasks[[#This Row],[_FinishWorkday]]-Tasks[[#This Row],[_StartWorkday]]+1),0)</f>
        <v>0</v>
      </c>
      <c r="DH191" s="45" t="n">
        <f aca="false">Tasks[[#This Row],[_Res3WorkPerWD]]*MAX(0,Tasks[[#This Row],[_StartWorkday]]-1)</f>
        <v>0</v>
      </c>
      <c r="DI191" s="45" t="n">
        <f aca="false">Tasks[[#This Row],[_Res3Work]]*Tasks[[#This Row],[_LeafProgress]]</f>
        <v>0</v>
      </c>
      <c r="DJ191" s="45" t="n">
        <f aca="false">IF(Tasks[[#This Row],[_LeafTotalCost]]=0,0,Tasks[[#This Row],[_LeafAC]]*Tasks[[#This Row],[_Res3Cost]]/Tasks[[#This Row],[_LeafTotalCost]])</f>
        <v>0</v>
      </c>
      <c r="DK19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9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91" s="45" t="n">
        <f aca="false">IF(OR(NOT(Tasks[[#This Row],[_IsLeaf]]=1),Tasks[[#This Row],[_Res4]]=""),0,IF(ISNA(MATCH(Tasks[[#This Row],[_Res4]],res_Name,0)),0,N(Tasks[[#This Row],[Duration]])*HoursPerDay*IF(Tasks[[#This Row],[_Res4Units]]="",DefaultUnits,Tasks[[#This Row],[_Res4Units]])))</f>
        <v>0</v>
      </c>
      <c r="DN191" s="45" t="n">
        <f aca="false">IF(Tasks[[#This Row],[_Res4Work]]=0,0,Tasks[[#This Row],[_Res4Work]]*IFERROR(INDEX(res_Rate,MATCH(Tasks[[#This Row],[_Res4]],res_Name,0)),0))</f>
        <v>0</v>
      </c>
      <c r="DO191" s="45" t="n">
        <f aca="false">IF(AND(AND(Tasks[[#This Row],[_IsLeaf]]=1,Tasks[[#This Row],[_LeafTotalWork]]&gt;0),Tasks[[#This Row],[_Res4Work]]&gt;0),Tasks[[#This Row],[_Res4Work]]/(Tasks[[#This Row],[_FinishWorkday]]-Tasks[[#This Row],[_StartWorkday]]+1),0)</f>
        <v>0</v>
      </c>
      <c r="DP191" s="45" t="n">
        <f aca="false">Tasks[[#This Row],[_Res4WorkPerWD]]*MAX(0,Tasks[[#This Row],[_StartWorkday]]-1)</f>
        <v>0</v>
      </c>
      <c r="DQ191" s="45" t="n">
        <f aca="false">Tasks[[#This Row],[_Res4Work]]*Tasks[[#This Row],[_LeafProgress]]</f>
        <v>0</v>
      </c>
      <c r="DR191" s="45" t="n">
        <f aca="false">IF(Tasks[[#This Row],[_LeafTotalCost]]=0,0,Tasks[[#This Row],[_LeafAC]]*Tasks[[#This Row],[_Res4Cost]]/Tasks[[#This Row],[_LeafTotalCost]])</f>
        <v>0</v>
      </c>
      <c r="DS191" s="45" t="n">
        <f aca="false">IF(ISNUMBER(Tasks[[#This Row],[% Complete]]),Tasks[[#This Row],[% Complete]],IF(Tasks[[#This Row],[Stage]]="",0,IFERROR(INDEX(stg_Pct,MATCH(Tasks[[#This Row],[Stage]],stg_Name,0)),0)))</f>
        <v>0</v>
      </c>
      <c r="DT191" s="45" t="n">
        <f aca="false">IF(NOT(Tasks[[#This Row],[_IsLeaf]]=1),0,IF(N(Tasks[[#This Row],[Actual Finish]])&gt;0,1,MIN(1,Tasks[[#This Row],[_Pct]])))</f>
        <v>0</v>
      </c>
      <c r="DU191" s="45" t="n">
        <f aca="false">IF(OR(NOT(Tasks[[#This Row],[_IsLeaf]]=1),Tasks[[#This Row],[_Resource1]]=""),0,IF(ISNA(MATCH(Tasks[[#This Row],[_Resource1]],res_Name,0)),0,N(Tasks[[#This Row],[Duration]])*HoursPerDay*IF(Tasks[[#This Row],[_Units1]]="",DefaultUnits,Tasks[[#This Row],[_Units1]])))</f>
        <v>0</v>
      </c>
      <c r="DV191" s="45" t="n">
        <f aca="false">IF(Tasks[[#This Row],[_LeafWork]]=0,0,Tasks[[#This Row],[_LeafWork]]*IFERROR(INDEX(res_Rate,MATCH(Tasks[[#This Row],[_Resource1]],res_Name,0)),0))</f>
        <v>0</v>
      </c>
      <c r="DW191" s="45" t="n">
        <f aca="false">Tasks[[#This Row],[_LeafWork]]+Tasks[[#This Row],[_Res2Work]]+Tasks[[#This Row],[_Res3Work]]+Tasks[[#This Row],[_Res4Work]]</f>
        <v>0</v>
      </c>
      <c r="DX191" s="45" t="n">
        <f aca="false">Tasks[[#This Row],[_LeafCost]]+Tasks[[#This Row],[_Res2Cost]]+Tasks[[#This Row],[_Res3Cost]]+Tasks[[#This Row],[_Res4Cost]]</f>
        <v>0</v>
      </c>
      <c r="DY191" s="45" t="n">
        <f aca="false">IF(Tasks[[#This Row],[_LeafTotalCost]]=0,Tasks[[#This Row],[_LeafAC]],Tasks[[#This Row],[_LeafAC]]*Tasks[[#This Row],[_LeafCost]]/Tasks[[#This Row],[_LeafTotalCost]])</f>
        <v>0</v>
      </c>
      <c r="DZ19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9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9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9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9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9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9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9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91" s="45" t="n">
        <f aca="false">IF(NOT(Tasks[[#This Row],[_IsLeaf]]=1),0,MAX(_xlfn.MAXIFS(Tasks[_Row],Tasks[_Pred1UID],Tasks[[#This Row],[UID]]),_xlfn.MAXIFS(Tasks[_Row],Tasks[_Pred2UID],Tasks[[#This Row],[UID]]),_xlfn.MAXIFS(Tasks[_Row],Tasks[_Pred3UID],Tasks[[#This Row],[UID]]),_xlfn.MAXIFS(Tasks[_Row],Tasks[_Pred4UID],Tasks[[#This Row],[UID]])))</f>
        <v>0</v>
      </c>
      <c r="EI19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9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91" s="74" t="str">
        <f aca="false">IF(NOT(Tasks[[#This Row],[_IsLeaf]]=1),"",IF(N(Tasks[[#This Row],[Duration]])&lt;=0,Tasks[[#This Row],[_LeafLateFinish]],WORKDAY.INTL(Tasks[[#This Row],[_LeafLateFinish]],-(Tasks[[#This Row],[Duration]]-1),WorkWeek,Holidays)))</f>
        <v/>
      </c>
      <c r="EL19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91" s="73" t="b">
        <f aca="false">AND(Tasks[[#This Row],[_IsLeaf]]=1,Tasks[[#This Row],[_LeafProgress]]&lt;1,N(Tasks[[#This Row],[_LeafTotalSlack]])&lt;=CriticalSlackDays)</f>
        <v>0</v>
      </c>
      <c r="EN191" s="45" t="n">
        <f aca="false">IF(AND(Tasks[[#This Row],[_IsLeaf]]=1,Tasks[[#This Row],[_ConstraintCode]]=1,Tasks[[#This Row],[Mode]]&lt;&gt;"Manual",N(Tasks[[#This Row],[Actual Start]])=0),MAX(0,N(Tasks[[#This Row],[Free Slack]])),0)</f>
        <v>0</v>
      </c>
      <c r="EO191" s="74" t="str">
        <f aca="false">IF(NOT(Tasks[[#This Row],[_IsLeaf]]=1),"",IF(Tasks[[#This Row],[_AlapShift]]=0,Tasks[[#This Row],[_LeafCalcStart]],WORKDAY.INTL(Tasks[[#This Row],[_LeafCalcStart]],Tasks[[#This Row],[_AlapShift]],WorkWeek,Holidays)))</f>
        <v/>
      </c>
      <c r="EP191" s="74" t="str">
        <f aca="false">IF(NOT(Tasks[[#This Row],[_IsLeaf]]=1),"",IF(Tasks[[#This Row],[_AlapShift]]=0,Tasks[[#This Row],[_LeafCalcFinish]],WORKDAY.INTL(Tasks[[#This Row],[_LeafCalcFinish]],Tasks[[#This Row],[_AlapShift]],WorkWeek,Holidays)))</f>
        <v/>
      </c>
      <c r="EQ191" s="74" t="str">
        <f aca="false">IF(NOT(Tasks[[#This Row],[_IsLeaf]]=1),"",IF(Tasks[[#This Row],[_AlapShift]]=0,Tasks[[#This Row],[_LeafFcstStart]],WORKDAY.INTL(Tasks[[#This Row],[_LeafFcstStart]],Tasks[[#This Row],[_AlapShift]],WorkWeek,Holidays)))</f>
        <v/>
      </c>
      <c r="ER191" s="74" t="str">
        <f aca="false">IF(NOT(Tasks[[#This Row],[_IsLeaf]]=1),"",IF(Tasks[[#This Row],[_AlapShift]]=0,Tasks[[#This Row],[_LeafFcstFinish]],WORKDAY.INTL(Tasks[[#This Row],[_LeafFcstFinish]],Tasks[[#This Row],[_AlapShift]],WorkWeek,Holidays)))</f>
        <v/>
      </c>
      <c r="ES191" s="74" t="str">
        <f aca="false">IF(Tasks[[#This Row],[Task Name]]="","",IF(Tasks[[#This Row],[_IsSummary]],MIN(INDEX(Tasks[_ShownCalcStart],Tasks[[#This Row],[_Row]]+1):INDEX(Tasks[_ShownCalcStart],Tasks[[#This Row],[_Row]]+Tasks[[#This Row],[_Descendants]])),Tasks[[#This Row],[_ShownCalcStart]]))</f>
        <v/>
      </c>
      <c r="ET191" s="74" t="str">
        <f aca="false">IF(Tasks[[#This Row],[Task Name]]="","",IF(Tasks[[#This Row],[_IsSummary]],MAX(INDEX(Tasks[_ShownCalcFinish],Tasks[[#This Row],[_Row]]+1):INDEX(Tasks[_ShownCalcFinish],Tasks[[#This Row],[_Row]]+Tasks[[#This Row],[_Descendants]])),Tasks[[#This Row],[_ShownCalcFinish]]))</f>
        <v/>
      </c>
      <c r="EU19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9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9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9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9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9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9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9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9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9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9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9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91" s="45" t="n">
        <f aca="false">IF(AND(Tasks[[#This Row],[_IsLeaf]]=1,Tasks[[#This Row],[_LeafTotalWork]]&gt;0),NETWORKDAYS.INTL(ProjectStart,Tasks[[#This Row],[_ShownFcstStart]],WorkWeek,Holidays),0)</f>
        <v>0</v>
      </c>
      <c r="FH191" s="45" t="n">
        <f aca="false">IF(AND(Tasks[[#This Row],[_IsLeaf]]=1,Tasks[[#This Row],[_LeafTotalWork]]&gt;0),MAX(Tasks[[#This Row],[_StartWorkday]],NETWORKDAYS.INTL(ProjectStart,Tasks[[#This Row],[_ShownFcstFinish]],WorkWeek,Holidays)),0)</f>
        <v>0</v>
      </c>
      <c r="FI191" s="45" t="n">
        <f aca="false">IF(AND(Tasks[[#This Row],[_IsLeaf]]=1,Tasks[[#This Row],[_LeafTotalWork]]&gt;0),Tasks[[#This Row],[_LeafWork]]/(Tasks[[#This Row],[_FinishWorkday]]-Tasks[[#This Row],[_StartWorkday]]+1),0)</f>
        <v>0</v>
      </c>
      <c r="FJ191" s="45" t="n">
        <f aca="false">Tasks[[#This Row],[_WorkPerWorkday]]*(Tasks[[#This Row],[_StartWorkday]]-1)</f>
        <v>-0</v>
      </c>
      <c r="FK191" s="45" t="n">
        <f aca="false">IF(Tasks[[#This Row],[_IsLeaf]]=1,MAX(N(Tasks[[#This Row],[Duration]]),0.1),0)</f>
        <v>0</v>
      </c>
      <c r="FL191" s="45" t="n">
        <f aca="false">Tasks[[#This Row],[_WeightDur]]*Tasks[[#This Row],[_LeafProgress]]</f>
        <v>0</v>
      </c>
      <c r="FM19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91" s="45" t="str">
        <f aca="false">IF(AND(Tasks[[#This Row],[_IsLeaf]]=1,N(Tasks[[#This Row],[Duration]])=0,Tasks[[#This Row],[_LeafProgress]]&lt;1),Tasks[[#This Row],[_ShownFcstFinish]]+Tasks[[#This Row],[_Row]]/100000,"")</f>
        <v/>
      </c>
      <c r="FO19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91" s="45" t="n">
        <f aca="false">IF(NOT(Tasks[[#This Row],[_IsLeaf]]=1),0,IF(Tasks[[#This Row],[Baseline Cost]]="",Tasks[[#This Row],[_LeafTotalCost]],N(Tasks[[#This Row],[Baseline Cost]])))</f>
        <v>0</v>
      </c>
      <c r="FQ191" s="45" t="n">
        <f aca="false">Tasks[[#This Row],[_LeafBudget]]*Tasks[[#This Row],[_PlannedPct]]</f>
        <v>0</v>
      </c>
      <c r="FR191" s="45" t="n">
        <f aca="false">Tasks[[#This Row],[_LeafBudget]]*Tasks[[#This Row],[_LeafProgress]]</f>
        <v>0</v>
      </c>
      <c r="FS191" s="45" t="n">
        <f aca="false">IF(NOT(Tasks[[#This Row],[_IsLeaf]]=1),0,IF(Tasks[[#This Row],[Actual Cost]]="",Tasks[[#This Row],[_LeafTotalCost]]*Tasks[[#This Row],[_LeafProgress]],N(Tasks[[#This Row],[Actual Cost]])))</f>
        <v>0</v>
      </c>
      <c r="FT191" s="45" t="str">
        <f aca="false">IF(Tasks[[#This Row],[Task Name]]="","",LEFT(Tasks[[#This Row],[WBS]],FIND(".",Tasks[[#This Row],[WBS]]&amp;".")-1))</f>
        <v/>
      </c>
      <c r="FU191" s="45" t="str">
        <f aca="false">IF(AND(Tasks[[#This Row],[Task Name]]&lt;&gt;"",Tasks[[#This Row],[_Level]]=1),Tasks[[#This Row],[_Row]],"")</f>
        <v/>
      </c>
      <c r="FV191" s="45" t="str">
        <f aca="false">IF(AND(Tasks[[#This Row],[_IsLeaf]]=1,N(Tasks[[#This Row],[Duration]])=0),Tasks[[#This Row],[Planned Finish]]+Tasks[[#This Row],[_Row]]/100000,"")</f>
        <v/>
      </c>
      <c r="FW191" s="45" t="str">
        <f aca="false">IF(AND(Tasks[[#This Row],[_IsLeaf]]=1,Tasks[[#This Row],[_LeafProgress]]&lt;1,OR(N(Tasks[[#This Row],[Finish Var]])&gt;0,Tasks[[#This Row],[Status]]="Late Start")),MAX(0,Tasks[[#This Row],[Finish Var]])+1-Tasks[[#This Row],[_Row]]/1000000,"")</f>
        <v/>
      </c>
      <c r="FX191" s="45" t="str">
        <f aca="false">IF(AND(Tasks[[#This Row],[_IsLeaf]]=1,N(Tasks[[#This Row],[Actual Start]])=0,Tasks[[#This Row],[_ShownFcstStart]]&gt;=StatusDate,Tasks[[#This Row],[_ShownFcstStart]]&lt;=LookaheadEnd),Tasks[[#This Row],[_ShownFcstStart]]+Tasks[[#This Row],[_Row]]/100000,"")</f>
        <v/>
      </c>
      <c r="FY191" s="45" t="str">
        <f aca="false">IF(AND(Tasks[[#This Row],[_IsLeaf]]=1,Tasks[[#This Row],[_LeafProgress]]&lt;1,Tasks[[#This Row],[_ShownFcstFinish]]&gt;=StatusDate,Tasks[[#This Row],[_ShownFcstFinish]]&lt;=LookaheadEnd),Tasks[[#This Row],[_ShownFcstFinish]]+Tasks[[#This Row],[_Row]]/100000,"")</f>
        <v/>
      </c>
      <c r="FZ191" s="45" t="str">
        <f aca="false">IF(Tasks[[#This Row],[_LeafCritical]],Tasks[[#This Row],[_ShownFcstStart]]+Tasks[[#This Row],[_Row]]/100000,"")</f>
        <v/>
      </c>
      <c r="GA191" s="45" t="n">
        <f aca="false">Tasks[[#This Row],[_LeafWork]]*Tasks[[#This Row],[_LeafProgress]]</f>
        <v>0</v>
      </c>
      <c r="GB191" s="74" t="str">
        <f aca="false">IF(AND(Tasks[[#This Row],[_IsLeaf]]=1,Tasks[[#This Row],[_LeafProgress]]&gt;=1),IF(N(Tasks[[#This Row],[Actual Finish]])&gt;0,Tasks[[#This Row],[Actual Finish]],Tasks[[#This Row],[_ShownFcstFinish]]),"")</f>
        <v/>
      </c>
    </row>
    <row r="192" customFormat="false" ht="15" hidden="false" customHeight="false" outlineLevel="0" collapsed="false">
      <c r="A192" s="67" t="str">
        <f aca="false">IF(Tasks[[#This Row],[Task Name]]="","",COUNTA(Tasks[[#Headers],[Task Name]]:Tasks[[#This Row],[Task Name]])-1)</f>
        <v/>
      </c>
      <c r="B192" s="21" t="n">
        <v>187</v>
      </c>
      <c r="C19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21"/>
      <c r="E192" s="22"/>
      <c r="F192" s="21"/>
      <c r="G192" s="22"/>
      <c r="H192" s="22"/>
      <c r="I192" s="22"/>
      <c r="J192" s="7"/>
      <c r="K192" s="7"/>
      <c r="L192" s="22"/>
      <c r="M192" s="58" t="str">
        <f aca="false">IF(Tasks[[#This Row],[Task Name]]="","",IF(Tasks[[#This Row],[_IsSummary]],MIN(INDEX(Tasks[_ShownFcstStart],Tasks[[#This Row],[_Row]]+1):INDEX(Tasks[_ShownFcstStart],Tasks[[#This Row],[_Row]]+Tasks[[#This Row],[_Descendants]])),Tasks[[#This Row],[_ShownFcstStart]]))</f>
        <v/>
      </c>
      <c r="N192" s="58" t="str">
        <f aca="false">IF(Tasks[[#This Row],[Task Name]]="","",IF(Tasks[[#This Row],[_IsSummary]],MAX(INDEX(Tasks[_ShownFcstFinish],Tasks[[#This Row],[_Row]]+1):INDEX(Tasks[_ShownFcstFinish],Tasks[[#This Row],[_Row]]+Tasks[[#This Row],[_Descendants]])),Tasks[[#This Row],[_ShownFcstFinish]]))</f>
        <v/>
      </c>
      <c r="O192" s="20" t="str">
        <f aca="false">IF(Tasks[[#This Row],[Task Name]]="","",IF(Tasks[[#This Row],[Progress]]&gt;=1,"Complete",IF(OR(N(Tasks[[#This Row],[Actual Start]])&gt;0,Tasks[[#This Row],[Progress]]&gt;0),IF(Tasks[[#This Row],[Finish Var]]&gt;0,"Behind","In Progress"),IF(Tasks[[#This Row],[Planned Start]]&lt;StatusDate,"Late Start","Not Started"))))</f>
        <v/>
      </c>
      <c r="P192" s="20" t="str">
        <f aca="false">IF(Tasks[[#This Row],[Task Name]]="","",IF(IF(Tasks[[#This Row],[_IsSummary]],COUNTIF(INDEX(Tasks[_LeafCritical],Tasks[[#This Row],[_Row]]+1):INDEX(Tasks[_LeafCritical],Tasks[[#This Row],[_Row]]+Tasks[[#This Row],[_Descendants]]),TRUE())&gt;0,Tasks[[#This Row],[_LeafCritical]]),"Yes",""))</f>
        <v/>
      </c>
      <c r="Q19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92" s="67" t="str">
        <f aca="false">IF(Tasks[[#This Row],[Task Name]]="","",IF(Tasks[[#This Row],[_Level]]&lt;=OutlineShowLevel,"Yes","No"))</f>
        <v/>
      </c>
      <c r="S192" s="7"/>
      <c r="T192" s="21"/>
      <c r="U192" s="22"/>
      <c r="V192" s="7"/>
      <c r="W192" s="67" t="str">
        <f aca="false">IF(Tasks[[#This Row],[Task Name]]="","",IF(Tasks[[#This Row],[Finish]]&gt;=Tasks[[#This Row],[Planned Finish]],NETWORKDAYS.INTL(Tasks[[#This Row],[Planned Finish]],Tasks[[#This Row],[Finish]],WorkWeek,Holidays)-1,1-NETWORKDAYS.INTL(Tasks[[#This Row],[Finish]],Tasks[[#This Row],[Planned Finish]],WorkWeek,Holidays)))</f>
        <v/>
      </c>
      <c r="X192" s="58" t="str">
        <f aca="false">IF(Tasks[[#This Row],[Task Name]]="","",IF(N(Tasks[[#This Row],[Baseline Start]])&gt;0,Tasks[[#This Row],[Baseline Start]],Tasks[[#This Row],[_CalcStart]]))</f>
        <v/>
      </c>
      <c r="Y192" s="58" t="str">
        <f aca="false">IF(Tasks[[#This Row],[Task Name]]="","",IF(N(Tasks[[#This Row],[Baseline Finish]])&gt;0,Tasks[[#This Row],[Baseline Finish]],Tasks[[#This Row],[_CalcFinish]]))</f>
        <v/>
      </c>
      <c r="Z192" s="67" t="str">
        <f aca="false">IF(Tasks[[#This Row],[Task Name]]="","",IF(Tasks[[#This Row],[Start]]&gt;=Tasks[[#This Row],[Planned Start]],NETWORKDAYS.INTL(Tasks[[#This Row],[Planned Start]],Tasks[[#This Row],[Start]],WorkWeek,Holidays)-1,1-NETWORKDAYS.INTL(Tasks[[#This Row],[Start]],Tasks[[#This Row],[Planned Start]],WorkWeek,Holidays)))</f>
        <v/>
      </c>
      <c r="AA192" s="58" t="str">
        <f aca="false">IF(Tasks[[#This Row],[Task Name]]="","",IF(Tasks[[#This Row],[_IsSummary]],MIN(INDEX(Tasks[_LeafLateStart],Tasks[[#This Row],[_Row]]+1):INDEX(Tasks[_LeafLateStart],Tasks[[#This Row],[_Row]]+Tasks[[#This Row],[_Descendants]])),Tasks[[#This Row],[_LeafLateStart]]))</f>
        <v/>
      </c>
      <c r="AB192" s="58" t="str">
        <f aca="false">IF(Tasks[[#This Row],[Task Name]]="","",IF(Tasks[[#This Row],[_IsSummary]],MAX(INDEX(Tasks[_LeafLateFinish],Tasks[[#This Row],[_Row]]+1):INDEX(Tasks[_LeafLateFinish],Tasks[[#This Row],[_Row]]+Tasks[[#This Row],[_Descendants]])),Tasks[[#This Row],[_LeafLateFinish]]))</f>
        <v/>
      </c>
      <c r="AC192" s="67" t="str">
        <f aca="false">IF(Tasks[[#This Row],[Task Name]]="","",IF(Tasks[[#This Row],[_IsSummary]],MIN(INDEX(Tasks[_LeafTotalSlack],Tasks[[#This Row],[_Row]]+1):INDEX(Tasks[_LeafTotalSlack],Tasks[[#This Row],[_Row]]+Tasks[[#This Row],[_Descendants]])),Tasks[[#This Row],[_LeafTotalSlack]]))</f>
        <v/>
      </c>
      <c r="AD19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9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9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92" s="60"/>
      <c r="AH19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9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92" s="69" t="str">
        <f aca="false">IF(Tasks[[#This Row],[Task Name]]="","",IF(Tasks[[#This Row],[_IsSummary]],SUM(INDEX(Tasks[_LeafTotalWork],Tasks[[#This Row],[_Row]]+1):INDEX(Tasks[_LeafTotalWork],Tasks[[#This Row],[_Row]]+Tasks[[#This Row],[_Descendants]])),Tasks[[#This Row],[_LeafTotalWork]]))</f>
        <v/>
      </c>
      <c r="AK19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92" s="70" t="str">
        <f aca="false">IF(Tasks[[#This Row],[Task Name]]="","",IF(Tasks[[#This Row],[_IsSummary]],SUM(INDEX(Tasks[_LeafTotalCost],Tasks[[#This Row],[_Row]]+1):INDEX(Tasks[_LeafTotalCost],Tasks[[#This Row],[_Row]]+Tasks[[#This Row],[_Descendants]])),Tasks[[#This Row],[_LeafTotalCost]]))</f>
        <v/>
      </c>
      <c r="AM192" s="71"/>
      <c r="AN192" s="20" t="str">
        <f aca="false">IF(OR(Tasks[[#This Row],[Task Name]]="",Tasks[[#This Row],[Baseline Duration]]=""),"",Tasks[[#This Row],[BL Source Duration]]-N(Tasks[[#This Row],[Baseline Duration]]))</f>
        <v/>
      </c>
      <c r="AO192" s="69" t="str">
        <f aca="false">IF(OR(Tasks[[#This Row],[Task Name]]="",Tasks[[#This Row],[Baseline Work]]=""),"",Tasks[[#This Row],[Work]]-N(Tasks[[#This Row],[Baseline Work]]))</f>
        <v/>
      </c>
      <c r="AP192" s="70" t="str">
        <f aca="false">IF(OR(Tasks[[#This Row],[Task Name]]="",Tasks[[#This Row],[Baseline Cost]]=""),"",Tasks[[#This Row],[Cost]]-N(Tasks[[#This Row],[Baseline Cost]]))</f>
        <v/>
      </c>
      <c r="AQ192" s="58" t="str">
        <f aca="false">IF(Tasks[[#This Row],[Task Name]]="","",Tasks[[#This Row],[Start]])</f>
        <v/>
      </c>
      <c r="AR192" s="58" t="str">
        <f aca="false">IF(Tasks[[#This Row],[Task Name]]="","",Tasks[[#This Row],[Finish]])</f>
        <v/>
      </c>
      <c r="AS192" s="67" t="str">
        <f aca="false">IF(Tasks[[#This Row],[Task Name]]="","",IF(Tasks[[#This Row],[_IsSummary]],NETWORKDAYS.INTL(Tasks[[#This Row],[Start]],Tasks[[#This Row],[Finish]],WorkWeek,Holidays),N(Tasks[[#This Row],[Duration]])))</f>
        <v/>
      </c>
      <c r="AT192" s="69" t="str">
        <f aca="false">IF(Tasks[[#This Row],[Task Name]]="","",Tasks[[#This Row],[Work]])</f>
        <v/>
      </c>
      <c r="AU192" s="70" t="str">
        <f aca="false">IF(Tasks[[#This Row],[Task Name]]="","",Tasks[[#This Row],[Cost]])</f>
        <v/>
      </c>
      <c r="AV192" s="7"/>
      <c r="AW192" s="7"/>
      <c r="AX192" s="21"/>
      <c r="AY192" s="72"/>
      <c r="AZ192" s="71"/>
      <c r="BA192" s="70" t="str">
        <f aca="false">IF(Tasks[[#This Row],[Task Name]]="","",IF(Tasks[[#This Row],[_IsSummary]],SUM(INDEX(Tasks[_LeafEV],Tasks[[#This Row],[_Row]]+1):INDEX(Tasks[_LeafEV],Tasks[[#This Row],[_Row]]+Tasks[[#This Row],[_Descendants]])),Tasks[[#This Row],[_LeafEV]]))</f>
        <v/>
      </c>
      <c r="BB192" s="70" t="str">
        <f aca="false">IF(Tasks[[#This Row],[Task Name]]="","",IF(Tasks[[#This Row],[_IsSummary]],SUM(INDEX(Tasks[_LeafBudget],Tasks[[#This Row],[_Row]]+1):INDEX(Tasks[_LeafBudget],Tasks[[#This Row],[_Row]]+Tasks[[#This Row],[_Descendants]])),Tasks[[#This Row],[_LeafBudget]]))</f>
        <v/>
      </c>
      <c r="BC192" s="70" t="str">
        <f aca="false">IF(Tasks[[#This Row],[Task Name]]="","",IF(Tasks[[#This Row],[_IsSummary]],SUM(INDEX(Tasks[_LeafPV],Tasks[[#This Row],[_Row]]+1):INDEX(Tasks[_LeafPV],Tasks[[#This Row],[_Row]]+Tasks[[#This Row],[_Descendants]])),Tasks[[#This Row],[_LeafPV]]))</f>
        <v/>
      </c>
      <c r="BD192" s="70" t="str">
        <f aca="false">IF(Tasks[[#This Row],[Task Name]]="","",IF(Tasks[[#This Row],[_IsSummary]],SUM(INDEX(Tasks[_LeafAC],Tasks[[#This Row],[_Row]]+1):INDEX(Tasks[_LeafAC],Tasks[[#This Row],[_Row]]+Tasks[[#This Row],[_Descendants]])),Tasks[[#This Row],[_LeafAC]]))</f>
        <v/>
      </c>
      <c r="BE192" s="45" t="str">
        <f aca="false">IF(Tasks[[#This Row],[Task Name]]="","",MAX(1,N(Tasks[[#This Row],[Level]])))</f>
        <v/>
      </c>
      <c r="BF192" s="45" t="n">
        <f aca="false">ROW()-ROW(Tasks[[#Headers],[ID]])</f>
        <v>187</v>
      </c>
      <c r="BG192" s="45" t="n">
        <f aca="false">IF(OR(Tasks[[#This Row],[Task Name]]="",Tasks[[#This Row],[_Level]]&lt;=1),0,IFERROR(LOOKUP(2,1/(Tasks[[#Headers],[_Level]]:Tasks[[#This Row],[_Level]]=Tasks[[#This Row],[_Level]]-1),ROW(Tasks[[#Headers],[_Level]]:Tasks[[#This Row],[_Level]])),0))</f>
        <v>0</v>
      </c>
      <c r="BH192" s="45" t="n">
        <f aca="false">IFERROR(N(INDEX(Tasks[_Level],Tasks[[#This Row],[_Row]]+1)),0)</f>
        <v>0</v>
      </c>
      <c r="BI192" s="73" t="b">
        <f aca="false">AND(Tasks[[#This Row],[Task Name]]&lt;&gt;"",Tasks[[#This Row],[_NextLevel]]&gt;Tasks[[#This Row],[_Level]])</f>
        <v>0</v>
      </c>
      <c r="BJ192" s="45" t="n">
        <f aca="false">IF(Tasks[[#This Row],[_IsSummary]],COUNTIF(Tasks[WBS],Tasks[[#This Row],[WBS]]&amp;".*"),0)</f>
        <v>0</v>
      </c>
      <c r="BK192" s="45" t="n">
        <f aca="false">IF(AND(Tasks[[#This Row],[Task Name]]&lt;&gt;"",NOT(Tasks[[#This Row],[_IsSummary]])),1,0)</f>
        <v>0</v>
      </c>
      <c r="BL192" s="45" t="n">
        <f aca="false">IF(N(Tasks[[#This Row],[_Pred1UID]])=0,0,IFERROR(MATCH(Tasks[[#This Row],[_Pred1UID]],Tasks[UID],0),-1))</f>
        <v>0</v>
      </c>
      <c r="BM192" s="45" t="n">
        <f aca="false">IF(N(Tasks[[#This Row],[_Pred2UID]])=0,0,IFERROR(MATCH(Tasks[[#This Row],[_Pred2UID]],Tasks[UID],0),-1))</f>
        <v>0</v>
      </c>
      <c r="BN192" s="45" t="n">
        <f aca="false">IF(N(Tasks[[#This Row],[_Pred3UID]])=0,0,IFERROR(MATCH(Tasks[[#This Row],[_Pred3UID]],Tasks[UID],0),-1))</f>
        <v>0</v>
      </c>
      <c r="BO192" s="45" t="n">
        <f aca="false">IF(N(Tasks[[#This Row],[_Pred4UID]])=0,0,IFERROR(MATCH(Tasks[[#This Row],[_Pred4UID]],Tasks[UID],0),-1))</f>
        <v>0</v>
      </c>
      <c r="BP19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9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92" s="74" t="n">
        <f aca="false">IF(OR(Tasks[[#This Row],[_ConstraintCode]]=2,Tasks[[#This Row],[_ConstraintCode]]=3,Tasks[[#This Row],[_ConstraintCode]]=4,Tasks[[#This Row],[_ConstraintCode]]=6),Tasks[[#This Row],[_ConstraintStart]],0)</f>
        <v>0</v>
      </c>
      <c r="BS192" s="74" t="n">
        <f aca="false">IF(OR(Tasks[[#This Row],[_ConstraintCode]]=2,Tasks[[#This Row],[_ConstraintCode]]=3,Tasks[[#This Row],[_ConstraintCode]]=5,Tasks[[#This Row],[_ConstraintCode]]=7),Tasks[[#This Row],[_ConstraintStart]],2958465)</f>
        <v>2958465</v>
      </c>
      <c r="BT19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92" s="74" t="str">
        <f aca="false">IF(NOT(Tasks[[#This Row],[_IsLeaf]]=1),"",IF(N(Tasks[[#This Row],[Duration]])&lt;=0,Tasks[[#This Row],[_LeafCalcStart]],WORKDAY.INTL(Tasks[[#This Row],[_LeafCalcStart]],Tasks[[#This Row],[Duration]]-1,WorkWeek,Holidays)))</f>
        <v/>
      </c>
      <c r="BV19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9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92" s="45" t="str">
        <f aca="false">IF(Tasks[[#This Row],[Predecessors]]="","",TRIM(MID(SUBSTITUTE(SUBSTITUTE(SUBSTITUTE(UPPER(Tasks[[#This Row],[Predecessors]]),";",",")," ",""),",",REPT(" ",99)),1,99)))</f>
        <v/>
      </c>
      <c r="BY192" s="45" t="str">
        <f aca="false">IF(Tasks[[#This Row],[_Pred1Text]]="","",IFERROR(VALUE(LEFT(Tasks[[#This Row],[_Pred1Text]],MIN(FIND("F",Tasks[[#This Row],[_Pred1Text]]&amp;"F"),FIND("S",Tasks[[#This Row],[_Pred1Text]]&amp;"S"),FIND("+",Tasks[[#This Row],[_Pred1Text]]&amp;"+"),FIND("-",Tasks[[#This Row],[_Pred1Text]]&amp;"-"))-1)),""))</f>
        <v/>
      </c>
      <c r="BZ19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9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92" s="45" t="str">
        <f aca="false">IF(Tasks[[#This Row],[_Pred1Text]]="","",TRIM(MID(SUBSTITUTE(SUBSTITUTE(SUBSTITUTE(UPPER(Tasks[[#This Row],[Predecessors]]),";",",")," ",""),",",REPT(" ",99)),100,99)))</f>
        <v/>
      </c>
      <c r="CC192" s="45" t="str">
        <f aca="false">IF(Tasks[[#This Row],[_Pred2Text]]="","",IFERROR(VALUE(LEFT(Tasks[[#This Row],[_Pred2Text]],MIN(FIND("F",Tasks[[#This Row],[_Pred2Text]]&amp;"F"),FIND("S",Tasks[[#This Row],[_Pred2Text]]&amp;"S"),FIND("+",Tasks[[#This Row],[_Pred2Text]]&amp;"+"),FIND("-",Tasks[[#This Row],[_Pred2Text]]&amp;"-"))-1)),""))</f>
        <v/>
      </c>
      <c r="CD19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9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92" s="45" t="str">
        <f aca="false">IF(Tasks[[#This Row],[_Pred2Text]]="","",TRIM(MID(SUBSTITUTE(SUBSTITUTE(SUBSTITUTE(UPPER(Tasks[[#This Row],[Predecessors]]),";",",")," ",""),",",REPT(" ",99)),199,99)))</f>
        <v/>
      </c>
      <c r="CG192" s="45" t="str">
        <f aca="false">IF(Tasks[[#This Row],[_Pred3Text]]="","",IFERROR(VALUE(LEFT(Tasks[[#This Row],[_Pred3Text]],MIN(FIND("F",Tasks[[#This Row],[_Pred3Text]]&amp;"F"),FIND("S",Tasks[[#This Row],[_Pred3Text]]&amp;"S"),FIND("+",Tasks[[#This Row],[_Pred3Text]]&amp;"+"),FIND("-",Tasks[[#This Row],[_Pred3Text]]&amp;"-"))-1)),""))</f>
        <v/>
      </c>
      <c r="CH19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9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92" s="45" t="str">
        <f aca="false">IF(Tasks[[#This Row],[_Pred3Text]]="","",TRIM(MID(SUBSTITUTE(SUBSTITUTE(SUBSTITUTE(UPPER(Tasks[[#This Row],[Predecessors]]),";",",")," ",""),",",REPT(" ",99)),298,99)))</f>
        <v/>
      </c>
      <c r="CK192" s="45" t="str">
        <f aca="false">IF(Tasks[[#This Row],[_Pred4Text]]="","",IFERROR(VALUE(LEFT(Tasks[[#This Row],[_Pred4Text]],MIN(FIND("F",Tasks[[#This Row],[_Pred4Text]]&amp;"F"),FIND("S",Tasks[[#This Row],[_Pred4Text]]&amp;"S"),FIND("+",Tasks[[#This Row],[_Pred4Text]]&amp;"+"),FIND("-",Tasks[[#This Row],[_Pred4Text]]&amp;"-"))-1)),""))</f>
        <v/>
      </c>
      <c r="CL19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9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92" s="45" t="str">
        <f aca="false">IF(OR(Tasks[[#This Row],[Task Name]]="",Tasks[[#This Row],[Resources]]=""),"",TRIM(MID(SUBSTITUTE(Tasks[[#This Row],[Resources]],",",REPT(" ",99)),1,99)))</f>
        <v/>
      </c>
      <c r="CO192" s="45" t="str">
        <f aca="false">IF(Tasks[[#This Row],[_Res1Text]]="","",TRIM(MID(SUBSTITUTE(Tasks[[#This Row],[Resources]],",",REPT(" ",99)),100,99)))</f>
        <v/>
      </c>
      <c r="CP192" s="45" t="str">
        <f aca="false">IF(Tasks[[#This Row],[_Res2Text]]="","",TRIM(MID(SUBSTITUTE(Tasks[[#This Row],[Resources]],",",REPT(" ",99)),199,99)))</f>
        <v/>
      </c>
      <c r="CQ192" s="45" t="str">
        <f aca="false">IF(Tasks[[#This Row],[_Res3Text]]="","",TRIM(MID(SUBSTITUTE(Tasks[[#This Row],[Resources]],",",REPT(" ",99)),298,99)))</f>
        <v/>
      </c>
      <c r="CR19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9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2" s="45" t="n">
        <f aca="false">IF(NOT(Tasks[[#This Row],[_IsLeaf]]=1),0,(Tasks[[#This Row],[_Resource1]]&lt;&gt;"")+(Tasks[[#This Row],[_Res2]]&lt;&gt;"")+(Tasks[[#This Row],[_Res3]]&lt;&gt;"")+(Tasks[[#This Row],[_Res4]]&lt;&gt;""))</f>
        <v>0</v>
      </c>
      <c r="CU19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9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2" s="45" t="n">
        <f aca="false">IF(OR(NOT(Tasks[[#This Row],[_IsLeaf]]=1),Tasks[[#This Row],[_Res2]]=""),0,IF(ISNA(MATCH(Tasks[[#This Row],[_Res2]],res_Name,0)),0,N(Tasks[[#This Row],[Duration]])*HoursPerDay*IF(Tasks[[#This Row],[_Res2Units]]="",DefaultUnits,Tasks[[#This Row],[_Res2Units]])))</f>
        <v>0</v>
      </c>
      <c r="CX192" s="45" t="n">
        <f aca="false">IF(Tasks[[#This Row],[_Res2Work]]=0,0,Tasks[[#This Row],[_Res2Work]]*IFERROR(INDEX(res_Rate,MATCH(Tasks[[#This Row],[_Res2]],res_Name,0)),0))</f>
        <v>0</v>
      </c>
      <c r="CY192" s="45" t="n">
        <f aca="false">IF(AND(AND(Tasks[[#This Row],[_IsLeaf]]=1,Tasks[[#This Row],[_LeafTotalWork]]&gt;0),Tasks[[#This Row],[_Res2Work]]&gt;0),Tasks[[#This Row],[_Res2Work]]/(Tasks[[#This Row],[_FinishWorkday]]-Tasks[[#This Row],[_StartWorkday]]+1),0)</f>
        <v>0</v>
      </c>
      <c r="CZ192" s="45" t="n">
        <f aca="false">Tasks[[#This Row],[_Res2WorkPerWD]]*MAX(0,Tasks[[#This Row],[_StartWorkday]]-1)</f>
        <v>0</v>
      </c>
      <c r="DA192" s="45" t="n">
        <f aca="false">Tasks[[#This Row],[_Res2Work]]*Tasks[[#This Row],[_LeafProgress]]</f>
        <v>0</v>
      </c>
      <c r="DB192" s="45" t="n">
        <f aca="false">IF(Tasks[[#This Row],[_LeafTotalCost]]=0,0,Tasks[[#This Row],[_LeafAC]]*Tasks[[#This Row],[_Res2Cost]]/Tasks[[#This Row],[_LeafTotalCost]])</f>
        <v>0</v>
      </c>
      <c r="DC19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9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92" s="45" t="n">
        <f aca="false">IF(OR(NOT(Tasks[[#This Row],[_IsLeaf]]=1),Tasks[[#This Row],[_Res3]]=""),0,IF(ISNA(MATCH(Tasks[[#This Row],[_Res3]],res_Name,0)),0,N(Tasks[[#This Row],[Duration]])*HoursPerDay*IF(Tasks[[#This Row],[_Res3Units]]="",DefaultUnits,Tasks[[#This Row],[_Res3Units]])))</f>
        <v>0</v>
      </c>
      <c r="DF192" s="45" t="n">
        <f aca="false">IF(Tasks[[#This Row],[_Res3Work]]=0,0,Tasks[[#This Row],[_Res3Work]]*IFERROR(INDEX(res_Rate,MATCH(Tasks[[#This Row],[_Res3]],res_Name,0)),0))</f>
        <v>0</v>
      </c>
      <c r="DG192" s="45" t="n">
        <f aca="false">IF(AND(AND(Tasks[[#This Row],[_IsLeaf]]=1,Tasks[[#This Row],[_LeafTotalWork]]&gt;0),Tasks[[#This Row],[_Res3Work]]&gt;0),Tasks[[#This Row],[_Res3Work]]/(Tasks[[#This Row],[_FinishWorkday]]-Tasks[[#This Row],[_StartWorkday]]+1),0)</f>
        <v>0</v>
      </c>
      <c r="DH192" s="45" t="n">
        <f aca="false">Tasks[[#This Row],[_Res3WorkPerWD]]*MAX(0,Tasks[[#This Row],[_StartWorkday]]-1)</f>
        <v>0</v>
      </c>
      <c r="DI192" s="45" t="n">
        <f aca="false">Tasks[[#This Row],[_Res3Work]]*Tasks[[#This Row],[_LeafProgress]]</f>
        <v>0</v>
      </c>
      <c r="DJ192" s="45" t="n">
        <f aca="false">IF(Tasks[[#This Row],[_LeafTotalCost]]=0,0,Tasks[[#This Row],[_LeafAC]]*Tasks[[#This Row],[_Res3Cost]]/Tasks[[#This Row],[_LeafTotalCost]])</f>
        <v>0</v>
      </c>
      <c r="DK19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9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92" s="45" t="n">
        <f aca="false">IF(OR(NOT(Tasks[[#This Row],[_IsLeaf]]=1),Tasks[[#This Row],[_Res4]]=""),0,IF(ISNA(MATCH(Tasks[[#This Row],[_Res4]],res_Name,0)),0,N(Tasks[[#This Row],[Duration]])*HoursPerDay*IF(Tasks[[#This Row],[_Res4Units]]="",DefaultUnits,Tasks[[#This Row],[_Res4Units]])))</f>
        <v>0</v>
      </c>
      <c r="DN192" s="45" t="n">
        <f aca="false">IF(Tasks[[#This Row],[_Res4Work]]=0,0,Tasks[[#This Row],[_Res4Work]]*IFERROR(INDEX(res_Rate,MATCH(Tasks[[#This Row],[_Res4]],res_Name,0)),0))</f>
        <v>0</v>
      </c>
      <c r="DO192" s="45" t="n">
        <f aca="false">IF(AND(AND(Tasks[[#This Row],[_IsLeaf]]=1,Tasks[[#This Row],[_LeafTotalWork]]&gt;0),Tasks[[#This Row],[_Res4Work]]&gt;0),Tasks[[#This Row],[_Res4Work]]/(Tasks[[#This Row],[_FinishWorkday]]-Tasks[[#This Row],[_StartWorkday]]+1),0)</f>
        <v>0</v>
      </c>
      <c r="DP192" s="45" t="n">
        <f aca="false">Tasks[[#This Row],[_Res4WorkPerWD]]*MAX(0,Tasks[[#This Row],[_StartWorkday]]-1)</f>
        <v>0</v>
      </c>
      <c r="DQ192" s="45" t="n">
        <f aca="false">Tasks[[#This Row],[_Res4Work]]*Tasks[[#This Row],[_LeafProgress]]</f>
        <v>0</v>
      </c>
      <c r="DR192" s="45" t="n">
        <f aca="false">IF(Tasks[[#This Row],[_LeafTotalCost]]=0,0,Tasks[[#This Row],[_LeafAC]]*Tasks[[#This Row],[_Res4Cost]]/Tasks[[#This Row],[_LeafTotalCost]])</f>
        <v>0</v>
      </c>
      <c r="DS192" s="45" t="n">
        <f aca="false">IF(ISNUMBER(Tasks[[#This Row],[% Complete]]),Tasks[[#This Row],[% Complete]],IF(Tasks[[#This Row],[Stage]]="",0,IFERROR(INDEX(stg_Pct,MATCH(Tasks[[#This Row],[Stage]],stg_Name,0)),0)))</f>
        <v>0</v>
      </c>
      <c r="DT192" s="45" t="n">
        <f aca="false">IF(NOT(Tasks[[#This Row],[_IsLeaf]]=1),0,IF(N(Tasks[[#This Row],[Actual Finish]])&gt;0,1,MIN(1,Tasks[[#This Row],[_Pct]])))</f>
        <v>0</v>
      </c>
      <c r="DU192" s="45" t="n">
        <f aca="false">IF(OR(NOT(Tasks[[#This Row],[_IsLeaf]]=1),Tasks[[#This Row],[_Resource1]]=""),0,IF(ISNA(MATCH(Tasks[[#This Row],[_Resource1]],res_Name,0)),0,N(Tasks[[#This Row],[Duration]])*HoursPerDay*IF(Tasks[[#This Row],[_Units1]]="",DefaultUnits,Tasks[[#This Row],[_Units1]])))</f>
        <v>0</v>
      </c>
      <c r="DV192" s="45" t="n">
        <f aca="false">IF(Tasks[[#This Row],[_LeafWork]]=0,0,Tasks[[#This Row],[_LeafWork]]*IFERROR(INDEX(res_Rate,MATCH(Tasks[[#This Row],[_Resource1]],res_Name,0)),0))</f>
        <v>0</v>
      </c>
      <c r="DW192" s="45" t="n">
        <f aca="false">Tasks[[#This Row],[_LeafWork]]+Tasks[[#This Row],[_Res2Work]]+Tasks[[#This Row],[_Res3Work]]+Tasks[[#This Row],[_Res4Work]]</f>
        <v>0</v>
      </c>
      <c r="DX192" s="45" t="n">
        <f aca="false">Tasks[[#This Row],[_LeafCost]]+Tasks[[#This Row],[_Res2Cost]]+Tasks[[#This Row],[_Res3Cost]]+Tasks[[#This Row],[_Res4Cost]]</f>
        <v>0</v>
      </c>
      <c r="DY192" s="45" t="n">
        <f aca="false">IF(Tasks[[#This Row],[_LeafTotalCost]]=0,Tasks[[#This Row],[_LeafAC]],Tasks[[#This Row],[_LeafAC]]*Tasks[[#This Row],[_LeafCost]]/Tasks[[#This Row],[_LeafTotalCost]])</f>
        <v>0</v>
      </c>
      <c r="DZ19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9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9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9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9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9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9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9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92" s="45" t="n">
        <f aca="false">IF(NOT(Tasks[[#This Row],[_IsLeaf]]=1),0,MAX(_xlfn.MAXIFS(Tasks[_Row],Tasks[_Pred1UID],Tasks[[#This Row],[UID]]),_xlfn.MAXIFS(Tasks[_Row],Tasks[_Pred2UID],Tasks[[#This Row],[UID]]),_xlfn.MAXIFS(Tasks[_Row],Tasks[_Pred3UID],Tasks[[#This Row],[UID]]),_xlfn.MAXIFS(Tasks[_Row],Tasks[_Pred4UID],Tasks[[#This Row],[UID]])))</f>
        <v>0</v>
      </c>
      <c r="EI19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9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92" s="74" t="str">
        <f aca="false">IF(NOT(Tasks[[#This Row],[_IsLeaf]]=1),"",IF(N(Tasks[[#This Row],[Duration]])&lt;=0,Tasks[[#This Row],[_LeafLateFinish]],WORKDAY.INTL(Tasks[[#This Row],[_LeafLateFinish]],-(Tasks[[#This Row],[Duration]]-1),WorkWeek,Holidays)))</f>
        <v/>
      </c>
      <c r="EL19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92" s="73" t="b">
        <f aca="false">AND(Tasks[[#This Row],[_IsLeaf]]=1,Tasks[[#This Row],[_LeafProgress]]&lt;1,N(Tasks[[#This Row],[_LeafTotalSlack]])&lt;=CriticalSlackDays)</f>
        <v>0</v>
      </c>
      <c r="EN192" s="45" t="n">
        <f aca="false">IF(AND(Tasks[[#This Row],[_IsLeaf]]=1,Tasks[[#This Row],[_ConstraintCode]]=1,Tasks[[#This Row],[Mode]]&lt;&gt;"Manual",N(Tasks[[#This Row],[Actual Start]])=0),MAX(0,N(Tasks[[#This Row],[Free Slack]])),0)</f>
        <v>0</v>
      </c>
      <c r="EO192" s="74" t="str">
        <f aca="false">IF(NOT(Tasks[[#This Row],[_IsLeaf]]=1),"",IF(Tasks[[#This Row],[_AlapShift]]=0,Tasks[[#This Row],[_LeafCalcStart]],WORKDAY.INTL(Tasks[[#This Row],[_LeafCalcStart]],Tasks[[#This Row],[_AlapShift]],WorkWeek,Holidays)))</f>
        <v/>
      </c>
      <c r="EP192" s="74" t="str">
        <f aca="false">IF(NOT(Tasks[[#This Row],[_IsLeaf]]=1),"",IF(Tasks[[#This Row],[_AlapShift]]=0,Tasks[[#This Row],[_LeafCalcFinish]],WORKDAY.INTL(Tasks[[#This Row],[_LeafCalcFinish]],Tasks[[#This Row],[_AlapShift]],WorkWeek,Holidays)))</f>
        <v/>
      </c>
      <c r="EQ192" s="74" t="str">
        <f aca="false">IF(NOT(Tasks[[#This Row],[_IsLeaf]]=1),"",IF(Tasks[[#This Row],[_AlapShift]]=0,Tasks[[#This Row],[_LeafFcstStart]],WORKDAY.INTL(Tasks[[#This Row],[_LeafFcstStart]],Tasks[[#This Row],[_AlapShift]],WorkWeek,Holidays)))</f>
        <v/>
      </c>
      <c r="ER192" s="74" t="str">
        <f aca="false">IF(NOT(Tasks[[#This Row],[_IsLeaf]]=1),"",IF(Tasks[[#This Row],[_AlapShift]]=0,Tasks[[#This Row],[_LeafFcstFinish]],WORKDAY.INTL(Tasks[[#This Row],[_LeafFcstFinish]],Tasks[[#This Row],[_AlapShift]],WorkWeek,Holidays)))</f>
        <v/>
      </c>
      <c r="ES192" s="74" t="str">
        <f aca="false">IF(Tasks[[#This Row],[Task Name]]="","",IF(Tasks[[#This Row],[_IsSummary]],MIN(INDEX(Tasks[_ShownCalcStart],Tasks[[#This Row],[_Row]]+1):INDEX(Tasks[_ShownCalcStart],Tasks[[#This Row],[_Row]]+Tasks[[#This Row],[_Descendants]])),Tasks[[#This Row],[_ShownCalcStart]]))</f>
        <v/>
      </c>
      <c r="ET192" s="74" t="str">
        <f aca="false">IF(Tasks[[#This Row],[Task Name]]="","",IF(Tasks[[#This Row],[_IsSummary]],MAX(INDEX(Tasks[_ShownCalcFinish],Tasks[[#This Row],[_Row]]+1):INDEX(Tasks[_ShownCalcFinish],Tasks[[#This Row],[_Row]]+Tasks[[#This Row],[_Descendants]])),Tasks[[#This Row],[_ShownCalcFinish]]))</f>
        <v/>
      </c>
      <c r="EU19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9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9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9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9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9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9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9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9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9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9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9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92" s="45" t="n">
        <f aca="false">IF(AND(Tasks[[#This Row],[_IsLeaf]]=1,Tasks[[#This Row],[_LeafTotalWork]]&gt;0),NETWORKDAYS.INTL(ProjectStart,Tasks[[#This Row],[_ShownFcstStart]],WorkWeek,Holidays),0)</f>
        <v>0</v>
      </c>
      <c r="FH192" s="45" t="n">
        <f aca="false">IF(AND(Tasks[[#This Row],[_IsLeaf]]=1,Tasks[[#This Row],[_LeafTotalWork]]&gt;0),MAX(Tasks[[#This Row],[_StartWorkday]],NETWORKDAYS.INTL(ProjectStart,Tasks[[#This Row],[_ShownFcstFinish]],WorkWeek,Holidays)),0)</f>
        <v>0</v>
      </c>
      <c r="FI192" s="45" t="n">
        <f aca="false">IF(AND(Tasks[[#This Row],[_IsLeaf]]=1,Tasks[[#This Row],[_LeafTotalWork]]&gt;0),Tasks[[#This Row],[_LeafWork]]/(Tasks[[#This Row],[_FinishWorkday]]-Tasks[[#This Row],[_StartWorkday]]+1),0)</f>
        <v>0</v>
      </c>
      <c r="FJ192" s="45" t="n">
        <f aca="false">Tasks[[#This Row],[_WorkPerWorkday]]*(Tasks[[#This Row],[_StartWorkday]]-1)</f>
        <v>-0</v>
      </c>
      <c r="FK192" s="45" t="n">
        <f aca="false">IF(Tasks[[#This Row],[_IsLeaf]]=1,MAX(N(Tasks[[#This Row],[Duration]]),0.1),0)</f>
        <v>0</v>
      </c>
      <c r="FL192" s="45" t="n">
        <f aca="false">Tasks[[#This Row],[_WeightDur]]*Tasks[[#This Row],[_LeafProgress]]</f>
        <v>0</v>
      </c>
      <c r="FM19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92" s="45" t="str">
        <f aca="false">IF(AND(Tasks[[#This Row],[_IsLeaf]]=1,N(Tasks[[#This Row],[Duration]])=0,Tasks[[#This Row],[_LeafProgress]]&lt;1),Tasks[[#This Row],[_ShownFcstFinish]]+Tasks[[#This Row],[_Row]]/100000,"")</f>
        <v/>
      </c>
      <c r="FO19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92" s="45" t="n">
        <f aca="false">IF(NOT(Tasks[[#This Row],[_IsLeaf]]=1),0,IF(Tasks[[#This Row],[Baseline Cost]]="",Tasks[[#This Row],[_LeafTotalCost]],N(Tasks[[#This Row],[Baseline Cost]])))</f>
        <v>0</v>
      </c>
      <c r="FQ192" s="45" t="n">
        <f aca="false">Tasks[[#This Row],[_LeafBudget]]*Tasks[[#This Row],[_PlannedPct]]</f>
        <v>0</v>
      </c>
      <c r="FR192" s="45" t="n">
        <f aca="false">Tasks[[#This Row],[_LeafBudget]]*Tasks[[#This Row],[_LeafProgress]]</f>
        <v>0</v>
      </c>
      <c r="FS192" s="45" t="n">
        <f aca="false">IF(NOT(Tasks[[#This Row],[_IsLeaf]]=1),0,IF(Tasks[[#This Row],[Actual Cost]]="",Tasks[[#This Row],[_LeafTotalCost]]*Tasks[[#This Row],[_LeafProgress]],N(Tasks[[#This Row],[Actual Cost]])))</f>
        <v>0</v>
      </c>
      <c r="FT192" s="45" t="str">
        <f aca="false">IF(Tasks[[#This Row],[Task Name]]="","",LEFT(Tasks[[#This Row],[WBS]],FIND(".",Tasks[[#This Row],[WBS]]&amp;".")-1))</f>
        <v/>
      </c>
      <c r="FU192" s="45" t="str">
        <f aca="false">IF(AND(Tasks[[#This Row],[Task Name]]&lt;&gt;"",Tasks[[#This Row],[_Level]]=1),Tasks[[#This Row],[_Row]],"")</f>
        <v/>
      </c>
      <c r="FV192" s="45" t="str">
        <f aca="false">IF(AND(Tasks[[#This Row],[_IsLeaf]]=1,N(Tasks[[#This Row],[Duration]])=0),Tasks[[#This Row],[Planned Finish]]+Tasks[[#This Row],[_Row]]/100000,"")</f>
        <v/>
      </c>
      <c r="FW192" s="45" t="str">
        <f aca="false">IF(AND(Tasks[[#This Row],[_IsLeaf]]=1,Tasks[[#This Row],[_LeafProgress]]&lt;1,OR(N(Tasks[[#This Row],[Finish Var]])&gt;0,Tasks[[#This Row],[Status]]="Late Start")),MAX(0,Tasks[[#This Row],[Finish Var]])+1-Tasks[[#This Row],[_Row]]/1000000,"")</f>
        <v/>
      </c>
      <c r="FX192" s="45" t="str">
        <f aca="false">IF(AND(Tasks[[#This Row],[_IsLeaf]]=1,N(Tasks[[#This Row],[Actual Start]])=0,Tasks[[#This Row],[_ShownFcstStart]]&gt;=StatusDate,Tasks[[#This Row],[_ShownFcstStart]]&lt;=LookaheadEnd),Tasks[[#This Row],[_ShownFcstStart]]+Tasks[[#This Row],[_Row]]/100000,"")</f>
        <v/>
      </c>
      <c r="FY192" s="45" t="str">
        <f aca="false">IF(AND(Tasks[[#This Row],[_IsLeaf]]=1,Tasks[[#This Row],[_LeafProgress]]&lt;1,Tasks[[#This Row],[_ShownFcstFinish]]&gt;=StatusDate,Tasks[[#This Row],[_ShownFcstFinish]]&lt;=LookaheadEnd),Tasks[[#This Row],[_ShownFcstFinish]]+Tasks[[#This Row],[_Row]]/100000,"")</f>
        <v/>
      </c>
      <c r="FZ192" s="45" t="str">
        <f aca="false">IF(Tasks[[#This Row],[_LeafCritical]],Tasks[[#This Row],[_ShownFcstStart]]+Tasks[[#This Row],[_Row]]/100000,"")</f>
        <v/>
      </c>
      <c r="GA192" s="45" t="n">
        <f aca="false">Tasks[[#This Row],[_LeafWork]]*Tasks[[#This Row],[_LeafProgress]]</f>
        <v>0</v>
      </c>
      <c r="GB192" s="74" t="str">
        <f aca="false">IF(AND(Tasks[[#This Row],[_IsLeaf]]=1,Tasks[[#This Row],[_LeafProgress]]&gt;=1),IF(N(Tasks[[#This Row],[Actual Finish]])&gt;0,Tasks[[#This Row],[Actual Finish]],Tasks[[#This Row],[_ShownFcstFinish]]),"")</f>
        <v/>
      </c>
    </row>
    <row r="193" customFormat="false" ht="15" hidden="false" customHeight="false" outlineLevel="0" collapsed="false">
      <c r="A193" s="67" t="str">
        <f aca="false">IF(Tasks[[#This Row],[Task Name]]="","",COUNTA(Tasks[[#Headers],[Task Name]]:Tasks[[#This Row],[Task Name]])-1)</f>
        <v/>
      </c>
      <c r="B193" s="21" t="n">
        <v>188</v>
      </c>
      <c r="C19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21"/>
      <c r="E193" s="22"/>
      <c r="F193" s="21"/>
      <c r="G193" s="22"/>
      <c r="H193" s="22"/>
      <c r="I193" s="22"/>
      <c r="J193" s="7"/>
      <c r="K193" s="7"/>
      <c r="L193" s="22"/>
      <c r="M193" s="58" t="str">
        <f aca="false">IF(Tasks[[#This Row],[Task Name]]="","",IF(Tasks[[#This Row],[_IsSummary]],MIN(INDEX(Tasks[_ShownFcstStart],Tasks[[#This Row],[_Row]]+1):INDEX(Tasks[_ShownFcstStart],Tasks[[#This Row],[_Row]]+Tasks[[#This Row],[_Descendants]])),Tasks[[#This Row],[_ShownFcstStart]]))</f>
        <v/>
      </c>
      <c r="N193" s="58" t="str">
        <f aca="false">IF(Tasks[[#This Row],[Task Name]]="","",IF(Tasks[[#This Row],[_IsSummary]],MAX(INDEX(Tasks[_ShownFcstFinish],Tasks[[#This Row],[_Row]]+1):INDEX(Tasks[_ShownFcstFinish],Tasks[[#This Row],[_Row]]+Tasks[[#This Row],[_Descendants]])),Tasks[[#This Row],[_ShownFcstFinish]]))</f>
        <v/>
      </c>
      <c r="O193" s="20" t="str">
        <f aca="false">IF(Tasks[[#This Row],[Task Name]]="","",IF(Tasks[[#This Row],[Progress]]&gt;=1,"Complete",IF(OR(N(Tasks[[#This Row],[Actual Start]])&gt;0,Tasks[[#This Row],[Progress]]&gt;0),IF(Tasks[[#This Row],[Finish Var]]&gt;0,"Behind","In Progress"),IF(Tasks[[#This Row],[Planned Start]]&lt;StatusDate,"Late Start","Not Started"))))</f>
        <v/>
      </c>
      <c r="P193" s="20" t="str">
        <f aca="false">IF(Tasks[[#This Row],[Task Name]]="","",IF(IF(Tasks[[#This Row],[_IsSummary]],COUNTIF(INDEX(Tasks[_LeafCritical],Tasks[[#This Row],[_Row]]+1):INDEX(Tasks[_LeafCritical],Tasks[[#This Row],[_Row]]+Tasks[[#This Row],[_Descendants]]),TRUE())&gt;0,Tasks[[#This Row],[_LeafCritical]]),"Yes",""))</f>
        <v/>
      </c>
      <c r="Q19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93" s="67" t="str">
        <f aca="false">IF(Tasks[[#This Row],[Task Name]]="","",IF(Tasks[[#This Row],[_Level]]&lt;=OutlineShowLevel,"Yes","No"))</f>
        <v/>
      </c>
      <c r="S193" s="7"/>
      <c r="T193" s="21"/>
      <c r="U193" s="22"/>
      <c r="V193" s="7"/>
      <c r="W193" s="67" t="str">
        <f aca="false">IF(Tasks[[#This Row],[Task Name]]="","",IF(Tasks[[#This Row],[Finish]]&gt;=Tasks[[#This Row],[Planned Finish]],NETWORKDAYS.INTL(Tasks[[#This Row],[Planned Finish]],Tasks[[#This Row],[Finish]],WorkWeek,Holidays)-1,1-NETWORKDAYS.INTL(Tasks[[#This Row],[Finish]],Tasks[[#This Row],[Planned Finish]],WorkWeek,Holidays)))</f>
        <v/>
      </c>
      <c r="X193" s="58" t="str">
        <f aca="false">IF(Tasks[[#This Row],[Task Name]]="","",IF(N(Tasks[[#This Row],[Baseline Start]])&gt;0,Tasks[[#This Row],[Baseline Start]],Tasks[[#This Row],[_CalcStart]]))</f>
        <v/>
      </c>
      <c r="Y193" s="58" t="str">
        <f aca="false">IF(Tasks[[#This Row],[Task Name]]="","",IF(N(Tasks[[#This Row],[Baseline Finish]])&gt;0,Tasks[[#This Row],[Baseline Finish]],Tasks[[#This Row],[_CalcFinish]]))</f>
        <v/>
      </c>
      <c r="Z193" s="67" t="str">
        <f aca="false">IF(Tasks[[#This Row],[Task Name]]="","",IF(Tasks[[#This Row],[Start]]&gt;=Tasks[[#This Row],[Planned Start]],NETWORKDAYS.INTL(Tasks[[#This Row],[Planned Start]],Tasks[[#This Row],[Start]],WorkWeek,Holidays)-1,1-NETWORKDAYS.INTL(Tasks[[#This Row],[Start]],Tasks[[#This Row],[Planned Start]],WorkWeek,Holidays)))</f>
        <v/>
      </c>
      <c r="AA193" s="58" t="str">
        <f aca="false">IF(Tasks[[#This Row],[Task Name]]="","",IF(Tasks[[#This Row],[_IsSummary]],MIN(INDEX(Tasks[_LeafLateStart],Tasks[[#This Row],[_Row]]+1):INDEX(Tasks[_LeafLateStart],Tasks[[#This Row],[_Row]]+Tasks[[#This Row],[_Descendants]])),Tasks[[#This Row],[_LeafLateStart]]))</f>
        <v/>
      </c>
      <c r="AB193" s="58" t="str">
        <f aca="false">IF(Tasks[[#This Row],[Task Name]]="","",IF(Tasks[[#This Row],[_IsSummary]],MAX(INDEX(Tasks[_LeafLateFinish],Tasks[[#This Row],[_Row]]+1):INDEX(Tasks[_LeafLateFinish],Tasks[[#This Row],[_Row]]+Tasks[[#This Row],[_Descendants]])),Tasks[[#This Row],[_LeafLateFinish]]))</f>
        <v/>
      </c>
      <c r="AC193" s="67" t="str">
        <f aca="false">IF(Tasks[[#This Row],[Task Name]]="","",IF(Tasks[[#This Row],[_IsSummary]],MIN(INDEX(Tasks[_LeafTotalSlack],Tasks[[#This Row],[_Row]]+1):INDEX(Tasks[_LeafTotalSlack],Tasks[[#This Row],[_Row]]+Tasks[[#This Row],[_Descendants]])),Tasks[[#This Row],[_LeafTotalSlack]]))</f>
        <v/>
      </c>
      <c r="AD19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9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9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93" s="60"/>
      <c r="AH19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9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93" s="69" t="str">
        <f aca="false">IF(Tasks[[#This Row],[Task Name]]="","",IF(Tasks[[#This Row],[_IsSummary]],SUM(INDEX(Tasks[_LeafTotalWork],Tasks[[#This Row],[_Row]]+1):INDEX(Tasks[_LeafTotalWork],Tasks[[#This Row],[_Row]]+Tasks[[#This Row],[_Descendants]])),Tasks[[#This Row],[_LeafTotalWork]]))</f>
        <v/>
      </c>
      <c r="AK19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93" s="70" t="str">
        <f aca="false">IF(Tasks[[#This Row],[Task Name]]="","",IF(Tasks[[#This Row],[_IsSummary]],SUM(INDEX(Tasks[_LeafTotalCost],Tasks[[#This Row],[_Row]]+1):INDEX(Tasks[_LeafTotalCost],Tasks[[#This Row],[_Row]]+Tasks[[#This Row],[_Descendants]])),Tasks[[#This Row],[_LeafTotalCost]]))</f>
        <v/>
      </c>
      <c r="AM193" s="71"/>
      <c r="AN193" s="20" t="str">
        <f aca="false">IF(OR(Tasks[[#This Row],[Task Name]]="",Tasks[[#This Row],[Baseline Duration]]=""),"",Tasks[[#This Row],[BL Source Duration]]-N(Tasks[[#This Row],[Baseline Duration]]))</f>
        <v/>
      </c>
      <c r="AO193" s="69" t="str">
        <f aca="false">IF(OR(Tasks[[#This Row],[Task Name]]="",Tasks[[#This Row],[Baseline Work]]=""),"",Tasks[[#This Row],[Work]]-N(Tasks[[#This Row],[Baseline Work]]))</f>
        <v/>
      </c>
      <c r="AP193" s="70" t="str">
        <f aca="false">IF(OR(Tasks[[#This Row],[Task Name]]="",Tasks[[#This Row],[Baseline Cost]]=""),"",Tasks[[#This Row],[Cost]]-N(Tasks[[#This Row],[Baseline Cost]]))</f>
        <v/>
      </c>
      <c r="AQ193" s="58" t="str">
        <f aca="false">IF(Tasks[[#This Row],[Task Name]]="","",Tasks[[#This Row],[Start]])</f>
        <v/>
      </c>
      <c r="AR193" s="58" t="str">
        <f aca="false">IF(Tasks[[#This Row],[Task Name]]="","",Tasks[[#This Row],[Finish]])</f>
        <v/>
      </c>
      <c r="AS193" s="67" t="str">
        <f aca="false">IF(Tasks[[#This Row],[Task Name]]="","",IF(Tasks[[#This Row],[_IsSummary]],NETWORKDAYS.INTL(Tasks[[#This Row],[Start]],Tasks[[#This Row],[Finish]],WorkWeek,Holidays),N(Tasks[[#This Row],[Duration]])))</f>
        <v/>
      </c>
      <c r="AT193" s="69" t="str">
        <f aca="false">IF(Tasks[[#This Row],[Task Name]]="","",Tasks[[#This Row],[Work]])</f>
        <v/>
      </c>
      <c r="AU193" s="70" t="str">
        <f aca="false">IF(Tasks[[#This Row],[Task Name]]="","",Tasks[[#This Row],[Cost]])</f>
        <v/>
      </c>
      <c r="AV193" s="7"/>
      <c r="AW193" s="7"/>
      <c r="AX193" s="21"/>
      <c r="AY193" s="72"/>
      <c r="AZ193" s="71"/>
      <c r="BA193" s="70" t="str">
        <f aca="false">IF(Tasks[[#This Row],[Task Name]]="","",IF(Tasks[[#This Row],[_IsSummary]],SUM(INDEX(Tasks[_LeafEV],Tasks[[#This Row],[_Row]]+1):INDEX(Tasks[_LeafEV],Tasks[[#This Row],[_Row]]+Tasks[[#This Row],[_Descendants]])),Tasks[[#This Row],[_LeafEV]]))</f>
        <v/>
      </c>
      <c r="BB193" s="70" t="str">
        <f aca="false">IF(Tasks[[#This Row],[Task Name]]="","",IF(Tasks[[#This Row],[_IsSummary]],SUM(INDEX(Tasks[_LeafBudget],Tasks[[#This Row],[_Row]]+1):INDEX(Tasks[_LeafBudget],Tasks[[#This Row],[_Row]]+Tasks[[#This Row],[_Descendants]])),Tasks[[#This Row],[_LeafBudget]]))</f>
        <v/>
      </c>
      <c r="BC193" s="70" t="str">
        <f aca="false">IF(Tasks[[#This Row],[Task Name]]="","",IF(Tasks[[#This Row],[_IsSummary]],SUM(INDEX(Tasks[_LeafPV],Tasks[[#This Row],[_Row]]+1):INDEX(Tasks[_LeafPV],Tasks[[#This Row],[_Row]]+Tasks[[#This Row],[_Descendants]])),Tasks[[#This Row],[_LeafPV]]))</f>
        <v/>
      </c>
      <c r="BD193" s="70" t="str">
        <f aca="false">IF(Tasks[[#This Row],[Task Name]]="","",IF(Tasks[[#This Row],[_IsSummary]],SUM(INDEX(Tasks[_LeafAC],Tasks[[#This Row],[_Row]]+1):INDEX(Tasks[_LeafAC],Tasks[[#This Row],[_Row]]+Tasks[[#This Row],[_Descendants]])),Tasks[[#This Row],[_LeafAC]]))</f>
        <v/>
      </c>
      <c r="BE193" s="45" t="str">
        <f aca="false">IF(Tasks[[#This Row],[Task Name]]="","",MAX(1,N(Tasks[[#This Row],[Level]])))</f>
        <v/>
      </c>
      <c r="BF193" s="45" t="n">
        <f aca="false">ROW()-ROW(Tasks[[#Headers],[ID]])</f>
        <v>188</v>
      </c>
      <c r="BG193" s="45" t="n">
        <f aca="false">IF(OR(Tasks[[#This Row],[Task Name]]="",Tasks[[#This Row],[_Level]]&lt;=1),0,IFERROR(LOOKUP(2,1/(Tasks[[#Headers],[_Level]]:Tasks[[#This Row],[_Level]]=Tasks[[#This Row],[_Level]]-1),ROW(Tasks[[#Headers],[_Level]]:Tasks[[#This Row],[_Level]])),0))</f>
        <v>0</v>
      </c>
      <c r="BH193" s="45" t="n">
        <f aca="false">IFERROR(N(INDEX(Tasks[_Level],Tasks[[#This Row],[_Row]]+1)),0)</f>
        <v>0</v>
      </c>
      <c r="BI193" s="73" t="b">
        <f aca="false">AND(Tasks[[#This Row],[Task Name]]&lt;&gt;"",Tasks[[#This Row],[_NextLevel]]&gt;Tasks[[#This Row],[_Level]])</f>
        <v>0</v>
      </c>
      <c r="BJ193" s="45" t="n">
        <f aca="false">IF(Tasks[[#This Row],[_IsSummary]],COUNTIF(Tasks[WBS],Tasks[[#This Row],[WBS]]&amp;".*"),0)</f>
        <v>0</v>
      </c>
      <c r="BK193" s="45" t="n">
        <f aca="false">IF(AND(Tasks[[#This Row],[Task Name]]&lt;&gt;"",NOT(Tasks[[#This Row],[_IsSummary]])),1,0)</f>
        <v>0</v>
      </c>
      <c r="BL193" s="45" t="n">
        <f aca="false">IF(N(Tasks[[#This Row],[_Pred1UID]])=0,0,IFERROR(MATCH(Tasks[[#This Row],[_Pred1UID]],Tasks[UID],0),-1))</f>
        <v>0</v>
      </c>
      <c r="BM193" s="45" t="n">
        <f aca="false">IF(N(Tasks[[#This Row],[_Pred2UID]])=0,0,IFERROR(MATCH(Tasks[[#This Row],[_Pred2UID]],Tasks[UID],0),-1))</f>
        <v>0</v>
      </c>
      <c r="BN193" s="45" t="n">
        <f aca="false">IF(N(Tasks[[#This Row],[_Pred3UID]])=0,0,IFERROR(MATCH(Tasks[[#This Row],[_Pred3UID]],Tasks[UID],0),-1))</f>
        <v>0</v>
      </c>
      <c r="BO193" s="45" t="n">
        <f aca="false">IF(N(Tasks[[#This Row],[_Pred4UID]])=0,0,IFERROR(MATCH(Tasks[[#This Row],[_Pred4UID]],Tasks[UID],0),-1))</f>
        <v>0</v>
      </c>
      <c r="BP19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9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93" s="74" t="n">
        <f aca="false">IF(OR(Tasks[[#This Row],[_ConstraintCode]]=2,Tasks[[#This Row],[_ConstraintCode]]=3,Tasks[[#This Row],[_ConstraintCode]]=4,Tasks[[#This Row],[_ConstraintCode]]=6),Tasks[[#This Row],[_ConstraintStart]],0)</f>
        <v>0</v>
      </c>
      <c r="BS193" s="74" t="n">
        <f aca="false">IF(OR(Tasks[[#This Row],[_ConstraintCode]]=2,Tasks[[#This Row],[_ConstraintCode]]=3,Tasks[[#This Row],[_ConstraintCode]]=5,Tasks[[#This Row],[_ConstraintCode]]=7),Tasks[[#This Row],[_ConstraintStart]],2958465)</f>
        <v>2958465</v>
      </c>
      <c r="BT19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93" s="74" t="str">
        <f aca="false">IF(NOT(Tasks[[#This Row],[_IsLeaf]]=1),"",IF(N(Tasks[[#This Row],[Duration]])&lt;=0,Tasks[[#This Row],[_LeafCalcStart]],WORKDAY.INTL(Tasks[[#This Row],[_LeafCalcStart]],Tasks[[#This Row],[Duration]]-1,WorkWeek,Holidays)))</f>
        <v/>
      </c>
      <c r="BV19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9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93" s="45" t="str">
        <f aca="false">IF(Tasks[[#This Row],[Predecessors]]="","",TRIM(MID(SUBSTITUTE(SUBSTITUTE(SUBSTITUTE(UPPER(Tasks[[#This Row],[Predecessors]]),";",",")," ",""),",",REPT(" ",99)),1,99)))</f>
        <v/>
      </c>
      <c r="BY193" s="45" t="str">
        <f aca="false">IF(Tasks[[#This Row],[_Pred1Text]]="","",IFERROR(VALUE(LEFT(Tasks[[#This Row],[_Pred1Text]],MIN(FIND("F",Tasks[[#This Row],[_Pred1Text]]&amp;"F"),FIND("S",Tasks[[#This Row],[_Pred1Text]]&amp;"S"),FIND("+",Tasks[[#This Row],[_Pred1Text]]&amp;"+"),FIND("-",Tasks[[#This Row],[_Pred1Text]]&amp;"-"))-1)),""))</f>
        <v/>
      </c>
      <c r="BZ19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9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93" s="45" t="str">
        <f aca="false">IF(Tasks[[#This Row],[_Pred1Text]]="","",TRIM(MID(SUBSTITUTE(SUBSTITUTE(SUBSTITUTE(UPPER(Tasks[[#This Row],[Predecessors]]),";",",")," ",""),",",REPT(" ",99)),100,99)))</f>
        <v/>
      </c>
      <c r="CC193" s="45" t="str">
        <f aca="false">IF(Tasks[[#This Row],[_Pred2Text]]="","",IFERROR(VALUE(LEFT(Tasks[[#This Row],[_Pred2Text]],MIN(FIND("F",Tasks[[#This Row],[_Pred2Text]]&amp;"F"),FIND("S",Tasks[[#This Row],[_Pred2Text]]&amp;"S"),FIND("+",Tasks[[#This Row],[_Pred2Text]]&amp;"+"),FIND("-",Tasks[[#This Row],[_Pred2Text]]&amp;"-"))-1)),""))</f>
        <v/>
      </c>
      <c r="CD19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9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93" s="45" t="str">
        <f aca="false">IF(Tasks[[#This Row],[_Pred2Text]]="","",TRIM(MID(SUBSTITUTE(SUBSTITUTE(SUBSTITUTE(UPPER(Tasks[[#This Row],[Predecessors]]),";",",")," ",""),",",REPT(" ",99)),199,99)))</f>
        <v/>
      </c>
      <c r="CG193" s="45" t="str">
        <f aca="false">IF(Tasks[[#This Row],[_Pred3Text]]="","",IFERROR(VALUE(LEFT(Tasks[[#This Row],[_Pred3Text]],MIN(FIND("F",Tasks[[#This Row],[_Pred3Text]]&amp;"F"),FIND("S",Tasks[[#This Row],[_Pred3Text]]&amp;"S"),FIND("+",Tasks[[#This Row],[_Pred3Text]]&amp;"+"),FIND("-",Tasks[[#This Row],[_Pred3Text]]&amp;"-"))-1)),""))</f>
        <v/>
      </c>
      <c r="CH19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9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93" s="45" t="str">
        <f aca="false">IF(Tasks[[#This Row],[_Pred3Text]]="","",TRIM(MID(SUBSTITUTE(SUBSTITUTE(SUBSTITUTE(UPPER(Tasks[[#This Row],[Predecessors]]),";",",")," ",""),",",REPT(" ",99)),298,99)))</f>
        <v/>
      </c>
      <c r="CK193" s="45" t="str">
        <f aca="false">IF(Tasks[[#This Row],[_Pred4Text]]="","",IFERROR(VALUE(LEFT(Tasks[[#This Row],[_Pred4Text]],MIN(FIND("F",Tasks[[#This Row],[_Pred4Text]]&amp;"F"),FIND("S",Tasks[[#This Row],[_Pred4Text]]&amp;"S"),FIND("+",Tasks[[#This Row],[_Pred4Text]]&amp;"+"),FIND("-",Tasks[[#This Row],[_Pred4Text]]&amp;"-"))-1)),""))</f>
        <v/>
      </c>
      <c r="CL19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9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93" s="45" t="str">
        <f aca="false">IF(OR(Tasks[[#This Row],[Task Name]]="",Tasks[[#This Row],[Resources]]=""),"",TRIM(MID(SUBSTITUTE(Tasks[[#This Row],[Resources]],",",REPT(" ",99)),1,99)))</f>
        <v/>
      </c>
      <c r="CO193" s="45" t="str">
        <f aca="false">IF(Tasks[[#This Row],[_Res1Text]]="","",TRIM(MID(SUBSTITUTE(Tasks[[#This Row],[Resources]],",",REPT(" ",99)),100,99)))</f>
        <v/>
      </c>
      <c r="CP193" s="45" t="str">
        <f aca="false">IF(Tasks[[#This Row],[_Res2Text]]="","",TRIM(MID(SUBSTITUTE(Tasks[[#This Row],[Resources]],",",REPT(" ",99)),199,99)))</f>
        <v/>
      </c>
      <c r="CQ193" s="45" t="str">
        <f aca="false">IF(Tasks[[#This Row],[_Res3Text]]="","",TRIM(MID(SUBSTITUTE(Tasks[[#This Row],[Resources]],",",REPT(" ",99)),298,99)))</f>
        <v/>
      </c>
      <c r="CR19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9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3" s="45" t="n">
        <f aca="false">IF(NOT(Tasks[[#This Row],[_IsLeaf]]=1),0,(Tasks[[#This Row],[_Resource1]]&lt;&gt;"")+(Tasks[[#This Row],[_Res2]]&lt;&gt;"")+(Tasks[[#This Row],[_Res3]]&lt;&gt;"")+(Tasks[[#This Row],[_Res4]]&lt;&gt;""))</f>
        <v>0</v>
      </c>
      <c r="CU19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9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3" s="45" t="n">
        <f aca="false">IF(OR(NOT(Tasks[[#This Row],[_IsLeaf]]=1),Tasks[[#This Row],[_Res2]]=""),0,IF(ISNA(MATCH(Tasks[[#This Row],[_Res2]],res_Name,0)),0,N(Tasks[[#This Row],[Duration]])*HoursPerDay*IF(Tasks[[#This Row],[_Res2Units]]="",DefaultUnits,Tasks[[#This Row],[_Res2Units]])))</f>
        <v>0</v>
      </c>
      <c r="CX193" s="45" t="n">
        <f aca="false">IF(Tasks[[#This Row],[_Res2Work]]=0,0,Tasks[[#This Row],[_Res2Work]]*IFERROR(INDEX(res_Rate,MATCH(Tasks[[#This Row],[_Res2]],res_Name,0)),0))</f>
        <v>0</v>
      </c>
      <c r="CY193" s="45" t="n">
        <f aca="false">IF(AND(AND(Tasks[[#This Row],[_IsLeaf]]=1,Tasks[[#This Row],[_LeafTotalWork]]&gt;0),Tasks[[#This Row],[_Res2Work]]&gt;0),Tasks[[#This Row],[_Res2Work]]/(Tasks[[#This Row],[_FinishWorkday]]-Tasks[[#This Row],[_StartWorkday]]+1),0)</f>
        <v>0</v>
      </c>
      <c r="CZ193" s="45" t="n">
        <f aca="false">Tasks[[#This Row],[_Res2WorkPerWD]]*MAX(0,Tasks[[#This Row],[_StartWorkday]]-1)</f>
        <v>0</v>
      </c>
      <c r="DA193" s="45" t="n">
        <f aca="false">Tasks[[#This Row],[_Res2Work]]*Tasks[[#This Row],[_LeafProgress]]</f>
        <v>0</v>
      </c>
      <c r="DB193" s="45" t="n">
        <f aca="false">IF(Tasks[[#This Row],[_LeafTotalCost]]=0,0,Tasks[[#This Row],[_LeafAC]]*Tasks[[#This Row],[_Res2Cost]]/Tasks[[#This Row],[_LeafTotalCost]])</f>
        <v>0</v>
      </c>
      <c r="DC19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9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93" s="45" t="n">
        <f aca="false">IF(OR(NOT(Tasks[[#This Row],[_IsLeaf]]=1),Tasks[[#This Row],[_Res3]]=""),0,IF(ISNA(MATCH(Tasks[[#This Row],[_Res3]],res_Name,0)),0,N(Tasks[[#This Row],[Duration]])*HoursPerDay*IF(Tasks[[#This Row],[_Res3Units]]="",DefaultUnits,Tasks[[#This Row],[_Res3Units]])))</f>
        <v>0</v>
      </c>
      <c r="DF193" s="45" t="n">
        <f aca="false">IF(Tasks[[#This Row],[_Res3Work]]=0,0,Tasks[[#This Row],[_Res3Work]]*IFERROR(INDEX(res_Rate,MATCH(Tasks[[#This Row],[_Res3]],res_Name,0)),0))</f>
        <v>0</v>
      </c>
      <c r="DG193" s="45" t="n">
        <f aca="false">IF(AND(AND(Tasks[[#This Row],[_IsLeaf]]=1,Tasks[[#This Row],[_LeafTotalWork]]&gt;0),Tasks[[#This Row],[_Res3Work]]&gt;0),Tasks[[#This Row],[_Res3Work]]/(Tasks[[#This Row],[_FinishWorkday]]-Tasks[[#This Row],[_StartWorkday]]+1),0)</f>
        <v>0</v>
      </c>
      <c r="DH193" s="45" t="n">
        <f aca="false">Tasks[[#This Row],[_Res3WorkPerWD]]*MAX(0,Tasks[[#This Row],[_StartWorkday]]-1)</f>
        <v>0</v>
      </c>
      <c r="DI193" s="45" t="n">
        <f aca="false">Tasks[[#This Row],[_Res3Work]]*Tasks[[#This Row],[_LeafProgress]]</f>
        <v>0</v>
      </c>
      <c r="DJ193" s="45" t="n">
        <f aca="false">IF(Tasks[[#This Row],[_LeafTotalCost]]=0,0,Tasks[[#This Row],[_LeafAC]]*Tasks[[#This Row],[_Res3Cost]]/Tasks[[#This Row],[_LeafTotalCost]])</f>
        <v>0</v>
      </c>
      <c r="DK19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9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93" s="45" t="n">
        <f aca="false">IF(OR(NOT(Tasks[[#This Row],[_IsLeaf]]=1),Tasks[[#This Row],[_Res4]]=""),0,IF(ISNA(MATCH(Tasks[[#This Row],[_Res4]],res_Name,0)),0,N(Tasks[[#This Row],[Duration]])*HoursPerDay*IF(Tasks[[#This Row],[_Res4Units]]="",DefaultUnits,Tasks[[#This Row],[_Res4Units]])))</f>
        <v>0</v>
      </c>
      <c r="DN193" s="45" t="n">
        <f aca="false">IF(Tasks[[#This Row],[_Res4Work]]=0,0,Tasks[[#This Row],[_Res4Work]]*IFERROR(INDEX(res_Rate,MATCH(Tasks[[#This Row],[_Res4]],res_Name,0)),0))</f>
        <v>0</v>
      </c>
      <c r="DO193" s="45" t="n">
        <f aca="false">IF(AND(AND(Tasks[[#This Row],[_IsLeaf]]=1,Tasks[[#This Row],[_LeafTotalWork]]&gt;0),Tasks[[#This Row],[_Res4Work]]&gt;0),Tasks[[#This Row],[_Res4Work]]/(Tasks[[#This Row],[_FinishWorkday]]-Tasks[[#This Row],[_StartWorkday]]+1),0)</f>
        <v>0</v>
      </c>
      <c r="DP193" s="45" t="n">
        <f aca="false">Tasks[[#This Row],[_Res4WorkPerWD]]*MAX(0,Tasks[[#This Row],[_StartWorkday]]-1)</f>
        <v>0</v>
      </c>
      <c r="DQ193" s="45" t="n">
        <f aca="false">Tasks[[#This Row],[_Res4Work]]*Tasks[[#This Row],[_LeafProgress]]</f>
        <v>0</v>
      </c>
      <c r="DR193" s="45" t="n">
        <f aca="false">IF(Tasks[[#This Row],[_LeafTotalCost]]=0,0,Tasks[[#This Row],[_LeafAC]]*Tasks[[#This Row],[_Res4Cost]]/Tasks[[#This Row],[_LeafTotalCost]])</f>
        <v>0</v>
      </c>
      <c r="DS193" s="45" t="n">
        <f aca="false">IF(ISNUMBER(Tasks[[#This Row],[% Complete]]),Tasks[[#This Row],[% Complete]],IF(Tasks[[#This Row],[Stage]]="",0,IFERROR(INDEX(stg_Pct,MATCH(Tasks[[#This Row],[Stage]],stg_Name,0)),0)))</f>
        <v>0</v>
      </c>
      <c r="DT193" s="45" t="n">
        <f aca="false">IF(NOT(Tasks[[#This Row],[_IsLeaf]]=1),0,IF(N(Tasks[[#This Row],[Actual Finish]])&gt;0,1,MIN(1,Tasks[[#This Row],[_Pct]])))</f>
        <v>0</v>
      </c>
      <c r="DU193" s="45" t="n">
        <f aca="false">IF(OR(NOT(Tasks[[#This Row],[_IsLeaf]]=1),Tasks[[#This Row],[_Resource1]]=""),0,IF(ISNA(MATCH(Tasks[[#This Row],[_Resource1]],res_Name,0)),0,N(Tasks[[#This Row],[Duration]])*HoursPerDay*IF(Tasks[[#This Row],[_Units1]]="",DefaultUnits,Tasks[[#This Row],[_Units1]])))</f>
        <v>0</v>
      </c>
      <c r="DV193" s="45" t="n">
        <f aca="false">IF(Tasks[[#This Row],[_LeafWork]]=0,0,Tasks[[#This Row],[_LeafWork]]*IFERROR(INDEX(res_Rate,MATCH(Tasks[[#This Row],[_Resource1]],res_Name,0)),0))</f>
        <v>0</v>
      </c>
      <c r="DW193" s="45" t="n">
        <f aca="false">Tasks[[#This Row],[_LeafWork]]+Tasks[[#This Row],[_Res2Work]]+Tasks[[#This Row],[_Res3Work]]+Tasks[[#This Row],[_Res4Work]]</f>
        <v>0</v>
      </c>
      <c r="DX193" s="45" t="n">
        <f aca="false">Tasks[[#This Row],[_LeafCost]]+Tasks[[#This Row],[_Res2Cost]]+Tasks[[#This Row],[_Res3Cost]]+Tasks[[#This Row],[_Res4Cost]]</f>
        <v>0</v>
      </c>
      <c r="DY193" s="45" t="n">
        <f aca="false">IF(Tasks[[#This Row],[_LeafTotalCost]]=0,Tasks[[#This Row],[_LeafAC]],Tasks[[#This Row],[_LeafAC]]*Tasks[[#This Row],[_LeafCost]]/Tasks[[#This Row],[_LeafTotalCost]])</f>
        <v>0</v>
      </c>
      <c r="DZ19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9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9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9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9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9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9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9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93" s="45" t="n">
        <f aca="false">IF(NOT(Tasks[[#This Row],[_IsLeaf]]=1),0,MAX(_xlfn.MAXIFS(Tasks[_Row],Tasks[_Pred1UID],Tasks[[#This Row],[UID]]),_xlfn.MAXIFS(Tasks[_Row],Tasks[_Pred2UID],Tasks[[#This Row],[UID]]),_xlfn.MAXIFS(Tasks[_Row],Tasks[_Pred3UID],Tasks[[#This Row],[UID]]),_xlfn.MAXIFS(Tasks[_Row],Tasks[_Pred4UID],Tasks[[#This Row],[UID]])))</f>
        <v>0</v>
      </c>
      <c r="EI19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9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93" s="74" t="str">
        <f aca="false">IF(NOT(Tasks[[#This Row],[_IsLeaf]]=1),"",IF(N(Tasks[[#This Row],[Duration]])&lt;=0,Tasks[[#This Row],[_LeafLateFinish]],WORKDAY.INTL(Tasks[[#This Row],[_LeafLateFinish]],-(Tasks[[#This Row],[Duration]]-1),WorkWeek,Holidays)))</f>
        <v/>
      </c>
      <c r="EL19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93" s="73" t="b">
        <f aca="false">AND(Tasks[[#This Row],[_IsLeaf]]=1,Tasks[[#This Row],[_LeafProgress]]&lt;1,N(Tasks[[#This Row],[_LeafTotalSlack]])&lt;=CriticalSlackDays)</f>
        <v>0</v>
      </c>
      <c r="EN193" s="45" t="n">
        <f aca="false">IF(AND(Tasks[[#This Row],[_IsLeaf]]=1,Tasks[[#This Row],[_ConstraintCode]]=1,Tasks[[#This Row],[Mode]]&lt;&gt;"Manual",N(Tasks[[#This Row],[Actual Start]])=0),MAX(0,N(Tasks[[#This Row],[Free Slack]])),0)</f>
        <v>0</v>
      </c>
      <c r="EO193" s="74" t="str">
        <f aca="false">IF(NOT(Tasks[[#This Row],[_IsLeaf]]=1),"",IF(Tasks[[#This Row],[_AlapShift]]=0,Tasks[[#This Row],[_LeafCalcStart]],WORKDAY.INTL(Tasks[[#This Row],[_LeafCalcStart]],Tasks[[#This Row],[_AlapShift]],WorkWeek,Holidays)))</f>
        <v/>
      </c>
      <c r="EP193" s="74" t="str">
        <f aca="false">IF(NOT(Tasks[[#This Row],[_IsLeaf]]=1),"",IF(Tasks[[#This Row],[_AlapShift]]=0,Tasks[[#This Row],[_LeafCalcFinish]],WORKDAY.INTL(Tasks[[#This Row],[_LeafCalcFinish]],Tasks[[#This Row],[_AlapShift]],WorkWeek,Holidays)))</f>
        <v/>
      </c>
      <c r="EQ193" s="74" t="str">
        <f aca="false">IF(NOT(Tasks[[#This Row],[_IsLeaf]]=1),"",IF(Tasks[[#This Row],[_AlapShift]]=0,Tasks[[#This Row],[_LeafFcstStart]],WORKDAY.INTL(Tasks[[#This Row],[_LeafFcstStart]],Tasks[[#This Row],[_AlapShift]],WorkWeek,Holidays)))</f>
        <v/>
      </c>
      <c r="ER193" s="74" t="str">
        <f aca="false">IF(NOT(Tasks[[#This Row],[_IsLeaf]]=1),"",IF(Tasks[[#This Row],[_AlapShift]]=0,Tasks[[#This Row],[_LeafFcstFinish]],WORKDAY.INTL(Tasks[[#This Row],[_LeafFcstFinish]],Tasks[[#This Row],[_AlapShift]],WorkWeek,Holidays)))</f>
        <v/>
      </c>
      <c r="ES193" s="74" t="str">
        <f aca="false">IF(Tasks[[#This Row],[Task Name]]="","",IF(Tasks[[#This Row],[_IsSummary]],MIN(INDEX(Tasks[_ShownCalcStart],Tasks[[#This Row],[_Row]]+1):INDEX(Tasks[_ShownCalcStart],Tasks[[#This Row],[_Row]]+Tasks[[#This Row],[_Descendants]])),Tasks[[#This Row],[_ShownCalcStart]]))</f>
        <v/>
      </c>
      <c r="ET193" s="74" t="str">
        <f aca="false">IF(Tasks[[#This Row],[Task Name]]="","",IF(Tasks[[#This Row],[_IsSummary]],MAX(INDEX(Tasks[_ShownCalcFinish],Tasks[[#This Row],[_Row]]+1):INDEX(Tasks[_ShownCalcFinish],Tasks[[#This Row],[_Row]]+Tasks[[#This Row],[_Descendants]])),Tasks[[#This Row],[_ShownCalcFinish]]))</f>
        <v/>
      </c>
      <c r="EU19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9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9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9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9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9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9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9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9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9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9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9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93" s="45" t="n">
        <f aca="false">IF(AND(Tasks[[#This Row],[_IsLeaf]]=1,Tasks[[#This Row],[_LeafTotalWork]]&gt;0),NETWORKDAYS.INTL(ProjectStart,Tasks[[#This Row],[_ShownFcstStart]],WorkWeek,Holidays),0)</f>
        <v>0</v>
      </c>
      <c r="FH193" s="45" t="n">
        <f aca="false">IF(AND(Tasks[[#This Row],[_IsLeaf]]=1,Tasks[[#This Row],[_LeafTotalWork]]&gt;0),MAX(Tasks[[#This Row],[_StartWorkday]],NETWORKDAYS.INTL(ProjectStart,Tasks[[#This Row],[_ShownFcstFinish]],WorkWeek,Holidays)),0)</f>
        <v>0</v>
      </c>
      <c r="FI193" s="45" t="n">
        <f aca="false">IF(AND(Tasks[[#This Row],[_IsLeaf]]=1,Tasks[[#This Row],[_LeafTotalWork]]&gt;0),Tasks[[#This Row],[_LeafWork]]/(Tasks[[#This Row],[_FinishWorkday]]-Tasks[[#This Row],[_StartWorkday]]+1),0)</f>
        <v>0</v>
      </c>
      <c r="FJ193" s="45" t="n">
        <f aca="false">Tasks[[#This Row],[_WorkPerWorkday]]*(Tasks[[#This Row],[_StartWorkday]]-1)</f>
        <v>-0</v>
      </c>
      <c r="FK193" s="45" t="n">
        <f aca="false">IF(Tasks[[#This Row],[_IsLeaf]]=1,MAX(N(Tasks[[#This Row],[Duration]]),0.1),0)</f>
        <v>0</v>
      </c>
      <c r="FL193" s="45" t="n">
        <f aca="false">Tasks[[#This Row],[_WeightDur]]*Tasks[[#This Row],[_LeafProgress]]</f>
        <v>0</v>
      </c>
      <c r="FM19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93" s="45" t="str">
        <f aca="false">IF(AND(Tasks[[#This Row],[_IsLeaf]]=1,N(Tasks[[#This Row],[Duration]])=0,Tasks[[#This Row],[_LeafProgress]]&lt;1),Tasks[[#This Row],[_ShownFcstFinish]]+Tasks[[#This Row],[_Row]]/100000,"")</f>
        <v/>
      </c>
      <c r="FO19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93" s="45" t="n">
        <f aca="false">IF(NOT(Tasks[[#This Row],[_IsLeaf]]=1),0,IF(Tasks[[#This Row],[Baseline Cost]]="",Tasks[[#This Row],[_LeafTotalCost]],N(Tasks[[#This Row],[Baseline Cost]])))</f>
        <v>0</v>
      </c>
      <c r="FQ193" s="45" t="n">
        <f aca="false">Tasks[[#This Row],[_LeafBudget]]*Tasks[[#This Row],[_PlannedPct]]</f>
        <v>0</v>
      </c>
      <c r="FR193" s="45" t="n">
        <f aca="false">Tasks[[#This Row],[_LeafBudget]]*Tasks[[#This Row],[_LeafProgress]]</f>
        <v>0</v>
      </c>
      <c r="FS193" s="45" t="n">
        <f aca="false">IF(NOT(Tasks[[#This Row],[_IsLeaf]]=1),0,IF(Tasks[[#This Row],[Actual Cost]]="",Tasks[[#This Row],[_LeafTotalCost]]*Tasks[[#This Row],[_LeafProgress]],N(Tasks[[#This Row],[Actual Cost]])))</f>
        <v>0</v>
      </c>
      <c r="FT193" s="45" t="str">
        <f aca="false">IF(Tasks[[#This Row],[Task Name]]="","",LEFT(Tasks[[#This Row],[WBS]],FIND(".",Tasks[[#This Row],[WBS]]&amp;".")-1))</f>
        <v/>
      </c>
      <c r="FU193" s="45" t="str">
        <f aca="false">IF(AND(Tasks[[#This Row],[Task Name]]&lt;&gt;"",Tasks[[#This Row],[_Level]]=1),Tasks[[#This Row],[_Row]],"")</f>
        <v/>
      </c>
      <c r="FV193" s="45" t="str">
        <f aca="false">IF(AND(Tasks[[#This Row],[_IsLeaf]]=1,N(Tasks[[#This Row],[Duration]])=0),Tasks[[#This Row],[Planned Finish]]+Tasks[[#This Row],[_Row]]/100000,"")</f>
        <v/>
      </c>
      <c r="FW193" s="45" t="str">
        <f aca="false">IF(AND(Tasks[[#This Row],[_IsLeaf]]=1,Tasks[[#This Row],[_LeafProgress]]&lt;1,OR(N(Tasks[[#This Row],[Finish Var]])&gt;0,Tasks[[#This Row],[Status]]="Late Start")),MAX(0,Tasks[[#This Row],[Finish Var]])+1-Tasks[[#This Row],[_Row]]/1000000,"")</f>
        <v/>
      </c>
      <c r="FX193" s="45" t="str">
        <f aca="false">IF(AND(Tasks[[#This Row],[_IsLeaf]]=1,N(Tasks[[#This Row],[Actual Start]])=0,Tasks[[#This Row],[_ShownFcstStart]]&gt;=StatusDate,Tasks[[#This Row],[_ShownFcstStart]]&lt;=LookaheadEnd),Tasks[[#This Row],[_ShownFcstStart]]+Tasks[[#This Row],[_Row]]/100000,"")</f>
        <v/>
      </c>
      <c r="FY193" s="45" t="str">
        <f aca="false">IF(AND(Tasks[[#This Row],[_IsLeaf]]=1,Tasks[[#This Row],[_LeafProgress]]&lt;1,Tasks[[#This Row],[_ShownFcstFinish]]&gt;=StatusDate,Tasks[[#This Row],[_ShownFcstFinish]]&lt;=LookaheadEnd),Tasks[[#This Row],[_ShownFcstFinish]]+Tasks[[#This Row],[_Row]]/100000,"")</f>
        <v/>
      </c>
      <c r="FZ193" s="45" t="str">
        <f aca="false">IF(Tasks[[#This Row],[_LeafCritical]],Tasks[[#This Row],[_ShownFcstStart]]+Tasks[[#This Row],[_Row]]/100000,"")</f>
        <v/>
      </c>
      <c r="GA193" s="45" t="n">
        <f aca="false">Tasks[[#This Row],[_LeafWork]]*Tasks[[#This Row],[_LeafProgress]]</f>
        <v>0</v>
      </c>
      <c r="GB193" s="74" t="str">
        <f aca="false">IF(AND(Tasks[[#This Row],[_IsLeaf]]=1,Tasks[[#This Row],[_LeafProgress]]&gt;=1),IF(N(Tasks[[#This Row],[Actual Finish]])&gt;0,Tasks[[#This Row],[Actual Finish]],Tasks[[#This Row],[_ShownFcstFinish]]),"")</f>
        <v/>
      </c>
    </row>
    <row r="194" customFormat="false" ht="15" hidden="false" customHeight="false" outlineLevel="0" collapsed="false">
      <c r="A194" s="67" t="str">
        <f aca="false">IF(Tasks[[#This Row],[Task Name]]="","",COUNTA(Tasks[[#Headers],[Task Name]]:Tasks[[#This Row],[Task Name]])-1)</f>
        <v/>
      </c>
      <c r="B194" s="21" t="n">
        <v>189</v>
      </c>
      <c r="C19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21"/>
      <c r="E194" s="22"/>
      <c r="F194" s="21"/>
      <c r="G194" s="22"/>
      <c r="H194" s="22"/>
      <c r="I194" s="22"/>
      <c r="J194" s="7"/>
      <c r="K194" s="7"/>
      <c r="L194" s="22"/>
      <c r="M194" s="58" t="str">
        <f aca="false">IF(Tasks[[#This Row],[Task Name]]="","",IF(Tasks[[#This Row],[_IsSummary]],MIN(INDEX(Tasks[_ShownFcstStart],Tasks[[#This Row],[_Row]]+1):INDEX(Tasks[_ShownFcstStart],Tasks[[#This Row],[_Row]]+Tasks[[#This Row],[_Descendants]])),Tasks[[#This Row],[_ShownFcstStart]]))</f>
        <v/>
      </c>
      <c r="N194" s="58" t="str">
        <f aca="false">IF(Tasks[[#This Row],[Task Name]]="","",IF(Tasks[[#This Row],[_IsSummary]],MAX(INDEX(Tasks[_ShownFcstFinish],Tasks[[#This Row],[_Row]]+1):INDEX(Tasks[_ShownFcstFinish],Tasks[[#This Row],[_Row]]+Tasks[[#This Row],[_Descendants]])),Tasks[[#This Row],[_ShownFcstFinish]]))</f>
        <v/>
      </c>
      <c r="O194" s="20" t="str">
        <f aca="false">IF(Tasks[[#This Row],[Task Name]]="","",IF(Tasks[[#This Row],[Progress]]&gt;=1,"Complete",IF(OR(N(Tasks[[#This Row],[Actual Start]])&gt;0,Tasks[[#This Row],[Progress]]&gt;0),IF(Tasks[[#This Row],[Finish Var]]&gt;0,"Behind","In Progress"),IF(Tasks[[#This Row],[Planned Start]]&lt;StatusDate,"Late Start","Not Started"))))</f>
        <v/>
      </c>
      <c r="P194" s="20" t="str">
        <f aca="false">IF(Tasks[[#This Row],[Task Name]]="","",IF(IF(Tasks[[#This Row],[_IsSummary]],COUNTIF(INDEX(Tasks[_LeafCritical],Tasks[[#This Row],[_Row]]+1):INDEX(Tasks[_LeafCritical],Tasks[[#This Row],[_Row]]+Tasks[[#This Row],[_Descendants]]),TRUE())&gt;0,Tasks[[#This Row],[_LeafCritical]]),"Yes",""))</f>
        <v/>
      </c>
      <c r="Q19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94" s="67" t="str">
        <f aca="false">IF(Tasks[[#This Row],[Task Name]]="","",IF(Tasks[[#This Row],[_Level]]&lt;=OutlineShowLevel,"Yes","No"))</f>
        <v/>
      </c>
      <c r="S194" s="7"/>
      <c r="T194" s="21"/>
      <c r="U194" s="22"/>
      <c r="V194" s="7"/>
      <c r="W194" s="67" t="str">
        <f aca="false">IF(Tasks[[#This Row],[Task Name]]="","",IF(Tasks[[#This Row],[Finish]]&gt;=Tasks[[#This Row],[Planned Finish]],NETWORKDAYS.INTL(Tasks[[#This Row],[Planned Finish]],Tasks[[#This Row],[Finish]],WorkWeek,Holidays)-1,1-NETWORKDAYS.INTL(Tasks[[#This Row],[Finish]],Tasks[[#This Row],[Planned Finish]],WorkWeek,Holidays)))</f>
        <v/>
      </c>
      <c r="X194" s="58" t="str">
        <f aca="false">IF(Tasks[[#This Row],[Task Name]]="","",IF(N(Tasks[[#This Row],[Baseline Start]])&gt;0,Tasks[[#This Row],[Baseline Start]],Tasks[[#This Row],[_CalcStart]]))</f>
        <v/>
      </c>
      <c r="Y194" s="58" t="str">
        <f aca="false">IF(Tasks[[#This Row],[Task Name]]="","",IF(N(Tasks[[#This Row],[Baseline Finish]])&gt;0,Tasks[[#This Row],[Baseline Finish]],Tasks[[#This Row],[_CalcFinish]]))</f>
        <v/>
      </c>
      <c r="Z194" s="67" t="str">
        <f aca="false">IF(Tasks[[#This Row],[Task Name]]="","",IF(Tasks[[#This Row],[Start]]&gt;=Tasks[[#This Row],[Planned Start]],NETWORKDAYS.INTL(Tasks[[#This Row],[Planned Start]],Tasks[[#This Row],[Start]],WorkWeek,Holidays)-1,1-NETWORKDAYS.INTL(Tasks[[#This Row],[Start]],Tasks[[#This Row],[Planned Start]],WorkWeek,Holidays)))</f>
        <v/>
      </c>
      <c r="AA194" s="58" t="str">
        <f aca="false">IF(Tasks[[#This Row],[Task Name]]="","",IF(Tasks[[#This Row],[_IsSummary]],MIN(INDEX(Tasks[_LeafLateStart],Tasks[[#This Row],[_Row]]+1):INDEX(Tasks[_LeafLateStart],Tasks[[#This Row],[_Row]]+Tasks[[#This Row],[_Descendants]])),Tasks[[#This Row],[_LeafLateStart]]))</f>
        <v/>
      </c>
      <c r="AB194" s="58" t="str">
        <f aca="false">IF(Tasks[[#This Row],[Task Name]]="","",IF(Tasks[[#This Row],[_IsSummary]],MAX(INDEX(Tasks[_LeafLateFinish],Tasks[[#This Row],[_Row]]+1):INDEX(Tasks[_LeafLateFinish],Tasks[[#This Row],[_Row]]+Tasks[[#This Row],[_Descendants]])),Tasks[[#This Row],[_LeafLateFinish]]))</f>
        <v/>
      </c>
      <c r="AC194" s="67" t="str">
        <f aca="false">IF(Tasks[[#This Row],[Task Name]]="","",IF(Tasks[[#This Row],[_IsSummary]],MIN(INDEX(Tasks[_LeafTotalSlack],Tasks[[#This Row],[_Row]]+1):INDEX(Tasks[_LeafTotalSlack],Tasks[[#This Row],[_Row]]+Tasks[[#This Row],[_Descendants]])),Tasks[[#This Row],[_LeafTotalSlack]]))</f>
        <v/>
      </c>
      <c r="AD19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9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9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94" s="60"/>
      <c r="AH19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9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94" s="69" t="str">
        <f aca="false">IF(Tasks[[#This Row],[Task Name]]="","",IF(Tasks[[#This Row],[_IsSummary]],SUM(INDEX(Tasks[_LeafTotalWork],Tasks[[#This Row],[_Row]]+1):INDEX(Tasks[_LeafTotalWork],Tasks[[#This Row],[_Row]]+Tasks[[#This Row],[_Descendants]])),Tasks[[#This Row],[_LeafTotalWork]]))</f>
        <v/>
      </c>
      <c r="AK19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94" s="70" t="str">
        <f aca="false">IF(Tasks[[#This Row],[Task Name]]="","",IF(Tasks[[#This Row],[_IsSummary]],SUM(INDEX(Tasks[_LeafTotalCost],Tasks[[#This Row],[_Row]]+1):INDEX(Tasks[_LeafTotalCost],Tasks[[#This Row],[_Row]]+Tasks[[#This Row],[_Descendants]])),Tasks[[#This Row],[_LeafTotalCost]]))</f>
        <v/>
      </c>
      <c r="AM194" s="71"/>
      <c r="AN194" s="20" t="str">
        <f aca="false">IF(OR(Tasks[[#This Row],[Task Name]]="",Tasks[[#This Row],[Baseline Duration]]=""),"",Tasks[[#This Row],[BL Source Duration]]-N(Tasks[[#This Row],[Baseline Duration]]))</f>
        <v/>
      </c>
      <c r="AO194" s="69" t="str">
        <f aca="false">IF(OR(Tasks[[#This Row],[Task Name]]="",Tasks[[#This Row],[Baseline Work]]=""),"",Tasks[[#This Row],[Work]]-N(Tasks[[#This Row],[Baseline Work]]))</f>
        <v/>
      </c>
      <c r="AP194" s="70" t="str">
        <f aca="false">IF(OR(Tasks[[#This Row],[Task Name]]="",Tasks[[#This Row],[Baseline Cost]]=""),"",Tasks[[#This Row],[Cost]]-N(Tasks[[#This Row],[Baseline Cost]]))</f>
        <v/>
      </c>
      <c r="AQ194" s="58" t="str">
        <f aca="false">IF(Tasks[[#This Row],[Task Name]]="","",Tasks[[#This Row],[Start]])</f>
        <v/>
      </c>
      <c r="AR194" s="58" t="str">
        <f aca="false">IF(Tasks[[#This Row],[Task Name]]="","",Tasks[[#This Row],[Finish]])</f>
        <v/>
      </c>
      <c r="AS194" s="67" t="str">
        <f aca="false">IF(Tasks[[#This Row],[Task Name]]="","",IF(Tasks[[#This Row],[_IsSummary]],NETWORKDAYS.INTL(Tasks[[#This Row],[Start]],Tasks[[#This Row],[Finish]],WorkWeek,Holidays),N(Tasks[[#This Row],[Duration]])))</f>
        <v/>
      </c>
      <c r="AT194" s="69" t="str">
        <f aca="false">IF(Tasks[[#This Row],[Task Name]]="","",Tasks[[#This Row],[Work]])</f>
        <v/>
      </c>
      <c r="AU194" s="70" t="str">
        <f aca="false">IF(Tasks[[#This Row],[Task Name]]="","",Tasks[[#This Row],[Cost]])</f>
        <v/>
      </c>
      <c r="AV194" s="7"/>
      <c r="AW194" s="7"/>
      <c r="AX194" s="21"/>
      <c r="AY194" s="72"/>
      <c r="AZ194" s="71"/>
      <c r="BA194" s="70" t="str">
        <f aca="false">IF(Tasks[[#This Row],[Task Name]]="","",IF(Tasks[[#This Row],[_IsSummary]],SUM(INDEX(Tasks[_LeafEV],Tasks[[#This Row],[_Row]]+1):INDEX(Tasks[_LeafEV],Tasks[[#This Row],[_Row]]+Tasks[[#This Row],[_Descendants]])),Tasks[[#This Row],[_LeafEV]]))</f>
        <v/>
      </c>
      <c r="BB194" s="70" t="str">
        <f aca="false">IF(Tasks[[#This Row],[Task Name]]="","",IF(Tasks[[#This Row],[_IsSummary]],SUM(INDEX(Tasks[_LeafBudget],Tasks[[#This Row],[_Row]]+1):INDEX(Tasks[_LeafBudget],Tasks[[#This Row],[_Row]]+Tasks[[#This Row],[_Descendants]])),Tasks[[#This Row],[_LeafBudget]]))</f>
        <v/>
      </c>
      <c r="BC194" s="70" t="str">
        <f aca="false">IF(Tasks[[#This Row],[Task Name]]="","",IF(Tasks[[#This Row],[_IsSummary]],SUM(INDEX(Tasks[_LeafPV],Tasks[[#This Row],[_Row]]+1):INDEX(Tasks[_LeafPV],Tasks[[#This Row],[_Row]]+Tasks[[#This Row],[_Descendants]])),Tasks[[#This Row],[_LeafPV]]))</f>
        <v/>
      </c>
      <c r="BD194" s="70" t="str">
        <f aca="false">IF(Tasks[[#This Row],[Task Name]]="","",IF(Tasks[[#This Row],[_IsSummary]],SUM(INDEX(Tasks[_LeafAC],Tasks[[#This Row],[_Row]]+1):INDEX(Tasks[_LeafAC],Tasks[[#This Row],[_Row]]+Tasks[[#This Row],[_Descendants]])),Tasks[[#This Row],[_LeafAC]]))</f>
        <v/>
      </c>
      <c r="BE194" s="45" t="str">
        <f aca="false">IF(Tasks[[#This Row],[Task Name]]="","",MAX(1,N(Tasks[[#This Row],[Level]])))</f>
        <v/>
      </c>
      <c r="BF194" s="45" t="n">
        <f aca="false">ROW()-ROW(Tasks[[#Headers],[ID]])</f>
        <v>189</v>
      </c>
      <c r="BG194" s="45" t="n">
        <f aca="false">IF(OR(Tasks[[#This Row],[Task Name]]="",Tasks[[#This Row],[_Level]]&lt;=1),0,IFERROR(LOOKUP(2,1/(Tasks[[#Headers],[_Level]]:Tasks[[#This Row],[_Level]]=Tasks[[#This Row],[_Level]]-1),ROW(Tasks[[#Headers],[_Level]]:Tasks[[#This Row],[_Level]])),0))</f>
        <v>0</v>
      </c>
      <c r="BH194" s="45" t="n">
        <f aca="false">IFERROR(N(INDEX(Tasks[_Level],Tasks[[#This Row],[_Row]]+1)),0)</f>
        <v>0</v>
      </c>
      <c r="BI194" s="73" t="b">
        <f aca="false">AND(Tasks[[#This Row],[Task Name]]&lt;&gt;"",Tasks[[#This Row],[_NextLevel]]&gt;Tasks[[#This Row],[_Level]])</f>
        <v>0</v>
      </c>
      <c r="BJ194" s="45" t="n">
        <f aca="false">IF(Tasks[[#This Row],[_IsSummary]],COUNTIF(Tasks[WBS],Tasks[[#This Row],[WBS]]&amp;".*"),0)</f>
        <v>0</v>
      </c>
      <c r="BK194" s="45" t="n">
        <f aca="false">IF(AND(Tasks[[#This Row],[Task Name]]&lt;&gt;"",NOT(Tasks[[#This Row],[_IsSummary]])),1,0)</f>
        <v>0</v>
      </c>
      <c r="BL194" s="45" t="n">
        <f aca="false">IF(N(Tasks[[#This Row],[_Pred1UID]])=0,0,IFERROR(MATCH(Tasks[[#This Row],[_Pred1UID]],Tasks[UID],0),-1))</f>
        <v>0</v>
      </c>
      <c r="BM194" s="45" t="n">
        <f aca="false">IF(N(Tasks[[#This Row],[_Pred2UID]])=0,0,IFERROR(MATCH(Tasks[[#This Row],[_Pred2UID]],Tasks[UID],0),-1))</f>
        <v>0</v>
      </c>
      <c r="BN194" s="45" t="n">
        <f aca="false">IF(N(Tasks[[#This Row],[_Pred3UID]])=0,0,IFERROR(MATCH(Tasks[[#This Row],[_Pred3UID]],Tasks[UID],0),-1))</f>
        <v>0</v>
      </c>
      <c r="BO194" s="45" t="n">
        <f aca="false">IF(N(Tasks[[#This Row],[_Pred4UID]])=0,0,IFERROR(MATCH(Tasks[[#This Row],[_Pred4UID]],Tasks[UID],0),-1))</f>
        <v>0</v>
      </c>
      <c r="BP19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9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94" s="74" t="n">
        <f aca="false">IF(OR(Tasks[[#This Row],[_ConstraintCode]]=2,Tasks[[#This Row],[_ConstraintCode]]=3,Tasks[[#This Row],[_ConstraintCode]]=4,Tasks[[#This Row],[_ConstraintCode]]=6),Tasks[[#This Row],[_ConstraintStart]],0)</f>
        <v>0</v>
      </c>
      <c r="BS194" s="74" t="n">
        <f aca="false">IF(OR(Tasks[[#This Row],[_ConstraintCode]]=2,Tasks[[#This Row],[_ConstraintCode]]=3,Tasks[[#This Row],[_ConstraintCode]]=5,Tasks[[#This Row],[_ConstraintCode]]=7),Tasks[[#This Row],[_ConstraintStart]],2958465)</f>
        <v>2958465</v>
      </c>
      <c r="BT19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94" s="74" t="str">
        <f aca="false">IF(NOT(Tasks[[#This Row],[_IsLeaf]]=1),"",IF(N(Tasks[[#This Row],[Duration]])&lt;=0,Tasks[[#This Row],[_LeafCalcStart]],WORKDAY.INTL(Tasks[[#This Row],[_LeafCalcStart]],Tasks[[#This Row],[Duration]]-1,WorkWeek,Holidays)))</f>
        <v/>
      </c>
      <c r="BV19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9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94" s="45" t="str">
        <f aca="false">IF(Tasks[[#This Row],[Predecessors]]="","",TRIM(MID(SUBSTITUTE(SUBSTITUTE(SUBSTITUTE(UPPER(Tasks[[#This Row],[Predecessors]]),";",",")," ",""),",",REPT(" ",99)),1,99)))</f>
        <v/>
      </c>
      <c r="BY194" s="45" t="str">
        <f aca="false">IF(Tasks[[#This Row],[_Pred1Text]]="","",IFERROR(VALUE(LEFT(Tasks[[#This Row],[_Pred1Text]],MIN(FIND("F",Tasks[[#This Row],[_Pred1Text]]&amp;"F"),FIND("S",Tasks[[#This Row],[_Pred1Text]]&amp;"S"),FIND("+",Tasks[[#This Row],[_Pred1Text]]&amp;"+"),FIND("-",Tasks[[#This Row],[_Pred1Text]]&amp;"-"))-1)),""))</f>
        <v/>
      </c>
      <c r="BZ19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9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94" s="45" t="str">
        <f aca="false">IF(Tasks[[#This Row],[_Pred1Text]]="","",TRIM(MID(SUBSTITUTE(SUBSTITUTE(SUBSTITUTE(UPPER(Tasks[[#This Row],[Predecessors]]),";",",")," ",""),",",REPT(" ",99)),100,99)))</f>
        <v/>
      </c>
      <c r="CC194" s="45" t="str">
        <f aca="false">IF(Tasks[[#This Row],[_Pred2Text]]="","",IFERROR(VALUE(LEFT(Tasks[[#This Row],[_Pred2Text]],MIN(FIND("F",Tasks[[#This Row],[_Pred2Text]]&amp;"F"),FIND("S",Tasks[[#This Row],[_Pred2Text]]&amp;"S"),FIND("+",Tasks[[#This Row],[_Pred2Text]]&amp;"+"),FIND("-",Tasks[[#This Row],[_Pred2Text]]&amp;"-"))-1)),""))</f>
        <v/>
      </c>
      <c r="CD19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9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94" s="45" t="str">
        <f aca="false">IF(Tasks[[#This Row],[_Pred2Text]]="","",TRIM(MID(SUBSTITUTE(SUBSTITUTE(SUBSTITUTE(UPPER(Tasks[[#This Row],[Predecessors]]),";",",")," ",""),",",REPT(" ",99)),199,99)))</f>
        <v/>
      </c>
      <c r="CG194" s="45" t="str">
        <f aca="false">IF(Tasks[[#This Row],[_Pred3Text]]="","",IFERROR(VALUE(LEFT(Tasks[[#This Row],[_Pred3Text]],MIN(FIND("F",Tasks[[#This Row],[_Pred3Text]]&amp;"F"),FIND("S",Tasks[[#This Row],[_Pred3Text]]&amp;"S"),FIND("+",Tasks[[#This Row],[_Pred3Text]]&amp;"+"),FIND("-",Tasks[[#This Row],[_Pred3Text]]&amp;"-"))-1)),""))</f>
        <v/>
      </c>
      <c r="CH19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9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94" s="45" t="str">
        <f aca="false">IF(Tasks[[#This Row],[_Pred3Text]]="","",TRIM(MID(SUBSTITUTE(SUBSTITUTE(SUBSTITUTE(UPPER(Tasks[[#This Row],[Predecessors]]),";",",")," ",""),",",REPT(" ",99)),298,99)))</f>
        <v/>
      </c>
      <c r="CK194" s="45" t="str">
        <f aca="false">IF(Tasks[[#This Row],[_Pred4Text]]="","",IFERROR(VALUE(LEFT(Tasks[[#This Row],[_Pred4Text]],MIN(FIND("F",Tasks[[#This Row],[_Pred4Text]]&amp;"F"),FIND("S",Tasks[[#This Row],[_Pred4Text]]&amp;"S"),FIND("+",Tasks[[#This Row],[_Pred4Text]]&amp;"+"),FIND("-",Tasks[[#This Row],[_Pred4Text]]&amp;"-"))-1)),""))</f>
        <v/>
      </c>
      <c r="CL19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9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94" s="45" t="str">
        <f aca="false">IF(OR(Tasks[[#This Row],[Task Name]]="",Tasks[[#This Row],[Resources]]=""),"",TRIM(MID(SUBSTITUTE(Tasks[[#This Row],[Resources]],",",REPT(" ",99)),1,99)))</f>
        <v/>
      </c>
      <c r="CO194" s="45" t="str">
        <f aca="false">IF(Tasks[[#This Row],[_Res1Text]]="","",TRIM(MID(SUBSTITUTE(Tasks[[#This Row],[Resources]],",",REPT(" ",99)),100,99)))</f>
        <v/>
      </c>
      <c r="CP194" s="45" t="str">
        <f aca="false">IF(Tasks[[#This Row],[_Res2Text]]="","",TRIM(MID(SUBSTITUTE(Tasks[[#This Row],[Resources]],",",REPT(" ",99)),199,99)))</f>
        <v/>
      </c>
      <c r="CQ194" s="45" t="str">
        <f aca="false">IF(Tasks[[#This Row],[_Res3Text]]="","",TRIM(MID(SUBSTITUTE(Tasks[[#This Row],[Resources]],",",REPT(" ",99)),298,99)))</f>
        <v/>
      </c>
      <c r="CR19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9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4" s="45" t="n">
        <f aca="false">IF(NOT(Tasks[[#This Row],[_IsLeaf]]=1),0,(Tasks[[#This Row],[_Resource1]]&lt;&gt;"")+(Tasks[[#This Row],[_Res2]]&lt;&gt;"")+(Tasks[[#This Row],[_Res3]]&lt;&gt;"")+(Tasks[[#This Row],[_Res4]]&lt;&gt;""))</f>
        <v>0</v>
      </c>
      <c r="CU19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9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4" s="45" t="n">
        <f aca="false">IF(OR(NOT(Tasks[[#This Row],[_IsLeaf]]=1),Tasks[[#This Row],[_Res2]]=""),0,IF(ISNA(MATCH(Tasks[[#This Row],[_Res2]],res_Name,0)),0,N(Tasks[[#This Row],[Duration]])*HoursPerDay*IF(Tasks[[#This Row],[_Res2Units]]="",DefaultUnits,Tasks[[#This Row],[_Res2Units]])))</f>
        <v>0</v>
      </c>
      <c r="CX194" s="45" t="n">
        <f aca="false">IF(Tasks[[#This Row],[_Res2Work]]=0,0,Tasks[[#This Row],[_Res2Work]]*IFERROR(INDEX(res_Rate,MATCH(Tasks[[#This Row],[_Res2]],res_Name,0)),0))</f>
        <v>0</v>
      </c>
      <c r="CY194" s="45" t="n">
        <f aca="false">IF(AND(AND(Tasks[[#This Row],[_IsLeaf]]=1,Tasks[[#This Row],[_LeafTotalWork]]&gt;0),Tasks[[#This Row],[_Res2Work]]&gt;0),Tasks[[#This Row],[_Res2Work]]/(Tasks[[#This Row],[_FinishWorkday]]-Tasks[[#This Row],[_StartWorkday]]+1),0)</f>
        <v>0</v>
      </c>
      <c r="CZ194" s="45" t="n">
        <f aca="false">Tasks[[#This Row],[_Res2WorkPerWD]]*MAX(0,Tasks[[#This Row],[_StartWorkday]]-1)</f>
        <v>0</v>
      </c>
      <c r="DA194" s="45" t="n">
        <f aca="false">Tasks[[#This Row],[_Res2Work]]*Tasks[[#This Row],[_LeafProgress]]</f>
        <v>0</v>
      </c>
      <c r="DB194" s="45" t="n">
        <f aca="false">IF(Tasks[[#This Row],[_LeafTotalCost]]=0,0,Tasks[[#This Row],[_LeafAC]]*Tasks[[#This Row],[_Res2Cost]]/Tasks[[#This Row],[_LeafTotalCost]])</f>
        <v>0</v>
      </c>
      <c r="DC19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9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94" s="45" t="n">
        <f aca="false">IF(OR(NOT(Tasks[[#This Row],[_IsLeaf]]=1),Tasks[[#This Row],[_Res3]]=""),0,IF(ISNA(MATCH(Tasks[[#This Row],[_Res3]],res_Name,0)),0,N(Tasks[[#This Row],[Duration]])*HoursPerDay*IF(Tasks[[#This Row],[_Res3Units]]="",DefaultUnits,Tasks[[#This Row],[_Res3Units]])))</f>
        <v>0</v>
      </c>
      <c r="DF194" s="45" t="n">
        <f aca="false">IF(Tasks[[#This Row],[_Res3Work]]=0,0,Tasks[[#This Row],[_Res3Work]]*IFERROR(INDEX(res_Rate,MATCH(Tasks[[#This Row],[_Res3]],res_Name,0)),0))</f>
        <v>0</v>
      </c>
      <c r="DG194" s="45" t="n">
        <f aca="false">IF(AND(AND(Tasks[[#This Row],[_IsLeaf]]=1,Tasks[[#This Row],[_LeafTotalWork]]&gt;0),Tasks[[#This Row],[_Res3Work]]&gt;0),Tasks[[#This Row],[_Res3Work]]/(Tasks[[#This Row],[_FinishWorkday]]-Tasks[[#This Row],[_StartWorkday]]+1),0)</f>
        <v>0</v>
      </c>
      <c r="DH194" s="45" t="n">
        <f aca="false">Tasks[[#This Row],[_Res3WorkPerWD]]*MAX(0,Tasks[[#This Row],[_StartWorkday]]-1)</f>
        <v>0</v>
      </c>
      <c r="DI194" s="45" t="n">
        <f aca="false">Tasks[[#This Row],[_Res3Work]]*Tasks[[#This Row],[_LeafProgress]]</f>
        <v>0</v>
      </c>
      <c r="DJ194" s="45" t="n">
        <f aca="false">IF(Tasks[[#This Row],[_LeafTotalCost]]=0,0,Tasks[[#This Row],[_LeafAC]]*Tasks[[#This Row],[_Res3Cost]]/Tasks[[#This Row],[_LeafTotalCost]])</f>
        <v>0</v>
      </c>
      <c r="DK19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9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94" s="45" t="n">
        <f aca="false">IF(OR(NOT(Tasks[[#This Row],[_IsLeaf]]=1),Tasks[[#This Row],[_Res4]]=""),0,IF(ISNA(MATCH(Tasks[[#This Row],[_Res4]],res_Name,0)),0,N(Tasks[[#This Row],[Duration]])*HoursPerDay*IF(Tasks[[#This Row],[_Res4Units]]="",DefaultUnits,Tasks[[#This Row],[_Res4Units]])))</f>
        <v>0</v>
      </c>
      <c r="DN194" s="45" t="n">
        <f aca="false">IF(Tasks[[#This Row],[_Res4Work]]=0,0,Tasks[[#This Row],[_Res4Work]]*IFERROR(INDEX(res_Rate,MATCH(Tasks[[#This Row],[_Res4]],res_Name,0)),0))</f>
        <v>0</v>
      </c>
      <c r="DO194" s="45" t="n">
        <f aca="false">IF(AND(AND(Tasks[[#This Row],[_IsLeaf]]=1,Tasks[[#This Row],[_LeafTotalWork]]&gt;0),Tasks[[#This Row],[_Res4Work]]&gt;0),Tasks[[#This Row],[_Res4Work]]/(Tasks[[#This Row],[_FinishWorkday]]-Tasks[[#This Row],[_StartWorkday]]+1),0)</f>
        <v>0</v>
      </c>
      <c r="DP194" s="45" t="n">
        <f aca="false">Tasks[[#This Row],[_Res4WorkPerWD]]*MAX(0,Tasks[[#This Row],[_StartWorkday]]-1)</f>
        <v>0</v>
      </c>
      <c r="DQ194" s="45" t="n">
        <f aca="false">Tasks[[#This Row],[_Res4Work]]*Tasks[[#This Row],[_LeafProgress]]</f>
        <v>0</v>
      </c>
      <c r="DR194" s="45" t="n">
        <f aca="false">IF(Tasks[[#This Row],[_LeafTotalCost]]=0,0,Tasks[[#This Row],[_LeafAC]]*Tasks[[#This Row],[_Res4Cost]]/Tasks[[#This Row],[_LeafTotalCost]])</f>
        <v>0</v>
      </c>
      <c r="DS194" s="45" t="n">
        <f aca="false">IF(ISNUMBER(Tasks[[#This Row],[% Complete]]),Tasks[[#This Row],[% Complete]],IF(Tasks[[#This Row],[Stage]]="",0,IFERROR(INDEX(stg_Pct,MATCH(Tasks[[#This Row],[Stage]],stg_Name,0)),0)))</f>
        <v>0</v>
      </c>
      <c r="DT194" s="45" t="n">
        <f aca="false">IF(NOT(Tasks[[#This Row],[_IsLeaf]]=1),0,IF(N(Tasks[[#This Row],[Actual Finish]])&gt;0,1,MIN(1,Tasks[[#This Row],[_Pct]])))</f>
        <v>0</v>
      </c>
      <c r="DU194" s="45" t="n">
        <f aca="false">IF(OR(NOT(Tasks[[#This Row],[_IsLeaf]]=1),Tasks[[#This Row],[_Resource1]]=""),0,IF(ISNA(MATCH(Tasks[[#This Row],[_Resource1]],res_Name,0)),0,N(Tasks[[#This Row],[Duration]])*HoursPerDay*IF(Tasks[[#This Row],[_Units1]]="",DefaultUnits,Tasks[[#This Row],[_Units1]])))</f>
        <v>0</v>
      </c>
      <c r="DV194" s="45" t="n">
        <f aca="false">IF(Tasks[[#This Row],[_LeafWork]]=0,0,Tasks[[#This Row],[_LeafWork]]*IFERROR(INDEX(res_Rate,MATCH(Tasks[[#This Row],[_Resource1]],res_Name,0)),0))</f>
        <v>0</v>
      </c>
      <c r="DW194" s="45" t="n">
        <f aca="false">Tasks[[#This Row],[_LeafWork]]+Tasks[[#This Row],[_Res2Work]]+Tasks[[#This Row],[_Res3Work]]+Tasks[[#This Row],[_Res4Work]]</f>
        <v>0</v>
      </c>
      <c r="DX194" s="45" t="n">
        <f aca="false">Tasks[[#This Row],[_LeafCost]]+Tasks[[#This Row],[_Res2Cost]]+Tasks[[#This Row],[_Res3Cost]]+Tasks[[#This Row],[_Res4Cost]]</f>
        <v>0</v>
      </c>
      <c r="DY194" s="45" t="n">
        <f aca="false">IF(Tasks[[#This Row],[_LeafTotalCost]]=0,Tasks[[#This Row],[_LeafAC]],Tasks[[#This Row],[_LeafAC]]*Tasks[[#This Row],[_LeafCost]]/Tasks[[#This Row],[_LeafTotalCost]])</f>
        <v>0</v>
      </c>
      <c r="DZ19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9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9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9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9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9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9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9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94" s="45" t="n">
        <f aca="false">IF(NOT(Tasks[[#This Row],[_IsLeaf]]=1),0,MAX(_xlfn.MAXIFS(Tasks[_Row],Tasks[_Pred1UID],Tasks[[#This Row],[UID]]),_xlfn.MAXIFS(Tasks[_Row],Tasks[_Pred2UID],Tasks[[#This Row],[UID]]),_xlfn.MAXIFS(Tasks[_Row],Tasks[_Pred3UID],Tasks[[#This Row],[UID]]),_xlfn.MAXIFS(Tasks[_Row],Tasks[_Pred4UID],Tasks[[#This Row],[UID]])))</f>
        <v>0</v>
      </c>
      <c r="EI19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9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94" s="74" t="str">
        <f aca="false">IF(NOT(Tasks[[#This Row],[_IsLeaf]]=1),"",IF(N(Tasks[[#This Row],[Duration]])&lt;=0,Tasks[[#This Row],[_LeafLateFinish]],WORKDAY.INTL(Tasks[[#This Row],[_LeafLateFinish]],-(Tasks[[#This Row],[Duration]]-1),WorkWeek,Holidays)))</f>
        <v/>
      </c>
      <c r="EL19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94" s="73" t="b">
        <f aca="false">AND(Tasks[[#This Row],[_IsLeaf]]=1,Tasks[[#This Row],[_LeafProgress]]&lt;1,N(Tasks[[#This Row],[_LeafTotalSlack]])&lt;=CriticalSlackDays)</f>
        <v>0</v>
      </c>
      <c r="EN194" s="45" t="n">
        <f aca="false">IF(AND(Tasks[[#This Row],[_IsLeaf]]=1,Tasks[[#This Row],[_ConstraintCode]]=1,Tasks[[#This Row],[Mode]]&lt;&gt;"Manual",N(Tasks[[#This Row],[Actual Start]])=0),MAX(0,N(Tasks[[#This Row],[Free Slack]])),0)</f>
        <v>0</v>
      </c>
      <c r="EO194" s="74" t="str">
        <f aca="false">IF(NOT(Tasks[[#This Row],[_IsLeaf]]=1),"",IF(Tasks[[#This Row],[_AlapShift]]=0,Tasks[[#This Row],[_LeafCalcStart]],WORKDAY.INTL(Tasks[[#This Row],[_LeafCalcStart]],Tasks[[#This Row],[_AlapShift]],WorkWeek,Holidays)))</f>
        <v/>
      </c>
      <c r="EP194" s="74" t="str">
        <f aca="false">IF(NOT(Tasks[[#This Row],[_IsLeaf]]=1),"",IF(Tasks[[#This Row],[_AlapShift]]=0,Tasks[[#This Row],[_LeafCalcFinish]],WORKDAY.INTL(Tasks[[#This Row],[_LeafCalcFinish]],Tasks[[#This Row],[_AlapShift]],WorkWeek,Holidays)))</f>
        <v/>
      </c>
      <c r="EQ194" s="74" t="str">
        <f aca="false">IF(NOT(Tasks[[#This Row],[_IsLeaf]]=1),"",IF(Tasks[[#This Row],[_AlapShift]]=0,Tasks[[#This Row],[_LeafFcstStart]],WORKDAY.INTL(Tasks[[#This Row],[_LeafFcstStart]],Tasks[[#This Row],[_AlapShift]],WorkWeek,Holidays)))</f>
        <v/>
      </c>
      <c r="ER194" s="74" t="str">
        <f aca="false">IF(NOT(Tasks[[#This Row],[_IsLeaf]]=1),"",IF(Tasks[[#This Row],[_AlapShift]]=0,Tasks[[#This Row],[_LeafFcstFinish]],WORKDAY.INTL(Tasks[[#This Row],[_LeafFcstFinish]],Tasks[[#This Row],[_AlapShift]],WorkWeek,Holidays)))</f>
        <v/>
      </c>
      <c r="ES194" s="74" t="str">
        <f aca="false">IF(Tasks[[#This Row],[Task Name]]="","",IF(Tasks[[#This Row],[_IsSummary]],MIN(INDEX(Tasks[_ShownCalcStart],Tasks[[#This Row],[_Row]]+1):INDEX(Tasks[_ShownCalcStart],Tasks[[#This Row],[_Row]]+Tasks[[#This Row],[_Descendants]])),Tasks[[#This Row],[_ShownCalcStart]]))</f>
        <v/>
      </c>
      <c r="ET194" s="74" t="str">
        <f aca="false">IF(Tasks[[#This Row],[Task Name]]="","",IF(Tasks[[#This Row],[_IsSummary]],MAX(INDEX(Tasks[_ShownCalcFinish],Tasks[[#This Row],[_Row]]+1):INDEX(Tasks[_ShownCalcFinish],Tasks[[#This Row],[_Row]]+Tasks[[#This Row],[_Descendants]])),Tasks[[#This Row],[_ShownCalcFinish]]))</f>
        <v/>
      </c>
      <c r="EU19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9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9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9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9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9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9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9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9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9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9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9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94" s="45" t="n">
        <f aca="false">IF(AND(Tasks[[#This Row],[_IsLeaf]]=1,Tasks[[#This Row],[_LeafTotalWork]]&gt;0),NETWORKDAYS.INTL(ProjectStart,Tasks[[#This Row],[_ShownFcstStart]],WorkWeek,Holidays),0)</f>
        <v>0</v>
      </c>
      <c r="FH194" s="45" t="n">
        <f aca="false">IF(AND(Tasks[[#This Row],[_IsLeaf]]=1,Tasks[[#This Row],[_LeafTotalWork]]&gt;0),MAX(Tasks[[#This Row],[_StartWorkday]],NETWORKDAYS.INTL(ProjectStart,Tasks[[#This Row],[_ShownFcstFinish]],WorkWeek,Holidays)),0)</f>
        <v>0</v>
      </c>
      <c r="FI194" s="45" t="n">
        <f aca="false">IF(AND(Tasks[[#This Row],[_IsLeaf]]=1,Tasks[[#This Row],[_LeafTotalWork]]&gt;0),Tasks[[#This Row],[_LeafWork]]/(Tasks[[#This Row],[_FinishWorkday]]-Tasks[[#This Row],[_StartWorkday]]+1),0)</f>
        <v>0</v>
      </c>
      <c r="FJ194" s="45" t="n">
        <f aca="false">Tasks[[#This Row],[_WorkPerWorkday]]*(Tasks[[#This Row],[_StartWorkday]]-1)</f>
        <v>-0</v>
      </c>
      <c r="FK194" s="45" t="n">
        <f aca="false">IF(Tasks[[#This Row],[_IsLeaf]]=1,MAX(N(Tasks[[#This Row],[Duration]]),0.1),0)</f>
        <v>0</v>
      </c>
      <c r="FL194" s="45" t="n">
        <f aca="false">Tasks[[#This Row],[_WeightDur]]*Tasks[[#This Row],[_LeafProgress]]</f>
        <v>0</v>
      </c>
      <c r="FM19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94" s="45" t="str">
        <f aca="false">IF(AND(Tasks[[#This Row],[_IsLeaf]]=1,N(Tasks[[#This Row],[Duration]])=0,Tasks[[#This Row],[_LeafProgress]]&lt;1),Tasks[[#This Row],[_ShownFcstFinish]]+Tasks[[#This Row],[_Row]]/100000,"")</f>
        <v/>
      </c>
      <c r="FO19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94" s="45" t="n">
        <f aca="false">IF(NOT(Tasks[[#This Row],[_IsLeaf]]=1),0,IF(Tasks[[#This Row],[Baseline Cost]]="",Tasks[[#This Row],[_LeafTotalCost]],N(Tasks[[#This Row],[Baseline Cost]])))</f>
        <v>0</v>
      </c>
      <c r="FQ194" s="45" t="n">
        <f aca="false">Tasks[[#This Row],[_LeafBudget]]*Tasks[[#This Row],[_PlannedPct]]</f>
        <v>0</v>
      </c>
      <c r="FR194" s="45" t="n">
        <f aca="false">Tasks[[#This Row],[_LeafBudget]]*Tasks[[#This Row],[_LeafProgress]]</f>
        <v>0</v>
      </c>
      <c r="FS194" s="45" t="n">
        <f aca="false">IF(NOT(Tasks[[#This Row],[_IsLeaf]]=1),0,IF(Tasks[[#This Row],[Actual Cost]]="",Tasks[[#This Row],[_LeafTotalCost]]*Tasks[[#This Row],[_LeafProgress]],N(Tasks[[#This Row],[Actual Cost]])))</f>
        <v>0</v>
      </c>
      <c r="FT194" s="45" t="str">
        <f aca="false">IF(Tasks[[#This Row],[Task Name]]="","",LEFT(Tasks[[#This Row],[WBS]],FIND(".",Tasks[[#This Row],[WBS]]&amp;".")-1))</f>
        <v/>
      </c>
      <c r="FU194" s="45" t="str">
        <f aca="false">IF(AND(Tasks[[#This Row],[Task Name]]&lt;&gt;"",Tasks[[#This Row],[_Level]]=1),Tasks[[#This Row],[_Row]],"")</f>
        <v/>
      </c>
      <c r="FV194" s="45" t="str">
        <f aca="false">IF(AND(Tasks[[#This Row],[_IsLeaf]]=1,N(Tasks[[#This Row],[Duration]])=0),Tasks[[#This Row],[Planned Finish]]+Tasks[[#This Row],[_Row]]/100000,"")</f>
        <v/>
      </c>
      <c r="FW194" s="45" t="str">
        <f aca="false">IF(AND(Tasks[[#This Row],[_IsLeaf]]=1,Tasks[[#This Row],[_LeafProgress]]&lt;1,OR(N(Tasks[[#This Row],[Finish Var]])&gt;0,Tasks[[#This Row],[Status]]="Late Start")),MAX(0,Tasks[[#This Row],[Finish Var]])+1-Tasks[[#This Row],[_Row]]/1000000,"")</f>
        <v/>
      </c>
      <c r="FX194" s="45" t="str">
        <f aca="false">IF(AND(Tasks[[#This Row],[_IsLeaf]]=1,N(Tasks[[#This Row],[Actual Start]])=0,Tasks[[#This Row],[_ShownFcstStart]]&gt;=StatusDate,Tasks[[#This Row],[_ShownFcstStart]]&lt;=LookaheadEnd),Tasks[[#This Row],[_ShownFcstStart]]+Tasks[[#This Row],[_Row]]/100000,"")</f>
        <v/>
      </c>
      <c r="FY194" s="45" t="str">
        <f aca="false">IF(AND(Tasks[[#This Row],[_IsLeaf]]=1,Tasks[[#This Row],[_LeafProgress]]&lt;1,Tasks[[#This Row],[_ShownFcstFinish]]&gt;=StatusDate,Tasks[[#This Row],[_ShownFcstFinish]]&lt;=LookaheadEnd),Tasks[[#This Row],[_ShownFcstFinish]]+Tasks[[#This Row],[_Row]]/100000,"")</f>
        <v/>
      </c>
      <c r="FZ194" s="45" t="str">
        <f aca="false">IF(Tasks[[#This Row],[_LeafCritical]],Tasks[[#This Row],[_ShownFcstStart]]+Tasks[[#This Row],[_Row]]/100000,"")</f>
        <v/>
      </c>
      <c r="GA194" s="45" t="n">
        <f aca="false">Tasks[[#This Row],[_LeafWork]]*Tasks[[#This Row],[_LeafProgress]]</f>
        <v>0</v>
      </c>
      <c r="GB194" s="74" t="str">
        <f aca="false">IF(AND(Tasks[[#This Row],[_IsLeaf]]=1,Tasks[[#This Row],[_LeafProgress]]&gt;=1),IF(N(Tasks[[#This Row],[Actual Finish]])&gt;0,Tasks[[#This Row],[Actual Finish]],Tasks[[#This Row],[_ShownFcstFinish]]),"")</f>
        <v/>
      </c>
    </row>
    <row r="195" customFormat="false" ht="15" hidden="false" customHeight="false" outlineLevel="0" collapsed="false">
      <c r="A195" s="67" t="str">
        <f aca="false">IF(Tasks[[#This Row],[Task Name]]="","",COUNTA(Tasks[[#Headers],[Task Name]]:Tasks[[#This Row],[Task Name]])-1)</f>
        <v/>
      </c>
      <c r="B195" s="21" t="n">
        <v>190</v>
      </c>
      <c r="C19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21"/>
      <c r="E195" s="22"/>
      <c r="F195" s="21"/>
      <c r="G195" s="22"/>
      <c r="H195" s="22"/>
      <c r="I195" s="22"/>
      <c r="J195" s="7"/>
      <c r="K195" s="7"/>
      <c r="L195" s="22"/>
      <c r="M195" s="58" t="str">
        <f aca="false">IF(Tasks[[#This Row],[Task Name]]="","",IF(Tasks[[#This Row],[_IsSummary]],MIN(INDEX(Tasks[_ShownFcstStart],Tasks[[#This Row],[_Row]]+1):INDEX(Tasks[_ShownFcstStart],Tasks[[#This Row],[_Row]]+Tasks[[#This Row],[_Descendants]])),Tasks[[#This Row],[_ShownFcstStart]]))</f>
        <v/>
      </c>
      <c r="N195" s="58" t="str">
        <f aca="false">IF(Tasks[[#This Row],[Task Name]]="","",IF(Tasks[[#This Row],[_IsSummary]],MAX(INDEX(Tasks[_ShownFcstFinish],Tasks[[#This Row],[_Row]]+1):INDEX(Tasks[_ShownFcstFinish],Tasks[[#This Row],[_Row]]+Tasks[[#This Row],[_Descendants]])),Tasks[[#This Row],[_ShownFcstFinish]]))</f>
        <v/>
      </c>
      <c r="O195" s="20" t="str">
        <f aca="false">IF(Tasks[[#This Row],[Task Name]]="","",IF(Tasks[[#This Row],[Progress]]&gt;=1,"Complete",IF(OR(N(Tasks[[#This Row],[Actual Start]])&gt;0,Tasks[[#This Row],[Progress]]&gt;0),IF(Tasks[[#This Row],[Finish Var]]&gt;0,"Behind","In Progress"),IF(Tasks[[#This Row],[Planned Start]]&lt;StatusDate,"Late Start","Not Started"))))</f>
        <v/>
      </c>
      <c r="P195" s="20" t="str">
        <f aca="false">IF(Tasks[[#This Row],[Task Name]]="","",IF(IF(Tasks[[#This Row],[_IsSummary]],COUNTIF(INDEX(Tasks[_LeafCritical],Tasks[[#This Row],[_Row]]+1):INDEX(Tasks[_LeafCritical],Tasks[[#This Row],[_Row]]+Tasks[[#This Row],[_Descendants]]),TRUE())&gt;0,Tasks[[#This Row],[_LeafCritical]]),"Yes",""))</f>
        <v/>
      </c>
      <c r="Q19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95" s="67" t="str">
        <f aca="false">IF(Tasks[[#This Row],[Task Name]]="","",IF(Tasks[[#This Row],[_Level]]&lt;=OutlineShowLevel,"Yes","No"))</f>
        <v/>
      </c>
      <c r="S195" s="7"/>
      <c r="T195" s="21"/>
      <c r="U195" s="22"/>
      <c r="V195" s="7"/>
      <c r="W195" s="67" t="str">
        <f aca="false">IF(Tasks[[#This Row],[Task Name]]="","",IF(Tasks[[#This Row],[Finish]]&gt;=Tasks[[#This Row],[Planned Finish]],NETWORKDAYS.INTL(Tasks[[#This Row],[Planned Finish]],Tasks[[#This Row],[Finish]],WorkWeek,Holidays)-1,1-NETWORKDAYS.INTL(Tasks[[#This Row],[Finish]],Tasks[[#This Row],[Planned Finish]],WorkWeek,Holidays)))</f>
        <v/>
      </c>
      <c r="X195" s="58" t="str">
        <f aca="false">IF(Tasks[[#This Row],[Task Name]]="","",IF(N(Tasks[[#This Row],[Baseline Start]])&gt;0,Tasks[[#This Row],[Baseline Start]],Tasks[[#This Row],[_CalcStart]]))</f>
        <v/>
      </c>
      <c r="Y195" s="58" t="str">
        <f aca="false">IF(Tasks[[#This Row],[Task Name]]="","",IF(N(Tasks[[#This Row],[Baseline Finish]])&gt;0,Tasks[[#This Row],[Baseline Finish]],Tasks[[#This Row],[_CalcFinish]]))</f>
        <v/>
      </c>
      <c r="Z195" s="67" t="str">
        <f aca="false">IF(Tasks[[#This Row],[Task Name]]="","",IF(Tasks[[#This Row],[Start]]&gt;=Tasks[[#This Row],[Planned Start]],NETWORKDAYS.INTL(Tasks[[#This Row],[Planned Start]],Tasks[[#This Row],[Start]],WorkWeek,Holidays)-1,1-NETWORKDAYS.INTL(Tasks[[#This Row],[Start]],Tasks[[#This Row],[Planned Start]],WorkWeek,Holidays)))</f>
        <v/>
      </c>
      <c r="AA195" s="58" t="str">
        <f aca="false">IF(Tasks[[#This Row],[Task Name]]="","",IF(Tasks[[#This Row],[_IsSummary]],MIN(INDEX(Tasks[_LeafLateStart],Tasks[[#This Row],[_Row]]+1):INDEX(Tasks[_LeafLateStart],Tasks[[#This Row],[_Row]]+Tasks[[#This Row],[_Descendants]])),Tasks[[#This Row],[_LeafLateStart]]))</f>
        <v/>
      </c>
      <c r="AB195" s="58" t="str">
        <f aca="false">IF(Tasks[[#This Row],[Task Name]]="","",IF(Tasks[[#This Row],[_IsSummary]],MAX(INDEX(Tasks[_LeafLateFinish],Tasks[[#This Row],[_Row]]+1):INDEX(Tasks[_LeafLateFinish],Tasks[[#This Row],[_Row]]+Tasks[[#This Row],[_Descendants]])),Tasks[[#This Row],[_LeafLateFinish]]))</f>
        <v/>
      </c>
      <c r="AC195" s="67" t="str">
        <f aca="false">IF(Tasks[[#This Row],[Task Name]]="","",IF(Tasks[[#This Row],[_IsSummary]],MIN(INDEX(Tasks[_LeafTotalSlack],Tasks[[#This Row],[_Row]]+1):INDEX(Tasks[_LeafTotalSlack],Tasks[[#This Row],[_Row]]+Tasks[[#This Row],[_Descendants]])),Tasks[[#This Row],[_LeafTotalSlack]]))</f>
        <v/>
      </c>
      <c r="AD19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9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9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95" s="60"/>
      <c r="AH19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9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95" s="69" t="str">
        <f aca="false">IF(Tasks[[#This Row],[Task Name]]="","",IF(Tasks[[#This Row],[_IsSummary]],SUM(INDEX(Tasks[_LeafTotalWork],Tasks[[#This Row],[_Row]]+1):INDEX(Tasks[_LeafTotalWork],Tasks[[#This Row],[_Row]]+Tasks[[#This Row],[_Descendants]])),Tasks[[#This Row],[_LeafTotalWork]]))</f>
        <v/>
      </c>
      <c r="AK19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95" s="70" t="str">
        <f aca="false">IF(Tasks[[#This Row],[Task Name]]="","",IF(Tasks[[#This Row],[_IsSummary]],SUM(INDEX(Tasks[_LeafTotalCost],Tasks[[#This Row],[_Row]]+1):INDEX(Tasks[_LeafTotalCost],Tasks[[#This Row],[_Row]]+Tasks[[#This Row],[_Descendants]])),Tasks[[#This Row],[_LeafTotalCost]]))</f>
        <v/>
      </c>
      <c r="AM195" s="71"/>
      <c r="AN195" s="20" t="str">
        <f aca="false">IF(OR(Tasks[[#This Row],[Task Name]]="",Tasks[[#This Row],[Baseline Duration]]=""),"",Tasks[[#This Row],[BL Source Duration]]-N(Tasks[[#This Row],[Baseline Duration]]))</f>
        <v/>
      </c>
      <c r="AO195" s="69" t="str">
        <f aca="false">IF(OR(Tasks[[#This Row],[Task Name]]="",Tasks[[#This Row],[Baseline Work]]=""),"",Tasks[[#This Row],[Work]]-N(Tasks[[#This Row],[Baseline Work]]))</f>
        <v/>
      </c>
      <c r="AP195" s="70" t="str">
        <f aca="false">IF(OR(Tasks[[#This Row],[Task Name]]="",Tasks[[#This Row],[Baseline Cost]]=""),"",Tasks[[#This Row],[Cost]]-N(Tasks[[#This Row],[Baseline Cost]]))</f>
        <v/>
      </c>
      <c r="AQ195" s="58" t="str">
        <f aca="false">IF(Tasks[[#This Row],[Task Name]]="","",Tasks[[#This Row],[Start]])</f>
        <v/>
      </c>
      <c r="AR195" s="58" t="str">
        <f aca="false">IF(Tasks[[#This Row],[Task Name]]="","",Tasks[[#This Row],[Finish]])</f>
        <v/>
      </c>
      <c r="AS195" s="67" t="str">
        <f aca="false">IF(Tasks[[#This Row],[Task Name]]="","",IF(Tasks[[#This Row],[_IsSummary]],NETWORKDAYS.INTL(Tasks[[#This Row],[Start]],Tasks[[#This Row],[Finish]],WorkWeek,Holidays),N(Tasks[[#This Row],[Duration]])))</f>
        <v/>
      </c>
      <c r="AT195" s="69" t="str">
        <f aca="false">IF(Tasks[[#This Row],[Task Name]]="","",Tasks[[#This Row],[Work]])</f>
        <v/>
      </c>
      <c r="AU195" s="70" t="str">
        <f aca="false">IF(Tasks[[#This Row],[Task Name]]="","",Tasks[[#This Row],[Cost]])</f>
        <v/>
      </c>
      <c r="AV195" s="7"/>
      <c r="AW195" s="7"/>
      <c r="AX195" s="21"/>
      <c r="AY195" s="72"/>
      <c r="AZ195" s="71"/>
      <c r="BA195" s="70" t="str">
        <f aca="false">IF(Tasks[[#This Row],[Task Name]]="","",IF(Tasks[[#This Row],[_IsSummary]],SUM(INDEX(Tasks[_LeafEV],Tasks[[#This Row],[_Row]]+1):INDEX(Tasks[_LeafEV],Tasks[[#This Row],[_Row]]+Tasks[[#This Row],[_Descendants]])),Tasks[[#This Row],[_LeafEV]]))</f>
        <v/>
      </c>
      <c r="BB195" s="70" t="str">
        <f aca="false">IF(Tasks[[#This Row],[Task Name]]="","",IF(Tasks[[#This Row],[_IsSummary]],SUM(INDEX(Tasks[_LeafBudget],Tasks[[#This Row],[_Row]]+1):INDEX(Tasks[_LeafBudget],Tasks[[#This Row],[_Row]]+Tasks[[#This Row],[_Descendants]])),Tasks[[#This Row],[_LeafBudget]]))</f>
        <v/>
      </c>
      <c r="BC195" s="70" t="str">
        <f aca="false">IF(Tasks[[#This Row],[Task Name]]="","",IF(Tasks[[#This Row],[_IsSummary]],SUM(INDEX(Tasks[_LeafPV],Tasks[[#This Row],[_Row]]+1):INDEX(Tasks[_LeafPV],Tasks[[#This Row],[_Row]]+Tasks[[#This Row],[_Descendants]])),Tasks[[#This Row],[_LeafPV]]))</f>
        <v/>
      </c>
      <c r="BD195" s="70" t="str">
        <f aca="false">IF(Tasks[[#This Row],[Task Name]]="","",IF(Tasks[[#This Row],[_IsSummary]],SUM(INDEX(Tasks[_LeafAC],Tasks[[#This Row],[_Row]]+1):INDEX(Tasks[_LeafAC],Tasks[[#This Row],[_Row]]+Tasks[[#This Row],[_Descendants]])),Tasks[[#This Row],[_LeafAC]]))</f>
        <v/>
      </c>
      <c r="BE195" s="45" t="str">
        <f aca="false">IF(Tasks[[#This Row],[Task Name]]="","",MAX(1,N(Tasks[[#This Row],[Level]])))</f>
        <v/>
      </c>
      <c r="BF195" s="45" t="n">
        <f aca="false">ROW()-ROW(Tasks[[#Headers],[ID]])</f>
        <v>190</v>
      </c>
      <c r="BG195" s="45" t="n">
        <f aca="false">IF(OR(Tasks[[#This Row],[Task Name]]="",Tasks[[#This Row],[_Level]]&lt;=1),0,IFERROR(LOOKUP(2,1/(Tasks[[#Headers],[_Level]]:Tasks[[#This Row],[_Level]]=Tasks[[#This Row],[_Level]]-1),ROW(Tasks[[#Headers],[_Level]]:Tasks[[#This Row],[_Level]])),0))</f>
        <v>0</v>
      </c>
      <c r="BH195" s="45" t="n">
        <f aca="false">IFERROR(N(INDEX(Tasks[_Level],Tasks[[#This Row],[_Row]]+1)),0)</f>
        <v>0</v>
      </c>
      <c r="BI195" s="73" t="b">
        <f aca="false">AND(Tasks[[#This Row],[Task Name]]&lt;&gt;"",Tasks[[#This Row],[_NextLevel]]&gt;Tasks[[#This Row],[_Level]])</f>
        <v>0</v>
      </c>
      <c r="BJ195" s="45" t="n">
        <f aca="false">IF(Tasks[[#This Row],[_IsSummary]],COUNTIF(Tasks[WBS],Tasks[[#This Row],[WBS]]&amp;".*"),0)</f>
        <v>0</v>
      </c>
      <c r="BK195" s="45" t="n">
        <f aca="false">IF(AND(Tasks[[#This Row],[Task Name]]&lt;&gt;"",NOT(Tasks[[#This Row],[_IsSummary]])),1,0)</f>
        <v>0</v>
      </c>
      <c r="BL195" s="45" t="n">
        <f aca="false">IF(N(Tasks[[#This Row],[_Pred1UID]])=0,0,IFERROR(MATCH(Tasks[[#This Row],[_Pred1UID]],Tasks[UID],0),-1))</f>
        <v>0</v>
      </c>
      <c r="BM195" s="45" t="n">
        <f aca="false">IF(N(Tasks[[#This Row],[_Pred2UID]])=0,0,IFERROR(MATCH(Tasks[[#This Row],[_Pred2UID]],Tasks[UID],0),-1))</f>
        <v>0</v>
      </c>
      <c r="BN195" s="45" t="n">
        <f aca="false">IF(N(Tasks[[#This Row],[_Pred3UID]])=0,0,IFERROR(MATCH(Tasks[[#This Row],[_Pred3UID]],Tasks[UID],0),-1))</f>
        <v>0</v>
      </c>
      <c r="BO195" s="45" t="n">
        <f aca="false">IF(N(Tasks[[#This Row],[_Pred4UID]])=0,0,IFERROR(MATCH(Tasks[[#This Row],[_Pred4UID]],Tasks[UID],0),-1))</f>
        <v>0</v>
      </c>
      <c r="BP19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9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95" s="74" t="n">
        <f aca="false">IF(OR(Tasks[[#This Row],[_ConstraintCode]]=2,Tasks[[#This Row],[_ConstraintCode]]=3,Tasks[[#This Row],[_ConstraintCode]]=4,Tasks[[#This Row],[_ConstraintCode]]=6),Tasks[[#This Row],[_ConstraintStart]],0)</f>
        <v>0</v>
      </c>
      <c r="BS195" s="74" t="n">
        <f aca="false">IF(OR(Tasks[[#This Row],[_ConstraintCode]]=2,Tasks[[#This Row],[_ConstraintCode]]=3,Tasks[[#This Row],[_ConstraintCode]]=5,Tasks[[#This Row],[_ConstraintCode]]=7),Tasks[[#This Row],[_ConstraintStart]],2958465)</f>
        <v>2958465</v>
      </c>
      <c r="BT19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95" s="74" t="str">
        <f aca="false">IF(NOT(Tasks[[#This Row],[_IsLeaf]]=1),"",IF(N(Tasks[[#This Row],[Duration]])&lt;=0,Tasks[[#This Row],[_LeafCalcStart]],WORKDAY.INTL(Tasks[[#This Row],[_LeafCalcStart]],Tasks[[#This Row],[Duration]]-1,WorkWeek,Holidays)))</f>
        <v/>
      </c>
      <c r="BV19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9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95" s="45" t="str">
        <f aca="false">IF(Tasks[[#This Row],[Predecessors]]="","",TRIM(MID(SUBSTITUTE(SUBSTITUTE(SUBSTITUTE(UPPER(Tasks[[#This Row],[Predecessors]]),";",",")," ",""),",",REPT(" ",99)),1,99)))</f>
        <v/>
      </c>
      <c r="BY195" s="45" t="str">
        <f aca="false">IF(Tasks[[#This Row],[_Pred1Text]]="","",IFERROR(VALUE(LEFT(Tasks[[#This Row],[_Pred1Text]],MIN(FIND("F",Tasks[[#This Row],[_Pred1Text]]&amp;"F"),FIND("S",Tasks[[#This Row],[_Pred1Text]]&amp;"S"),FIND("+",Tasks[[#This Row],[_Pred1Text]]&amp;"+"),FIND("-",Tasks[[#This Row],[_Pred1Text]]&amp;"-"))-1)),""))</f>
        <v/>
      </c>
      <c r="BZ19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9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95" s="45" t="str">
        <f aca="false">IF(Tasks[[#This Row],[_Pred1Text]]="","",TRIM(MID(SUBSTITUTE(SUBSTITUTE(SUBSTITUTE(UPPER(Tasks[[#This Row],[Predecessors]]),";",",")," ",""),",",REPT(" ",99)),100,99)))</f>
        <v/>
      </c>
      <c r="CC195" s="45" t="str">
        <f aca="false">IF(Tasks[[#This Row],[_Pred2Text]]="","",IFERROR(VALUE(LEFT(Tasks[[#This Row],[_Pred2Text]],MIN(FIND("F",Tasks[[#This Row],[_Pred2Text]]&amp;"F"),FIND("S",Tasks[[#This Row],[_Pred2Text]]&amp;"S"),FIND("+",Tasks[[#This Row],[_Pred2Text]]&amp;"+"),FIND("-",Tasks[[#This Row],[_Pred2Text]]&amp;"-"))-1)),""))</f>
        <v/>
      </c>
      <c r="CD19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9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95" s="45" t="str">
        <f aca="false">IF(Tasks[[#This Row],[_Pred2Text]]="","",TRIM(MID(SUBSTITUTE(SUBSTITUTE(SUBSTITUTE(UPPER(Tasks[[#This Row],[Predecessors]]),";",",")," ",""),",",REPT(" ",99)),199,99)))</f>
        <v/>
      </c>
      <c r="CG195" s="45" t="str">
        <f aca="false">IF(Tasks[[#This Row],[_Pred3Text]]="","",IFERROR(VALUE(LEFT(Tasks[[#This Row],[_Pred3Text]],MIN(FIND("F",Tasks[[#This Row],[_Pred3Text]]&amp;"F"),FIND("S",Tasks[[#This Row],[_Pred3Text]]&amp;"S"),FIND("+",Tasks[[#This Row],[_Pred3Text]]&amp;"+"),FIND("-",Tasks[[#This Row],[_Pred3Text]]&amp;"-"))-1)),""))</f>
        <v/>
      </c>
      <c r="CH19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9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95" s="45" t="str">
        <f aca="false">IF(Tasks[[#This Row],[_Pred3Text]]="","",TRIM(MID(SUBSTITUTE(SUBSTITUTE(SUBSTITUTE(UPPER(Tasks[[#This Row],[Predecessors]]),";",",")," ",""),",",REPT(" ",99)),298,99)))</f>
        <v/>
      </c>
      <c r="CK195" s="45" t="str">
        <f aca="false">IF(Tasks[[#This Row],[_Pred4Text]]="","",IFERROR(VALUE(LEFT(Tasks[[#This Row],[_Pred4Text]],MIN(FIND("F",Tasks[[#This Row],[_Pred4Text]]&amp;"F"),FIND("S",Tasks[[#This Row],[_Pred4Text]]&amp;"S"),FIND("+",Tasks[[#This Row],[_Pred4Text]]&amp;"+"),FIND("-",Tasks[[#This Row],[_Pred4Text]]&amp;"-"))-1)),""))</f>
        <v/>
      </c>
      <c r="CL19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9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95" s="45" t="str">
        <f aca="false">IF(OR(Tasks[[#This Row],[Task Name]]="",Tasks[[#This Row],[Resources]]=""),"",TRIM(MID(SUBSTITUTE(Tasks[[#This Row],[Resources]],",",REPT(" ",99)),1,99)))</f>
        <v/>
      </c>
      <c r="CO195" s="45" t="str">
        <f aca="false">IF(Tasks[[#This Row],[_Res1Text]]="","",TRIM(MID(SUBSTITUTE(Tasks[[#This Row],[Resources]],",",REPT(" ",99)),100,99)))</f>
        <v/>
      </c>
      <c r="CP195" s="45" t="str">
        <f aca="false">IF(Tasks[[#This Row],[_Res2Text]]="","",TRIM(MID(SUBSTITUTE(Tasks[[#This Row],[Resources]],",",REPT(" ",99)),199,99)))</f>
        <v/>
      </c>
      <c r="CQ195" s="45" t="str">
        <f aca="false">IF(Tasks[[#This Row],[_Res3Text]]="","",TRIM(MID(SUBSTITUTE(Tasks[[#This Row],[Resources]],",",REPT(" ",99)),298,99)))</f>
        <v/>
      </c>
      <c r="CR19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9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5" s="45" t="n">
        <f aca="false">IF(NOT(Tasks[[#This Row],[_IsLeaf]]=1),0,(Tasks[[#This Row],[_Resource1]]&lt;&gt;"")+(Tasks[[#This Row],[_Res2]]&lt;&gt;"")+(Tasks[[#This Row],[_Res3]]&lt;&gt;"")+(Tasks[[#This Row],[_Res4]]&lt;&gt;""))</f>
        <v>0</v>
      </c>
      <c r="CU19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9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5" s="45" t="n">
        <f aca="false">IF(OR(NOT(Tasks[[#This Row],[_IsLeaf]]=1),Tasks[[#This Row],[_Res2]]=""),0,IF(ISNA(MATCH(Tasks[[#This Row],[_Res2]],res_Name,0)),0,N(Tasks[[#This Row],[Duration]])*HoursPerDay*IF(Tasks[[#This Row],[_Res2Units]]="",DefaultUnits,Tasks[[#This Row],[_Res2Units]])))</f>
        <v>0</v>
      </c>
      <c r="CX195" s="45" t="n">
        <f aca="false">IF(Tasks[[#This Row],[_Res2Work]]=0,0,Tasks[[#This Row],[_Res2Work]]*IFERROR(INDEX(res_Rate,MATCH(Tasks[[#This Row],[_Res2]],res_Name,0)),0))</f>
        <v>0</v>
      </c>
      <c r="CY195" s="45" t="n">
        <f aca="false">IF(AND(AND(Tasks[[#This Row],[_IsLeaf]]=1,Tasks[[#This Row],[_LeafTotalWork]]&gt;0),Tasks[[#This Row],[_Res2Work]]&gt;0),Tasks[[#This Row],[_Res2Work]]/(Tasks[[#This Row],[_FinishWorkday]]-Tasks[[#This Row],[_StartWorkday]]+1),0)</f>
        <v>0</v>
      </c>
      <c r="CZ195" s="45" t="n">
        <f aca="false">Tasks[[#This Row],[_Res2WorkPerWD]]*MAX(0,Tasks[[#This Row],[_StartWorkday]]-1)</f>
        <v>0</v>
      </c>
      <c r="DA195" s="45" t="n">
        <f aca="false">Tasks[[#This Row],[_Res2Work]]*Tasks[[#This Row],[_LeafProgress]]</f>
        <v>0</v>
      </c>
      <c r="DB195" s="45" t="n">
        <f aca="false">IF(Tasks[[#This Row],[_LeafTotalCost]]=0,0,Tasks[[#This Row],[_LeafAC]]*Tasks[[#This Row],[_Res2Cost]]/Tasks[[#This Row],[_LeafTotalCost]])</f>
        <v>0</v>
      </c>
      <c r="DC19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9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95" s="45" t="n">
        <f aca="false">IF(OR(NOT(Tasks[[#This Row],[_IsLeaf]]=1),Tasks[[#This Row],[_Res3]]=""),0,IF(ISNA(MATCH(Tasks[[#This Row],[_Res3]],res_Name,0)),0,N(Tasks[[#This Row],[Duration]])*HoursPerDay*IF(Tasks[[#This Row],[_Res3Units]]="",DefaultUnits,Tasks[[#This Row],[_Res3Units]])))</f>
        <v>0</v>
      </c>
      <c r="DF195" s="45" t="n">
        <f aca="false">IF(Tasks[[#This Row],[_Res3Work]]=0,0,Tasks[[#This Row],[_Res3Work]]*IFERROR(INDEX(res_Rate,MATCH(Tasks[[#This Row],[_Res3]],res_Name,0)),0))</f>
        <v>0</v>
      </c>
      <c r="DG195" s="45" t="n">
        <f aca="false">IF(AND(AND(Tasks[[#This Row],[_IsLeaf]]=1,Tasks[[#This Row],[_LeafTotalWork]]&gt;0),Tasks[[#This Row],[_Res3Work]]&gt;0),Tasks[[#This Row],[_Res3Work]]/(Tasks[[#This Row],[_FinishWorkday]]-Tasks[[#This Row],[_StartWorkday]]+1),0)</f>
        <v>0</v>
      </c>
      <c r="DH195" s="45" t="n">
        <f aca="false">Tasks[[#This Row],[_Res3WorkPerWD]]*MAX(0,Tasks[[#This Row],[_StartWorkday]]-1)</f>
        <v>0</v>
      </c>
      <c r="DI195" s="45" t="n">
        <f aca="false">Tasks[[#This Row],[_Res3Work]]*Tasks[[#This Row],[_LeafProgress]]</f>
        <v>0</v>
      </c>
      <c r="DJ195" s="45" t="n">
        <f aca="false">IF(Tasks[[#This Row],[_LeafTotalCost]]=0,0,Tasks[[#This Row],[_LeafAC]]*Tasks[[#This Row],[_Res3Cost]]/Tasks[[#This Row],[_LeafTotalCost]])</f>
        <v>0</v>
      </c>
      <c r="DK19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9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95" s="45" t="n">
        <f aca="false">IF(OR(NOT(Tasks[[#This Row],[_IsLeaf]]=1),Tasks[[#This Row],[_Res4]]=""),0,IF(ISNA(MATCH(Tasks[[#This Row],[_Res4]],res_Name,0)),0,N(Tasks[[#This Row],[Duration]])*HoursPerDay*IF(Tasks[[#This Row],[_Res4Units]]="",DefaultUnits,Tasks[[#This Row],[_Res4Units]])))</f>
        <v>0</v>
      </c>
      <c r="DN195" s="45" t="n">
        <f aca="false">IF(Tasks[[#This Row],[_Res4Work]]=0,0,Tasks[[#This Row],[_Res4Work]]*IFERROR(INDEX(res_Rate,MATCH(Tasks[[#This Row],[_Res4]],res_Name,0)),0))</f>
        <v>0</v>
      </c>
      <c r="DO195" s="45" t="n">
        <f aca="false">IF(AND(AND(Tasks[[#This Row],[_IsLeaf]]=1,Tasks[[#This Row],[_LeafTotalWork]]&gt;0),Tasks[[#This Row],[_Res4Work]]&gt;0),Tasks[[#This Row],[_Res4Work]]/(Tasks[[#This Row],[_FinishWorkday]]-Tasks[[#This Row],[_StartWorkday]]+1),0)</f>
        <v>0</v>
      </c>
      <c r="DP195" s="45" t="n">
        <f aca="false">Tasks[[#This Row],[_Res4WorkPerWD]]*MAX(0,Tasks[[#This Row],[_StartWorkday]]-1)</f>
        <v>0</v>
      </c>
      <c r="DQ195" s="45" t="n">
        <f aca="false">Tasks[[#This Row],[_Res4Work]]*Tasks[[#This Row],[_LeafProgress]]</f>
        <v>0</v>
      </c>
      <c r="DR195" s="45" t="n">
        <f aca="false">IF(Tasks[[#This Row],[_LeafTotalCost]]=0,0,Tasks[[#This Row],[_LeafAC]]*Tasks[[#This Row],[_Res4Cost]]/Tasks[[#This Row],[_LeafTotalCost]])</f>
        <v>0</v>
      </c>
      <c r="DS195" s="45" t="n">
        <f aca="false">IF(ISNUMBER(Tasks[[#This Row],[% Complete]]),Tasks[[#This Row],[% Complete]],IF(Tasks[[#This Row],[Stage]]="",0,IFERROR(INDEX(stg_Pct,MATCH(Tasks[[#This Row],[Stage]],stg_Name,0)),0)))</f>
        <v>0</v>
      </c>
      <c r="DT195" s="45" t="n">
        <f aca="false">IF(NOT(Tasks[[#This Row],[_IsLeaf]]=1),0,IF(N(Tasks[[#This Row],[Actual Finish]])&gt;0,1,MIN(1,Tasks[[#This Row],[_Pct]])))</f>
        <v>0</v>
      </c>
      <c r="DU195" s="45" t="n">
        <f aca="false">IF(OR(NOT(Tasks[[#This Row],[_IsLeaf]]=1),Tasks[[#This Row],[_Resource1]]=""),0,IF(ISNA(MATCH(Tasks[[#This Row],[_Resource1]],res_Name,0)),0,N(Tasks[[#This Row],[Duration]])*HoursPerDay*IF(Tasks[[#This Row],[_Units1]]="",DefaultUnits,Tasks[[#This Row],[_Units1]])))</f>
        <v>0</v>
      </c>
      <c r="DV195" s="45" t="n">
        <f aca="false">IF(Tasks[[#This Row],[_LeafWork]]=0,0,Tasks[[#This Row],[_LeafWork]]*IFERROR(INDEX(res_Rate,MATCH(Tasks[[#This Row],[_Resource1]],res_Name,0)),0))</f>
        <v>0</v>
      </c>
      <c r="DW195" s="45" t="n">
        <f aca="false">Tasks[[#This Row],[_LeafWork]]+Tasks[[#This Row],[_Res2Work]]+Tasks[[#This Row],[_Res3Work]]+Tasks[[#This Row],[_Res4Work]]</f>
        <v>0</v>
      </c>
      <c r="DX195" s="45" t="n">
        <f aca="false">Tasks[[#This Row],[_LeafCost]]+Tasks[[#This Row],[_Res2Cost]]+Tasks[[#This Row],[_Res3Cost]]+Tasks[[#This Row],[_Res4Cost]]</f>
        <v>0</v>
      </c>
      <c r="DY195" s="45" t="n">
        <f aca="false">IF(Tasks[[#This Row],[_LeafTotalCost]]=0,Tasks[[#This Row],[_LeafAC]],Tasks[[#This Row],[_LeafAC]]*Tasks[[#This Row],[_LeafCost]]/Tasks[[#This Row],[_LeafTotalCost]])</f>
        <v>0</v>
      </c>
      <c r="DZ19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9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9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9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9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9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9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9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95" s="45" t="n">
        <f aca="false">IF(NOT(Tasks[[#This Row],[_IsLeaf]]=1),0,MAX(_xlfn.MAXIFS(Tasks[_Row],Tasks[_Pred1UID],Tasks[[#This Row],[UID]]),_xlfn.MAXIFS(Tasks[_Row],Tasks[_Pred2UID],Tasks[[#This Row],[UID]]),_xlfn.MAXIFS(Tasks[_Row],Tasks[_Pred3UID],Tasks[[#This Row],[UID]]),_xlfn.MAXIFS(Tasks[_Row],Tasks[_Pred4UID],Tasks[[#This Row],[UID]])))</f>
        <v>0</v>
      </c>
      <c r="EI19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9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95" s="74" t="str">
        <f aca="false">IF(NOT(Tasks[[#This Row],[_IsLeaf]]=1),"",IF(N(Tasks[[#This Row],[Duration]])&lt;=0,Tasks[[#This Row],[_LeafLateFinish]],WORKDAY.INTL(Tasks[[#This Row],[_LeafLateFinish]],-(Tasks[[#This Row],[Duration]]-1),WorkWeek,Holidays)))</f>
        <v/>
      </c>
      <c r="EL19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95" s="73" t="b">
        <f aca="false">AND(Tasks[[#This Row],[_IsLeaf]]=1,Tasks[[#This Row],[_LeafProgress]]&lt;1,N(Tasks[[#This Row],[_LeafTotalSlack]])&lt;=CriticalSlackDays)</f>
        <v>0</v>
      </c>
      <c r="EN195" s="45" t="n">
        <f aca="false">IF(AND(Tasks[[#This Row],[_IsLeaf]]=1,Tasks[[#This Row],[_ConstraintCode]]=1,Tasks[[#This Row],[Mode]]&lt;&gt;"Manual",N(Tasks[[#This Row],[Actual Start]])=0),MAX(0,N(Tasks[[#This Row],[Free Slack]])),0)</f>
        <v>0</v>
      </c>
      <c r="EO195" s="74" t="str">
        <f aca="false">IF(NOT(Tasks[[#This Row],[_IsLeaf]]=1),"",IF(Tasks[[#This Row],[_AlapShift]]=0,Tasks[[#This Row],[_LeafCalcStart]],WORKDAY.INTL(Tasks[[#This Row],[_LeafCalcStart]],Tasks[[#This Row],[_AlapShift]],WorkWeek,Holidays)))</f>
        <v/>
      </c>
      <c r="EP195" s="74" t="str">
        <f aca="false">IF(NOT(Tasks[[#This Row],[_IsLeaf]]=1),"",IF(Tasks[[#This Row],[_AlapShift]]=0,Tasks[[#This Row],[_LeafCalcFinish]],WORKDAY.INTL(Tasks[[#This Row],[_LeafCalcFinish]],Tasks[[#This Row],[_AlapShift]],WorkWeek,Holidays)))</f>
        <v/>
      </c>
      <c r="EQ195" s="74" t="str">
        <f aca="false">IF(NOT(Tasks[[#This Row],[_IsLeaf]]=1),"",IF(Tasks[[#This Row],[_AlapShift]]=0,Tasks[[#This Row],[_LeafFcstStart]],WORKDAY.INTL(Tasks[[#This Row],[_LeafFcstStart]],Tasks[[#This Row],[_AlapShift]],WorkWeek,Holidays)))</f>
        <v/>
      </c>
      <c r="ER195" s="74" t="str">
        <f aca="false">IF(NOT(Tasks[[#This Row],[_IsLeaf]]=1),"",IF(Tasks[[#This Row],[_AlapShift]]=0,Tasks[[#This Row],[_LeafFcstFinish]],WORKDAY.INTL(Tasks[[#This Row],[_LeafFcstFinish]],Tasks[[#This Row],[_AlapShift]],WorkWeek,Holidays)))</f>
        <v/>
      </c>
      <c r="ES195" s="74" t="str">
        <f aca="false">IF(Tasks[[#This Row],[Task Name]]="","",IF(Tasks[[#This Row],[_IsSummary]],MIN(INDEX(Tasks[_ShownCalcStart],Tasks[[#This Row],[_Row]]+1):INDEX(Tasks[_ShownCalcStart],Tasks[[#This Row],[_Row]]+Tasks[[#This Row],[_Descendants]])),Tasks[[#This Row],[_ShownCalcStart]]))</f>
        <v/>
      </c>
      <c r="ET195" s="74" t="str">
        <f aca="false">IF(Tasks[[#This Row],[Task Name]]="","",IF(Tasks[[#This Row],[_IsSummary]],MAX(INDEX(Tasks[_ShownCalcFinish],Tasks[[#This Row],[_Row]]+1):INDEX(Tasks[_ShownCalcFinish],Tasks[[#This Row],[_Row]]+Tasks[[#This Row],[_Descendants]])),Tasks[[#This Row],[_ShownCalcFinish]]))</f>
        <v/>
      </c>
      <c r="EU19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9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9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9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9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9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9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9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9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9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9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9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95" s="45" t="n">
        <f aca="false">IF(AND(Tasks[[#This Row],[_IsLeaf]]=1,Tasks[[#This Row],[_LeafTotalWork]]&gt;0),NETWORKDAYS.INTL(ProjectStart,Tasks[[#This Row],[_ShownFcstStart]],WorkWeek,Holidays),0)</f>
        <v>0</v>
      </c>
      <c r="FH195" s="45" t="n">
        <f aca="false">IF(AND(Tasks[[#This Row],[_IsLeaf]]=1,Tasks[[#This Row],[_LeafTotalWork]]&gt;0),MAX(Tasks[[#This Row],[_StartWorkday]],NETWORKDAYS.INTL(ProjectStart,Tasks[[#This Row],[_ShownFcstFinish]],WorkWeek,Holidays)),0)</f>
        <v>0</v>
      </c>
      <c r="FI195" s="45" t="n">
        <f aca="false">IF(AND(Tasks[[#This Row],[_IsLeaf]]=1,Tasks[[#This Row],[_LeafTotalWork]]&gt;0),Tasks[[#This Row],[_LeafWork]]/(Tasks[[#This Row],[_FinishWorkday]]-Tasks[[#This Row],[_StartWorkday]]+1),0)</f>
        <v>0</v>
      </c>
      <c r="FJ195" s="45" t="n">
        <f aca="false">Tasks[[#This Row],[_WorkPerWorkday]]*(Tasks[[#This Row],[_StartWorkday]]-1)</f>
        <v>-0</v>
      </c>
      <c r="FK195" s="45" t="n">
        <f aca="false">IF(Tasks[[#This Row],[_IsLeaf]]=1,MAX(N(Tasks[[#This Row],[Duration]]),0.1),0)</f>
        <v>0</v>
      </c>
      <c r="FL195" s="45" t="n">
        <f aca="false">Tasks[[#This Row],[_WeightDur]]*Tasks[[#This Row],[_LeafProgress]]</f>
        <v>0</v>
      </c>
      <c r="FM19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95" s="45" t="str">
        <f aca="false">IF(AND(Tasks[[#This Row],[_IsLeaf]]=1,N(Tasks[[#This Row],[Duration]])=0,Tasks[[#This Row],[_LeafProgress]]&lt;1),Tasks[[#This Row],[_ShownFcstFinish]]+Tasks[[#This Row],[_Row]]/100000,"")</f>
        <v/>
      </c>
      <c r="FO19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95" s="45" t="n">
        <f aca="false">IF(NOT(Tasks[[#This Row],[_IsLeaf]]=1),0,IF(Tasks[[#This Row],[Baseline Cost]]="",Tasks[[#This Row],[_LeafTotalCost]],N(Tasks[[#This Row],[Baseline Cost]])))</f>
        <v>0</v>
      </c>
      <c r="FQ195" s="45" t="n">
        <f aca="false">Tasks[[#This Row],[_LeafBudget]]*Tasks[[#This Row],[_PlannedPct]]</f>
        <v>0</v>
      </c>
      <c r="FR195" s="45" t="n">
        <f aca="false">Tasks[[#This Row],[_LeafBudget]]*Tasks[[#This Row],[_LeafProgress]]</f>
        <v>0</v>
      </c>
      <c r="FS195" s="45" t="n">
        <f aca="false">IF(NOT(Tasks[[#This Row],[_IsLeaf]]=1),0,IF(Tasks[[#This Row],[Actual Cost]]="",Tasks[[#This Row],[_LeafTotalCost]]*Tasks[[#This Row],[_LeafProgress]],N(Tasks[[#This Row],[Actual Cost]])))</f>
        <v>0</v>
      </c>
      <c r="FT195" s="45" t="str">
        <f aca="false">IF(Tasks[[#This Row],[Task Name]]="","",LEFT(Tasks[[#This Row],[WBS]],FIND(".",Tasks[[#This Row],[WBS]]&amp;".")-1))</f>
        <v/>
      </c>
      <c r="FU195" s="45" t="str">
        <f aca="false">IF(AND(Tasks[[#This Row],[Task Name]]&lt;&gt;"",Tasks[[#This Row],[_Level]]=1),Tasks[[#This Row],[_Row]],"")</f>
        <v/>
      </c>
      <c r="FV195" s="45" t="str">
        <f aca="false">IF(AND(Tasks[[#This Row],[_IsLeaf]]=1,N(Tasks[[#This Row],[Duration]])=0),Tasks[[#This Row],[Planned Finish]]+Tasks[[#This Row],[_Row]]/100000,"")</f>
        <v/>
      </c>
      <c r="FW195" s="45" t="str">
        <f aca="false">IF(AND(Tasks[[#This Row],[_IsLeaf]]=1,Tasks[[#This Row],[_LeafProgress]]&lt;1,OR(N(Tasks[[#This Row],[Finish Var]])&gt;0,Tasks[[#This Row],[Status]]="Late Start")),MAX(0,Tasks[[#This Row],[Finish Var]])+1-Tasks[[#This Row],[_Row]]/1000000,"")</f>
        <v/>
      </c>
      <c r="FX195" s="45" t="str">
        <f aca="false">IF(AND(Tasks[[#This Row],[_IsLeaf]]=1,N(Tasks[[#This Row],[Actual Start]])=0,Tasks[[#This Row],[_ShownFcstStart]]&gt;=StatusDate,Tasks[[#This Row],[_ShownFcstStart]]&lt;=LookaheadEnd),Tasks[[#This Row],[_ShownFcstStart]]+Tasks[[#This Row],[_Row]]/100000,"")</f>
        <v/>
      </c>
      <c r="FY195" s="45" t="str">
        <f aca="false">IF(AND(Tasks[[#This Row],[_IsLeaf]]=1,Tasks[[#This Row],[_LeafProgress]]&lt;1,Tasks[[#This Row],[_ShownFcstFinish]]&gt;=StatusDate,Tasks[[#This Row],[_ShownFcstFinish]]&lt;=LookaheadEnd),Tasks[[#This Row],[_ShownFcstFinish]]+Tasks[[#This Row],[_Row]]/100000,"")</f>
        <v/>
      </c>
      <c r="FZ195" s="45" t="str">
        <f aca="false">IF(Tasks[[#This Row],[_LeafCritical]],Tasks[[#This Row],[_ShownFcstStart]]+Tasks[[#This Row],[_Row]]/100000,"")</f>
        <v/>
      </c>
      <c r="GA195" s="45" t="n">
        <f aca="false">Tasks[[#This Row],[_LeafWork]]*Tasks[[#This Row],[_LeafProgress]]</f>
        <v>0</v>
      </c>
      <c r="GB195" s="74" t="str">
        <f aca="false">IF(AND(Tasks[[#This Row],[_IsLeaf]]=1,Tasks[[#This Row],[_LeafProgress]]&gt;=1),IF(N(Tasks[[#This Row],[Actual Finish]])&gt;0,Tasks[[#This Row],[Actual Finish]],Tasks[[#This Row],[_ShownFcstFinish]]),"")</f>
        <v/>
      </c>
    </row>
    <row r="196" customFormat="false" ht="15" hidden="false" customHeight="false" outlineLevel="0" collapsed="false">
      <c r="A196" s="67" t="str">
        <f aca="false">IF(Tasks[[#This Row],[Task Name]]="","",COUNTA(Tasks[[#Headers],[Task Name]]:Tasks[[#This Row],[Task Name]])-1)</f>
        <v/>
      </c>
      <c r="B196" s="21" t="n">
        <v>191</v>
      </c>
      <c r="C196"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21"/>
      <c r="E196" s="22"/>
      <c r="F196" s="21"/>
      <c r="G196" s="22"/>
      <c r="H196" s="22"/>
      <c r="I196" s="22"/>
      <c r="J196" s="7"/>
      <c r="K196" s="7"/>
      <c r="L196" s="22"/>
      <c r="M196" s="58" t="str">
        <f aca="false">IF(Tasks[[#This Row],[Task Name]]="","",IF(Tasks[[#This Row],[_IsSummary]],MIN(INDEX(Tasks[_ShownFcstStart],Tasks[[#This Row],[_Row]]+1):INDEX(Tasks[_ShownFcstStart],Tasks[[#This Row],[_Row]]+Tasks[[#This Row],[_Descendants]])),Tasks[[#This Row],[_ShownFcstStart]]))</f>
        <v/>
      </c>
      <c r="N196" s="58" t="str">
        <f aca="false">IF(Tasks[[#This Row],[Task Name]]="","",IF(Tasks[[#This Row],[_IsSummary]],MAX(INDEX(Tasks[_ShownFcstFinish],Tasks[[#This Row],[_Row]]+1):INDEX(Tasks[_ShownFcstFinish],Tasks[[#This Row],[_Row]]+Tasks[[#This Row],[_Descendants]])),Tasks[[#This Row],[_ShownFcstFinish]]))</f>
        <v/>
      </c>
      <c r="O196" s="20" t="str">
        <f aca="false">IF(Tasks[[#This Row],[Task Name]]="","",IF(Tasks[[#This Row],[Progress]]&gt;=1,"Complete",IF(OR(N(Tasks[[#This Row],[Actual Start]])&gt;0,Tasks[[#This Row],[Progress]]&gt;0),IF(Tasks[[#This Row],[Finish Var]]&gt;0,"Behind","In Progress"),IF(Tasks[[#This Row],[Planned Start]]&lt;StatusDate,"Late Start","Not Started"))))</f>
        <v/>
      </c>
      <c r="P196" s="20" t="str">
        <f aca="false">IF(Tasks[[#This Row],[Task Name]]="","",IF(IF(Tasks[[#This Row],[_IsSummary]],COUNTIF(INDEX(Tasks[_LeafCritical],Tasks[[#This Row],[_Row]]+1):INDEX(Tasks[_LeafCritical],Tasks[[#This Row],[_Row]]+Tasks[[#This Row],[_Descendants]]),TRUE())&gt;0,Tasks[[#This Row],[_LeafCritical]]),"Yes",""))</f>
        <v/>
      </c>
      <c r="Q196"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96" s="67" t="str">
        <f aca="false">IF(Tasks[[#This Row],[Task Name]]="","",IF(Tasks[[#This Row],[_Level]]&lt;=OutlineShowLevel,"Yes","No"))</f>
        <v/>
      </c>
      <c r="S196" s="7"/>
      <c r="T196" s="21"/>
      <c r="U196" s="22"/>
      <c r="V196" s="7"/>
      <c r="W196" s="67" t="str">
        <f aca="false">IF(Tasks[[#This Row],[Task Name]]="","",IF(Tasks[[#This Row],[Finish]]&gt;=Tasks[[#This Row],[Planned Finish]],NETWORKDAYS.INTL(Tasks[[#This Row],[Planned Finish]],Tasks[[#This Row],[Finish]],WorkWeek,Holidays)-1,1-NETWORKDAYS.INTL(Tasks[[#This Row],[Finish]],Tasks[[#This Row],[Planned Finish]],WorkWeek,Holidays)))</f>
        <v/>
      </c>
      <c r="X196" s="58" t="str">
        <f aca="false">IF(Tasks[[#This Row],[Task Name]]="","",IF(N(Tasks[[#This Row],[Baseline Start]])&gt;0,Tasks[[#This Row],[Baseline Start]],Tasks[[#This Row],[_CalcStart]]))</f>
        <v/>
      </c>
      <c r="Y196" s="58" t="str">
        <f aca="false">IF(Tasks[[#This Row],[Task Name]]="","",IF(N(Tasks[[#This Row],[Baseline Finish]])&gt;0,Tasks[[#This Row],[Baseline Finish]],Tasks[[#This Row],[_CalcFinish]]))</f>
        <v/>
      </c>
      <c r="Z196" s="67" t="str">
        <f aca="false">IF(Tasks[[#This Row],[Task Name]]="","",IF(Tasks[[#This Row],[Start]]&gt;=Tasks[[#This Row],[Planned Start]],NETWORKDAYS.INTL(Tasks[[#This Row],[Planned Start]],Tasks[[#This Row],[Start]],WorkWeek,Holidays)-1,1-NETWORKDAYS.INTL(Tasks[[#This Row],[Start]],Tasks[[#This Row],[Planned Start]],WorkWeek,Holidays)))</f>
        <v/>
      </c>
      <c r="AA196" s="58" t="str">
        <f aca="false">IF(Tasks[[#This Row],[Task Name]]="","",IF(Tasks[[#This Row],[_IsSummary]],MIN(INDEX(Tasks[_LeafLateStart],Tasks[[#This Row],[_Row]]+1):INDEX(Tasks[_LeafLateStart],Tasks[[#This Row],[_Row]]+Tasks[[#This Row],[_Descendants]])),Tasks[[#This Row],[_LeafLateStart]]))</f>
        <v/>
      </c>
      <c r="AB196" s="58" t="str">
        <f aca="false">IF(Tasks[[#This Row],[Task Name]]="","",IF(Tasks[[#This Row],[_IsSummary]],MAX(INDEX(Tasks[_LeafLateFinish],Tasks[[#This Row],[_Row]]+1):INDEX(Tasks[_LeafLateFinish],Tasks[[#This Row],[_Row]]+Tasks[[#This Row],[_Descendants]])),Tasks[[#This Row],[_LeafLateFinish]]))</f>
        <v/>
      </c>
      <c r="AC196" s="67" t="str">
        <f aca="false">IF(Tasks[[#This Row],[Task Name]]="","",IF(Tasks[[#This Row],[_IsSummary]],MIN(INDEX(Tasks[_LeafTotalSlack],Tasks[[#This Row],[_Row]]+1):INDEX(Tasks[_LeafTotalSlack],Tasks[[#This Row],[_Row]]+Tasks[[#This Row],[_Descendants]])),Tasks[[#This Row],[_LeafTotalSlack]]))</f>
        <v/>
      </c>
      <c r="AD196"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96"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96"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96" s="60"/>
      <c r="AH196"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96"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96" s="69" t="str">
        <f aca="false">IF(Tasks[[#This Row],[Task Name]]="","",IF(Tasks[[#This Row],[_IsSummary]],SUM(INDEX(Tasks[_LeafTotalWork],Tasks[[#This Row],[_Row]]+1):INDEX(Tasks[_LeafTotalWork],Tasks[[#This Row],[_Row]]+Tasks[[#This Row],[_Descendants]])),Tasks[[#This Row],[_LeafTotalWork]]))</f>
        <v/>
      </c>
      <c r="AK196"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96" s="70" t="str">
        <f aca="false">IF(Tasks[[#This Row],[Task Name]]="","",IF(Tasks[[#This Row],[_IsSummary]],SUM(INDEX(Tasks[_LeafTotalCost],Tasks[[#This Row],[_Row]]+1):INDEX(Tasks[_LeafTotalCost],Tasks[[#This Row],[_Row]]+Tasks[[#This Row],[_Descendants]])),Tasks[[#This Row],[_LeafTotalCost]]))</f>
        <v/>
      </c>
      <c r="AM196" s="71"/>
      <c r="AN196" s="20" t="str">
        <f aca="false">IF(OR(Tasks[[#This Row],[Task Name]]="",Tasks[[#This Row],[Baseline Duration]]=""),"",Tasks[[#This Row],[BL Source Duration]]-N(Tasks[[#This Row],[Baseline Duration]]))</f>
        <v/>
      </c>
      <c r="AO196" s="69" t="str">
        <f aca="false">IF(OR(Tasks[[#This Row],[Task Name]]="",Tasks[[#This Row],[Baseline Work]]=""),"",Tasks[[#This Row],[Work]]-N(Tasks[[#This Row],[Baseline Work]]))</f>
        <v/>
      </c>
      <c r="AP196" s="70" t="str">
        <f aca="false">IF(OR(Tasks[[#This Row],[Task Name]]="",Tasks[[#This Row],[Baseline Cost]]=""),"",Tasks[[#This Row],[Cost]]-N(Tasks[[#This Row],[Baseline Cost]]))</f>
        <v/>
      </c>
      <c r="AQ196" s="58" t="str">
        <f aca="false">IF(Tasks[[#This Row],[Task Name]]="","",Tasks[[#This Row],[Start]])</f>
        <v/>
      </c>
      <c r="AR196" s="58" t="str">
        <f aca="false">IF(Tasks[[#This Row],[Task Name]]="","",Tasks[[#This Row],[Finish]])</f>
        <v/>
      </c>
      <c r="AS196" s="67" t="str">
        <f aca="false">IF(Tasks[[#This Row],[Task Name]]="","",IF(Tasks[[#This Row],[_IsSummary]],NETWORKDAYS.INTL(Tasks[[#This Row],[Start]],Tasks[[#This Row],[Finish]],WorkWeek,Holidays),N(Tasks[[#This Row],[Duration]])))</f>
        <v/>
      </c>
      <c r="AT196" s="69" t="str">
        <f aca="false">IF(Tasks[[#This Row],[Task Name]]="","",Tasks[[#This Row],[Work]])</f>
        <v/>
      </c>
      <c r="AU196" s="70" t="str">
        <f aca="false">IF(Tasks[[#This Row],[Task Name]]="","",Tasks[[#This Row],[Cost]])</f>
        <v/>
      </c>
      <c r="AV196" s="7"/>
      <c r="AW196" s="7"/>
      <c r="AX196" s="21"/>
      <c r="AY196" s="72"/>
      <c r="AZ196" s="71"/>
      <c r="BA196" s="70" t="str">
        <f aca="false">IF(Tasks[[#This Row],[Task Name]]="","",IF(Tasks[[#This Row],[_IsSummary]],SUM(INDEX(Tasks[_LeafEV],Tasks[[#This Row],[_Row]]+1):INDEX(Tasks[_LeafEV],Tasks[[#This Row],[_Row]]+Tasks[[#This Row],[_Descendants]])),Tasks[[#This Row],[_LeafEV]]))</f>
        <v/>
      </c>
      <c r="BB196" s="70" t="str">
        <f aca="false">IF(Tasks[[#This Row],[Task Name]]="","",IF(Tasks[[#This Row],[_IsSummary]],SUM(INDEX(Tasks[_LeafBudget],Tasks[[#This Row],[_Row]]+1):INDEX(Tasks[_LeafBudget],Tasks[[#This Row],[_Row]]+Tasks[[#This Row],[_Descendants]])),Tasks[[#This Row],[_LeafBudget]]))</f>
        <v/>
      </c>
      <c r="BC196" s="70" t="str">
        <f aca="false">IF(Tasks[[#This Row],[Task Name]]="","",IF(Tasks[[#This Row],[_IsSummary]],SUM(INDEX(Tasks[_LeafPV],Tasks[[#This Row],[_Row]]+1):INDEX(Tasks[_LeafPV],Tasks[[#This Row],[_Row]]+Tasks[[#This Row],[_Descendants]])),Tasks[[#This Row],[_LeafPV]]))</f>
        <v/>
      </c>
      <c r="BD196" s="70" t="str">
        <f aca="false">IF(Tasks[[#This Row],[Task Name]]="","",IF(Tasks[[#This Row],[_IsSummary]],SUM(INDEX(Tasks[_LeafAC],Tasks[[#This Row],[_Row]]+1):INDEX(Tasks[_LeafAC],Tasks[[#This Row],[_Row]]+Tasks[[#This Row],[_Descendants]])),Tasks[[#This Row],[_LeafAC]]))</f>
        <v/>
      </c>
      <c r="BE196" s="45" t="str">
        <f aca="false">IF(Tasks[[#This Row],[Task Name]]="","",MAX(1,N(Tasks[[#This Row],[Level]])))</f>
        <v/>
      </c>
      <c r="BF196" s="45" t="n">
        <f aca="false">ROW()-ROW(Tasks[[#Headers],[ID]])</f>
        <v>191</v>
      </c>
      <c r="BG196" s="45" t="n">
        <f aca="false">IF(OR(Tasks[[#This Row],[Task Name]]="",Tasks[[#This Row],[_Level]]&lt;=1),0,IFERROR(LOOKUP(2,1/(Tasks[[#Headers],[_Level]]:Tasks[[#This Row],[_Level]]=Tasks[[#This Row],[_Level]]-1),ROW(Tasks[[#Headers],[_Level]]:Tasks[[#This Row],[_Level]])),0))</f>
        <v>0</v>
      </c>
      <c r="BH196" s="45" t="n">
        <f aca="false">IFERROR(N(INDEX(Tasks[_Level],Tasks[[#This Row],[_Row]]+1)),0)</f>
        <v>0</v>
      </c>
      <c r="BI196" s="73" t="b">
        <f aca="false">AND(Tasks[[#This Row],[Task Name]]&lt;&gt;"",Tasks[[#This Row],[_NextLevel]]&gt;Tasks[[#This Row],[_Level]])</f>
        <v>0</v>
      </c>
      <c r="BJ196" s="45" t="n">
        <f aca="false">IF(Tasks[[#This Row],[_IsSummary]],COUNTIF(Tasks[WBS],Tasks[[#This Row],[WBS]]&amp;".*"),0)</f>
        <v>0</v>
      </c>
      <c r="BK196" s="45" t="n">
        <f aca="false">IF(AND(Tasks[[#This Row],[Task Name]]&lt;&gt;"",NOT(Tasks[[#This Row],[_IsSummary]])),1,0)</f>
        <v>0</v>
      </c>
      <c r="BL196" s="45" t="n">
        <f aca="false">IF(N(Tasks[[#This Row],[_Pred1UID]])=0,0,IFERROR(MATCH(Tasks[[#This Row],[_Pred1UID]],Tasks[UID],0),-1))</f>
        <v>0</v>
      </c>
      <c r="BM196" s="45" t="n">
        <f aca="false">IF(N(Tasks[[#This Row],[_Pred2UID]])=0,0,IFERROR(MATCH(Tasks[[#This Row],[_Pred2UID]],Tasks[UID],0),-1))</f>
        <v>0</v>
      </c>
      <c r="BN196" s="45" t="n">
        <f aca="false">IF(N(Tasks[[#This Row],[_Pred3UID]])=0,0,IFERROR(MATCH(Tasks[[#This Row],[_Pred3UID]],Tasks[UID],0),-1))</f>
        <v>0</v>
      </c>
      <c r="BO196" s="45" t="n">
        <f aca="false">IF(N(Tasks[[#This Row],[_Pred4UID]])=0,0,IFERROR(MATCH(Tasks[[#This Row],[_Pred4UID]],Tasks[UID],0),-1))</f>
        <v>0</v>
      </c>
      <c r="BP19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96"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96" s="74" t="n">
        <f aca="false">IF(OR(Tasks[[#This Row],[_ConstraintCode]]=2,Tasks[[#This Row],[_ConstraintCode]]=3,Tasks[[#This Row],[_ConstraintCode]]=4,Tasks[[#This Row],[_ConstraintCode]]=6),Tasks[[#This Row],[_ConstraintStart]],0)</f>
        <v>0</v>
      </c>
      <c r="BS196" s="74" t="n">
        <f aca="false">IF(OR(Tasks[[#This Row],[_ConstraintCode]]=2,Tasks[[#This Row],[_ConstraintCode]]=3,Tasks[[#This Row],[_ConstraintCode]]=5,Tasks[[#This Row],[_ConstraintCode]]=7),Tasks[[#This Row],[_ConstraintStart]],2958465)</f>
        <v>2958465</v>
      </c>
      <c r="BT196"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96" s="74" t="str">
        <f aca="false">IF(NOT(Tasks[[#This Row],[_IsLeaf]]=1),"",IF(N(Tasks[[#This Row],[Duration]])&lt;=0,Tasks[[#This Row],[_LeafCalcStart]],WORKDAY.INTL(Tasks[[#This Row],[_LeafCalcStart]],Tasks[[#This Row],[Duration]]-1,WorkWeek,Holidays)))</f>
        <v/>
      </c>
      <c r="BV196"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96"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96" s="45" t="str">
        <f aca="false">IF(Tasks[[#This Row],[Predecessors]]="","",TRIM(MID(SUBSTITUTE(SUBSTITUTE(SUBSTITUTE(UPPER(Tasks[[#This Row],[Predecessors]]),";",",")," ",""),",",REPT(" ",99)),1,99)))</f>
        <v/>
      </c>
      <c r="BY196" s="45" t="str">
        <f aca="false">IF(Tasks[[#This Row],[_Pred1Text]]="","",IFERROR(VALUE(LEFT(Tasks[[#This Row],[_Pred1Text]],MIN(FIND("F",Tasks[[#This Row],[_Pred1Text]]&amp;"F"),FIND("S",Tasks[[#This Row],[_Pred1Text]]&amp;"S"),FIND("+",Tasks[[#This Row],[_Pred1Text]]&amp;"+"),FIND("-",Tasks[[#This Row],[_Pred1Text]]&amp;"-"))-1)),""))</f>
        <v/>
      </c>
      <c r="BZ19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9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96" s="45" t="str">
        <f aca="false">IF(Tasks[[#This Row],[_Pred1Text]]="","",TRIM(MID(SUBSTITUTE(SUBSTITUTE(SUBSTITUTE(UPPER(Tasks[[#This Row],[Predecessors]]),";",",")," ",""),",",REPT(" ",99)),100,99)))</f>
        <v/>
      </c>
      <c r="CC196" s="45" t="str">
        <f aca="false">IF(Tasks[[#This Row],[_Pred2Text]]="","",IFERROR(VALUE(LEFT(Tasks[[#This Row],[_Pred2Text]],MIN(FIND("F",Tasks[[#This Row],[_Pred2Text]]&amp;"F"),FIND("S",Tasks[[#This Row],[_Pred2Text]]&amp;"S"),FIND("+",Tasks[[#This Row],[_Pred2Text]]&amp;"+"),FIND("-",Tasks[[#This Row],[_Pred2Text]]&amp;"-"))-1)),""))</f>
        <v/>
      </c>
      <c r="CD19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9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96" s="45" t="str">
        <f aca="false">IF(Tasks[[#This Row],[_Pred2Text]]="","",TRIM(MID(SUBSTITUTE(SUBSTITUTE(SUBSTITUTE(UPPER(Tasks[[#This Row],[Predecessors]]),";",",")," ",""),",",REPT(" ",99)),199,99)))</f>
        <v/>
      </c>
      <c r="CG196" s="45" t="str">
        <f aca="false">IF(Tasks[[#This Row],[_Pred3Text]]="","",IFERROR(VALUE(LEFT(Tasks[[#This Row],[_Pred3Text]],MIN(FIND("F",Tasks[[#This Row],[_Pred3Text]]&amp;"F"),FIND("S",Tasks[[#This Row],[_Pred3Text]]&amp;"S"),FIND("+",Tasks[[#This Row],[_Pred3Text]]&amp;"+"),FIND("-",Tasks[[#This Row],[_Pred3Text]]&amp;"-"))-1)),""))</f>
        <v/>
      </c>
      <c r="CH19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9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96" s="45" t="str">
        <f aca="false">IF(Tasks[[#This Row],[_Pred3Text]]="","",TRIM(MID(SUBSTITUTE(SUBSTITUTE(SUBSTITUTE(UPPER(Tasks[[#This Row],[Predecessors]]),";",",")," ",""),",",REPT(" ",99)),298,99)))</f>
        <v/>
      </c>
      <c r="CK196" s="45" t="str">
        <f aca="false">IF(Tasks[[#This Row],[_Pred4Text]]="","",IFERROR(VALUE(LEFT(Tasks[[#This Row],[_Pred4Text]],MIN(FIND("F",Tasks[[#This Row],[_Pred4Text]]&amp;"F"),FIND("S",Tasks[[#This Row],[_Pred4Text]]&amp;"S"),FIND("+",Tasks[[#This Row],[_Pred4Text]]&amp;"+"),FIND("-",Tasks[[#This Row],[_Pred4Text]]&amp;"-"))-1)),""))</f>
        <v/>
      </c>
      <c r="CL19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9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96" s="45" t="str">
        <f aca="false">IF(OR(Tasks[[#This Row],[Task Name]]="",Tasks[[#This Row],[Resources]]=""),"",TRIM(MID(SUBSTITUTE(Tasks[[#This Row],[Resources]],",",REPT(" ",99)),1,99)))</f>
        <v/>
      </c>
      <c r="CO196" s="45" t="str">
        <f aca="false">IF(Tasks[[#This Row],[_Res1Text]]="","",TRIM(MID(SUBSTITUTE(Tasks[[#This Row],[Resources]],",",REPT(" ",99)),100,99)))</f>
        <v/>
      </c>
      <c r="CP196" s="45" t="str">
        <f aca="false">IF(Tasks[[#This Row],[_Res2Text]]="","",TRIM(MID(SUBSTITUTE(Tasks[[#This Row],[Resources]],",",REPT(" ",99)),199,99)))</f>
        <v/>
      </c>
      <c r="CQ196" s="45" t="str">
        <f aca="false">IF(Tasks[[#This Row],[_Res3Text]]="","",TRIM(MID(SUBSTITUTE(Tasks[[#This Row],[Resources]],",",REPT(" ",99)),298,99)))</f>
        <v/>
      </c>
      <c r="CR196"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9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6" s="45" t="n">
        <f aca="false">IF(NOT(Tasks[[#This Row],[_IsLeaf]]=1),0,(Tasks[[#This Row],[_Resource1]]&lt;&gt;"")+(Tasks[[#This Row],[_Res2]]&lt;&gt;"")+(Tasks[[#This Row],[_Res3]]&lt;&gt;"")+(Tasks[[#This Row],[_Res4]]&lt;&gt;""))</f>
        <v>0</v>
      </c>
      <c r="CU196"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9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6" s="45" t="n">
        <f aca="false">IF(OR(NOT(Tasks[[#This Row],[_IsLeaf]]=1),Tasks[[#This Row],[_Res2]]=""),0,IF(ISNA(MATCH(Tasks[[#This Row],[_Res2]],res_Name,0)),0,N(Tasks[[#This Row],[Duration]])*HoursPerDay*IF(Tasks[[#This Row],[_Res2Units]]="",DefaultUnits,Tasks[[#This Row],[_Res2Units]])))</f>
        <v>0</v>
      </c>
      <c r="CX196" s="45" t="n">
        <f aca="false">IF(Tasks[[#This Row],[_Res2Work]]=0,0,Tasks[[#This Row],[_Res2Work]]*IFERROR(INDEX(res_Rate,MATCH(Tasks[[#This Row],[_Res2]],res_Name,0)),0))</f>
        <v>0</v>
      </c>
      <c r="CY196" s="45" t="n">
        <f aca="false">IF(AND(AND(Tasks[[#This Row],[_IsLeaf]]=1,Tasks[[#This Row],[_LeafTotalWork]]&gt;0),Tasks[[#This Row],[_Res2Work]]&gt;0),Tasks[[#This Row],[_Res2Work]]/(Tasks[[#This Row],[_FinishWorkday]]-Tasks[[#This Row],[_StartWorkday]]+1),0)</f>
        <v>0</v>
      </c>
      <c r="CZ196" s="45" t="n">
        <f aca="false">Tasks[[#This Row],[_Res2WorkPerWD]]*MAX(0,Tasks[[#This Row],[_StartWorkday]]-1)</f>
        <v>0</v>
      </c>
      <c r="DA196" s="45" t="n">
        <f aca="false">Tasks[[#This Row],[_Res2Work]]*Tasks[[#This Row],[_LeafProgress]]</f>
        <v>0</v>
      </c>
      <c r="DB196" s="45" t="n">
        <f aca="false">IF(Tasks[[#This Row],[_LeafTotalCost]]=0,0,Tasks[[#This Row],[_LeafAC]]*Tasks[[#This Row],[_Res2Cost]]/Tasks[[#This Row],[_LeafTotalCost]])</f>
        <v>0</v>
      </c>
      <c r="DC196"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9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96" s="45" t="n">
        <f aca="false">IF(OR(NOT(Tasks[[#This Row],[_IsLeaf]]=1),Tasks[[#This Row],[_Res3]]=""),0,IF(ISNA(MATCH(Tasks[[#This Row],[_Res3]],res_Name,0)),0,N(Tasks[[#This Row],[Duration]])*HoursPerDay*IF(Tasks[[#This Row],[_Res3Units]]="",DefaultUnits,Tasks[[#This Row],[_Res3Units]])))</f>
        <v>0</v>
      </c>
      <c r="DF196" s="45" t="n">
        <f aca="false">IF(Tasks[[#This Row],[_Res3Work]]=0,0,Tasks[[#This Row],[_Res3Work]]*IFERROR(INDEX(res_Rate,MATCH(Tasks[[#This Row],[_Res3]],res_Name,0)),0))</f>
        <v>0</v>
      </c>
      <c r="DG196" s="45" t="n">
        <f aca="false">IF(AND(AND(Tasks[[#This Row],[_IsLeaf]]=1,Tasks[[#This Row],[_LeafTotalWork]]&gt;0),Tasks[[#This Row],[_Res3Work]]&gt;0),Tasks[[#This Row],[_Res3Work]]/(Tasks[[#This Row],[_FinishWorkday]]-Tasks[[#This Row],[_StartWorkday]]+1),0)</f>
        <v>0</v>
      </c>
      <c r="DH196" s="45" t="n">
        <f aca="false">Tasks[[#This Row],[_Res3WorkPerWD]]*MAX(0,Tasks[[#This Row],[_StartWorkday]]-1)</f>
        <v>0</v>
      </c>
      <c r="DI196" s="45" t="n">
        <f aca="false">Tasks[[#This Row],[_Res3Work]]*Tasks[[#This Row],[_LeafProgress]]</f>
        <v>0</v>
      </c>
      <c r="DJ196" s="45" t="n">
        <f aca="false">IF(Tasks[[#This Row],[_LeafTotalCost]]=0,0,Tasks[[#This Row],[_LeafAC]]*Tasks[[#This Row],[_Res3Cost]]/Tasks[[#This Row],[_LeafTotalCost]])</f>
        <v>0</v>
      </c>
      <c r="DK196"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9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96" s="45" t="n">
        <f aca="false">IF(OR(NOT(Tasks[[#This Row],[_IsLeaf]]=1),Tasks[[#This Row],[_Res4]]=""),0,IF(ISNA(MATCH(Tasks[[#This Row],[_Res4]],res_Name,0)),0,N(Tasks[[#This Row],[Duration]])*HoursPerDay*IF(Tasks[[#This Row],[_Res4Units]]="",DefaultUnits,Tasks[[#This Row],[_Res4Units]])))</f>
        <v>0</v>
      </c>
      <c r="DN196" s="45" t="n">
        <f aca="false">IF(Tasks[[#This Row],[_Res4Work]]=0,0,Tasks[[#This Row],[_Res4Work]]*IFERROR(INDEX(res_Rate,MATCH(Tasks[[#This Row],[_Res4]],res_Name,0)),0))</f>
        <v>0</v>
      </c>
      <c r="DO196" s="45" t="n">
        <f aca="false">IF(AND(AND(Tasks[[#This Row],[_IsLeaf]]=1,Tasks[[#This Row],[_LeafTotalWork]]&gt;0),Tasks[[#This Row],[_Res4Work]]&gt;0),Tasks[[#This Row],[_Res4Work]]/(Tasks[[#This Row],[_FinishWorkday]]-Tasks[[#This Row],[_StartWorkday]]+1),0)</f>
        <v>0</v>
      </c>
      <c r="DP196" s="45" t="n">
        <f aca="false">Tasks[[#This Row],[_Res4WorkPerWD]]*MAX(0,Tasks[[#This Row],[_StartWorkday]]-1)</f>
        <v>0</v>
      </c>
      <c r="DQ196" s="45" t="n">
        <f aca="false">Tasks[[#This Row],[_Res4Work]]*Tasks[[#This Row],[_LeafProgress]]</f>
        <v>0</v>
      </c>
      <c r="DR196" s="45" t="n">
        <f aca="false">IF(Tasks[[#This Row],[_LeafTotalCost]]=0,0,Tasks[[#This Row],[_LeafAC]]*Tasks[[#This Row],[_Res4Cost]]/Tasks[[#This Row],[_LeafTotalCost]])</f>
        <v>0</v>
      </c>
      <c r="DS196" s="45" t="n">
        <f aca="false">IF(ISNUMBER(Tasks[[#This Row],[% Complete]]),Tasks[[#This Row],[% Complete]],IF(Tasks[[#This Row],[Stage]]="",0,IFERROR(INDEX(stg_Pct,MATCH(Tasks[[#This Row],[Stage]],stg_Name,0)),0)))</f>
        <v>0</v>
      </c>
      <c r="DT196" s="45" t="n">
        <f aca="false">IF(NOT(Tasks[[#This Row],[_IsLeaf]]=1),0,IF(N(Tasks[[#This Row],[Actual Finish]])&gt;0,1,MIN(1,Tasks[[#This Row],[_Pct]])))</f>
        <v>0</v>
      </c>
      <c r="DU196" s="45" t="n">
        <f aca="false">IF(OR(NOT(Tasks[[#This Row],[_IsLeaf]]=1),Tasks[[#This Row],[_Resource1]]=""),0,IF(ISNA(MATCH(Tasks[[#This Row],[_Resource1]],res_Name,0)),0,N(Tasks[[#This Row],[Duration]])*HoursPerDay*IF(Tasks[[#This Row],[_Units1]]="",DefaultUnits,Tasks[[#This Row],[_Units1]])))</f>
        <v>0</v>
      </c>
      <c r="DV196" s="45" t="n">
        <f aca="false">IF(Tasks[[#This Row],[_LeafWork]]=0,0,Tasks[[#This Row],[_LeafWork]]*IFERROR(INDEX(res_Rate,MATCH(Tasks[[#This Row],[_Resource1]],res_Name,0)),0))</f>
        <v>0</v>
      </c>
      <c r="DW196" s="45" t="n">
        <f aca="false">Tasks[[#This Row],[_LeafWork]]+Tasks[[#This Row],[_Res2Work]]+Tasks[[#This Row],[_Res3Work]]+Tasks[[#This Row],[_Res4Work]]</f>
        <v>0</v>
      </c>
      <c r="DX196" s="45" t="n">
        <f aca="false">Tasks[[#This Row],[_LeafCost]]+Tasks[[#This Row],[_Res2Cost]]+Tasks[[#This Row],[_Res3Cost]]+Tasks[[#This Row],[_Res4Cost]]</f>
        <v>0</v>
      </c>
      <c r="DY196" s="45" t="n">
        <f aca="false">IF(Tasks[[#This Row],[_LeafTotalCost]]=0,Tasks[[#This Row],[_LeafAC]],Tasks[[#This Row],[_LeafAC]]*Tasks[[#This Row],[_LeafCost]]/Tasks[[#This Row],[_LeafTotalCost]])</f>
        <v>0</v>
      </c>
      <c r="DZ196"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96"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96"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96"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9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9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9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9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96" s="45" t="n">
        <f aca="false">IF(NOT(Tasks[[#This Row],[_IsLeaf]]=1),0,MAX(_xlfn.MAXIFS(Tasks[_Row],Tasks[_Pred1UID],Tasks[[#This Row],[UID]]),_xlfn.MAXIFS(Tasks[_Row],Tasks[_Pred2UID],Tasks[[#This Row],[UID]]),_xlfn.MAXIFS(Tasks[_Row],Tasks[_Pred3UID],Tasks[[#This Row],[UID]]),_xlfn.MAXIFS(Tasks[_Row],Tasks[_Pred4UID],Tasks[[#This Row],[UID]])))</f>
        <v>0</v>
      </c>
      <c r="EI196"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96"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96" s="74" t="str">
        <f aca="false">IF(NOT(Tasks[[#This Row],[_IsLeaf]]=1),"",IF(N(Tasks[[#This Row],[Duration]])&lt;=0,Tasks[[#This Row],[_LeafLateFinish]],WORKDAY.INTL(Tasks[[#This Row],[_LeafLateFinish]],-(Tasks[[#This Row],[Duration]]-1),WorkWeek,Holidays)))</f>
        <v/>
      </c>
      <c r="EL19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96" s="73" t="b">
        <f aca="false">AND(Tasks[[#This Row],[_IsLeaf]]=1,Tasks[[#This Row],[_LeafProgress]]&lt;1,N(Tasks[[#This Row],[_LeafTotalSlack]])&lt;=CriticalSlackDays)</f>
        <v>0</v>
      </c>
      <c r="EN196" s="45" t="n">
        <f aca="false">IF(AND(Tasks[[#This Row],[_IsLeaf]]=1,Tasks[[#This Row],[_ConstraintCode]]=1,Tasks[[#This Row],[Mode]]&lt;&gt;"Manual",N(Tasks[[#This Row],[Actual Start]])=0),MAX(0,N(Tasks[[#This Row],[Free Slack]])),0)</f>
        <v>0</v>
      </c>
      <c r="EO196" s="74" t="str">
        <f aca="false">IF(NOT(Tasks[[#This Row],[_IsLeaf]]=1),"",IF(Tasks[[#This Row],[_AlapShift]]=0,Tasks[[#This Row],[_LeafCalcStart]],WORKDAY.INTL(Tasks[[#This Row],[_LeafCalcStart]],Tasks[[#This Row],[_AlapShift]],WorkWeek,Holidays)))</f>
        <v/>
      </c>
      <c r="EP196" s="74" t="str">
        <f aca="false">IF(NOT(Tasks[[#This Row],[_IsLeaf]]=1),"",IF(Tasks[[#This Row],[_AlapShift]]=0,Tasks[[#This Row],[_LeafCalcFinish]],WORKDAY.INTL(Tasks[[#This Row],[_LeafCalcFinish]],Tasks[[#This Row],[_AlapShift]],WorkWeek,Holidays)))</f>
        <v/>
      </c>
      <c r="EQ196" s="74" t="str">
        <f aca="false">IF(NOT(Tasks[[#This Row],[_IsLeaf]]=1),"",IF(Tasks[[#This Row],[_AlapShift]]=0,Tasks[[#This Row],[_LeafFcstStart]],WORKDAY.INTL(Tasks[[#This Row],[_LeafFcstStart]],Tasks[[#This Row],[_AlapShift]],WorkWeek,Holidays)))</f>
        <v/>
      </c>
      <c r="ER196" s="74" t="str">
        <f aca="false">IF(NOT(Tasks[[#This Row],[_IsLeaf]]=1),"",IF(Tasks[[#This Row],[_AlapShift]]=0,Tasks[[#This Row],[_LeafFcstFinish]],WORKDAY.INTL(Tasks[[#This Row],[_LeafFcstFinish]],Tasks[[#This Row],[_AlapShift]],WorkWeek,Holidays)))</f>
        <v/>
      </c>
      <c r="ES196" s="74" t="str">
        <f aca="false">IF(Tasks[[#This Row],[Task Name]]="","",IF(Tasks[[#This Row],[_IsSummary]],MIN(INDEX(Tasks[_ShownCalcStart],Tasks[[#This Row],[_Row]]+1):INDEX(Tasks[_ShownCalcStart],Tasks[[#This Row],[_Row]]+Tasks[[#This Row],[_Descendants]])),Tasks[[#This Row],[_ShownCalcStart]]))</f>
        <v/>
      </c>
      <c r="ET196" s="74" t="str">
        <f aca="false">IF(Tasks[[#This Row],[Task Name]]="","",IF(Tasks[[#This Row],[_IsSummary]],MAX(INDEX(Tasks[_ShownCalcFinish],Tasks[[#This Row],[_Row]]+1):INDEX(Tasks[_ShownCalcFinish],Tasks[[#This Row],[_Row]]+Tasks[[#This Row],[_Descendants]])),Tasks[[#This Row],[_ShownCalcFinish]]))</f>
        <v/>
      </c>
      <c r="EU19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9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9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9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96"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96"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96"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96"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96"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96"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96"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96"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96" s="45" t="n">
        <f aca="false">IF(AND(Tasks[[#This Row],[_IsLeaf]]=1,Tasks[[#This Row],[_LeafTotalWork]]&gt;0),NETWORKDAYS.INTL(ProjectStart,Tasks[[#This Row],[_ShownFcstStart]],WorkWeek,Holidays),0)</f>
        <v>0</v>
      </c>
      <c r="FH196" s="45" t="n">
        <f aca="false">IF(AND(Tasks[[#This Row],[_IsLeaf]]=1,Tasks[[#This Row],[_LeafTotalWork]]&gt;0),MAX(Tasks[[#This Row],[_StartWorkday]],NETWORKDAYS.INTL(ProjectStart,Tasks[[#This Row],[_ShownFcstFinish]],WorkWeek,Holidays)),0)</f>
        <v>0</v>
      </c>
      <c r="FI196" s="45" t="n">
        <f aca="false">IF(AND(Tasks[[#This Row],[_IsLeaf]]=1,Tasks[[#This Row],[_LeafTotalWork]]&gt;0),Tasks[[#This Row],[_LeafWork]]/(Tasks[[#This Row],[_FinishWorkday]]-Tasks[[#This Row],[_StartWorkday]]+1),0)</f>
        <v>0</v>
      </c>
      <c r="FJ196" s="45" t="n">
        <f aca="false">Tasks[[#This Row],[_WorkPerWorkday]]*(Tasks[[#This Row],[_StartWorkday]]-1)</f>
        <v>-0</v>
      </c>
      <c r="FK196" s="45" t="n">
        <f aca="false">IF(Tasks[[#This Row],[_IsLeaf]]=1,MAX(N(Tasks[[#This Row],[Duration]]),0.1),0)</f>
        <v>0</v>
      </c>
      <c r="FL196" s="45" t="n">
        <f aca="false">Tasks[[#This Row],[_WeightDur]]*Tasks[[#This Row],[_LeafProgress]]</f>
        <v>0</v>
      </c>
      <c r="FM19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96" s="45" t="str">
        <f aca="false">IF(AND(Tasks[[#This Row],[_IsLeaf]]=1,N(Tasks[[#This Row],[Duration]])=0,Tasks[[#This Row],[_LeafProgress]]&lt;1),Tasks[[#This Row],[_ShownFcstFinish]]+Tasks[[#This Row],[_Row]]/100000,"")</f>
        <v/>
      </c>
      <c r="FO19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96" s="45" t="n">
        <f aca="false">IF(NOT(Tasks[[#This Row],[_IsLeaf]]=1),0,IF(Tasks[[#This Row],[Baseline Cost]]="",Tasks[[#This Row],[_LeafTotalCost]],N(Tasks[[#This Row],[Baseline Cost]])))</f>
        <v>0</v>
      </c>
      <c r="FQ196" s="45" t="n">
        <f aca="false">Tasks[[#This Row],[_LeafBudget]]*Tasks[[#This Row],[_PlannedPct]]</f>
        <v>0</v>
      </c>
      <c r="FR196" s="45" t="n">
        <f aca="false">Tasks[[#This Row],[_LeafBudget]]*Tasks[[#This Row],[_LeafProgress]]</f>
        <v>0</v>
      </c>
      <c r="FS196" s="45" t="n">
        <f aca="false">IF(NOT(Tasks[[#This Row],[_IsLeaf]]=1),0,IF(Tasks[[#This Row],[Actual Cost]]="",Tasks[[#This Row],[_LeafTotalCost]]*Tasks[[#This Row],[_LeafProgress]],N(Tasks[[#This Row],[Actual Cost]])))</f>
        <v>0</v>
      </c>
      <c r="FT196" s="45" t="str">
        <f aca="false">IF(Tasks[[#This Row],[Task Name]]="","",LEFT(Tasks[[#This Row],[WBS]],FIND(".",Tasks[[#This Row],[WBS]]&amp;".")-1))</f>
        <v/>
      </c>
      <c r="FU196" s="45" t="str">
        <f aca="false">IF(AND(Tasks[[#This Row],[Task Name]]&lt;&gt;"",Tasks[[#This Row],[_Level]]=1),Tasks[[#This Row],[_Row]],"")</f>
        <v/>
      </c>
      <c r="FV196" s="45" t="str">
        <f aca="false">IF(AND(Tasks[[#This Row],[_IsLeaf]]=1,N(Tasks[[#This Row],[Duration]])=0),Tasks[[#This Row],[Planned Finish]]+Tasks[[#This Row],[_Row]]/100000,"")</f>
        <v/>
      </c>
      <c r="FW196" s="45" t="str">
        <f aca="false">IF(AND(Tasks[[#This Row],[_IsLeaf]]=1,Tasks[[#This Row],[_LeafProgress]]&lt;1,OR(N(Tasks[[#This Row],[Finish Var]])&gt;0,Tasks[[#This Row],[Status]]="Late Start")),MAX(0,Tasks[[#This Row],[Finish Var]])+1-Tasks[[#This Row],[_Row]]/1000000,"")</f>
        <v/>
      </c>
      <c r="FX196" s="45" t="str">
        <f aca="false">IF(AND(Tasks[[#This Row],[_IsLeaf]]=1,N(Tasks[[#This Row],[Actual Start]])=0,Tasks[[#This Row],[_ShownFcstStart]]&gt;=StatusDate,Tasks[[#This Row],[_ShownFcstStart]]&lt;=LookaheadEnd),Tasks[[#This Row],[_ShownFcstStart]]+Tasks[[#This Row],[_Row]]/100000,"")</f>
        <v/>
      </c>
      <c r="FY196" s="45" t="str">
        <f aca="false">IF(AND(Tasks[[#This Row],[_IsLeaf]]=1,Tasks[[#This Row],[_LeafProgress]]&lt;1,Tasks[[#This Row],[_ShownFcstFinish]]&gt;=StatusDate,Tasks[[#This Row],[_ShownFcstFinish]]&lt;=LookaheadEnd),Tasks[[#This Row],[_ShownFcstFinish]]+Tasks[[#This Row],[_Row]]/100000,"")</f>
        <v/>
      </c>
      <c r="FZ196" s="45" t="str">
        <f aca="false">IF(Tasks[[#This Row],[_LeafCritical]],Tasks[[#This Row],[_ShownFcstStart]]+Tasks[[#This Row],[_Row]]/100000,"")</f>
        <v/>
      </c>
      <c r="GA196" s="45" t="n">
        <f aca="false">Tasks[[#This Row],[_LeafWork]]*Tasks[[#This Row],[_LeafProgress]]</f>
        <v>0</v>
      </c>
      <c r="GB196" s="74" t="str">
        <f aca="false">IF(AND(Tasks[[#This Row],[_IsLeaf]]=1,Tasks[[#This Row],[_LeafProgress]]&gt;=1),IF(N(Tasks[[#This Row],[Actual Finish]])&gt;0,Tasks[[#This Row],[Actual Finish]],Tasks[[#This Row],[_ShownFcstFinish]]),"")</f>
        <v/>
      </c>
    </row>
    <row r="197" customFormat="false" ht="15" hidden="false" customHeight="false" outlineLevel="0" collapsed="false">
      <c r="A197" s="67" t="str">
        <f aca="false">IF(Tasks[[#This Row],[Task Name]]="","",COUNTA(Tasks[[#Headers],[Task Name]]:Tasks[[#This Row],[Task Name]])-1)</f>
        <v/>
      </c>
      <c r="B197" s="21" t="n">
        <v>192</v>
      </c>
      <c r="C197"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21"/>
      <c r="E197" s="22"/>
      <c r="F197" s="21"/>
      <c r="G197" s="22"/>
      <c r="H197" s="22"/>
      <c r="I197" s="22"/>
      <c r="J197" s="7"/>
      <c r="K197" s="7"/>
      <c r="L197" s="22"/>
      <c r="M197" s="58" t="str">
        <f aca="false">IF(Tasks[[#This Row],[Task Name]]="","",IF(Tasks[[#This Row],[_IsSummary]],MIN(INDEX(Tasks[_ShownFcstStart],Tasks[[#This Row],[_Row]]+1):INDEX(Tasks[_ShownFcstStart],Tasks[[#This Row],[_Row]]+Tasks[[#This Row],[_Descendants]])),Tasks[[#This Row],[_ShownFcstStart]]))</f>
        <v/>
      </c>
      <c r="N197" s="58" t="str">
        <f aca="false">IF(Tasks[[#This Row],[Task Name]]="","",IF(Tasks[[#This Row],[_IsSummary]],MAX(INDEX(Tasks[_ShownFcstFinish],Tasks[[#This Row],[_Row]]+1):INDEX(Tasks[_ShownFcstFinish],Tasks[[#This Row],[_Row]]+Tasks[[#This Row],[_Descendants]])),Tasks[[#This Row],[_ShownFcstFinish]]))</f>
        <v/>
      </c>
      <c r="O197" s="20" t="str">
        <f aca="false">IF(Tasks[[#This Row],[Task Name]]="","",IF(Tasks[[#This Row],[Progress]]&gt;=1,"Complete",IF(OR(N(Tasks[[#This Row],[Actual Start]])&gt;0,Tasks[[#This Row],[Progress]]&gt;0),IF(Tasks[[#This Row],[Finish Var]]&gt;0,"Behind","In Progress"),IF(Tasks[[#This Row],[Planned Start]]&lt;StatusDate,"Late Start","Not Started"))))</f>
        <v/>
      </c>
      <c r="P197" s="20" t="str">
        <f aca="false">IF(Tasks[[#This Row],[Task Name]]="","",IF(IF(Tasks[[#This Row],[_IsSummary]],COUNTIF(INDEX(Tasks[_LeafCritical],Tasks[[#This Row],[_Row]]+1):INDEX(Tasks[_LeafCritical],Tasks[[#This Row],[_Row]]+Tasks[[#This Row],[_Descendants]]),TRUE())&gt;0,Tasks[[#This Row],[_LeafCritical]]),"Yes",""))</f>
        <v/>
      </c>
      <c r="Q197"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97" s="67" t="str">
        <f aca="false">IF(Tasks[[#This Row],[Task Name]]="","",IF(Tasks[[#This Row],[_Level]]&lt;=OutlineShowLevel,"Yes","No"))</f>
        <v/>
      </c>
      <c r="S197" s="7"/>
      <c r="T197" s="21"/>
      <c r="U197" s="22"/>
      <c r="V197" s="7"/>
      <c r="W197" s="67" t="str">
        <f aca="false">IF(Tasks[[#This Row],[Task Name]]="","",IF(Tasks[[#This Row],[Finish]]&gt;=Tasks[[#This Row],[Planned Finish]],NETWORKDAYS.INTL(Tasks[[#This Row],[Planned Finish]],Tasks[[#This Row],[Finish]],WorkWeek,Holidays)-1,1-NETWORKDAYS.INTL(Tasks[[#This Row],[Finish]],Tasks[[#This Row],[Planned Finish]],WorkWeek,Holidays)))</f>
        <v/>
      </c>
      <c r="X197" s="58" t="str">
        <f aca="false">IF(Tasks[[#This Row],[Task Name]]="","",IF(N(Tasks[[#This Row],[Baseline Start]])&gt;0,Tasks[[#This Row],[Baseline Start]],Tasks[[#This Row],[_CalcStart]]))</f>
        <v/>
      </c>
      <c r="Y197" s="58" t="str">
        <f aca="false">IF(Tasks[[#This Row],[Task Name]]="","",IF(N(Tasks[[#This Row],[Baseline Finish]])&gt;0,Tasks[[#This Row],[Baseline Finish]],Tasks[[#This Row],[_CalcFinish]]))</f>
        <v/>
      </c>
      <c r="Z197" s="67" t="str">
        <f aca="false">IF(Tasks[[#This Row],[Task Name]]="","",IF(Tasks[[#This Row],[Start]]&gt;=Tasks[[#This Row],[Planned Start]],NETWORKDAYS.INTL(Tasks[[#This Row],[Planned Start]],Tasks[[#This Row],[Start]],WorkWeek,Holidays)-1,1-NETWORKDAYS.INTL(Tasks[[#This Row],[Start]],Tasks[[#This Row],[Planned Start]],WorkWeek,Holidays)))</f>
        <v/>
      </c>
      <c r="AA197" s="58" t="str">
        <f aca="false">IF(Tasks[[#This Row],[Task Name]]="","",IF(Tasks[[#This Row],[_IsSummary]],MIN(INDEX(Tasks[_LeafLateStart],Tasks[[#This Row],[_Row]]+1):INDEX(Tasks[_LeafLateStart],Tasks[[#This Row],[_Row]]+Tasks[[#This Row],[_Descendants]])),Tasks[[#This Row],[_LeafLateStart]]))</f>
        <v/>
      </c>
      <c r="AB197" s="58" t="str">
        <f aca="false">IF(Tasks[[#This Row],[Task Name]]="","",IF(Tasks[[#This Row],[_IsSummary]],MAX(INDEX(Tasks[_LeafLateFinish],Tasks[[#This Row],[_Row]]+1):INDEX(Tasks[_LeafLateFinish],Tasks[[#This Row],[_Row]]+Tasks[[#This Row],[_Descendants]])),Tasks[[#This Row],[_LeafLateFinish]]))</f>
        <v/>
      </c>
      <c r="AC197" s="67" t="str">
        <f aca="false">IF(Tasks[[#This Row],[Task Name]]="","",IF(Tasks[[#This Row],[_IsSummary]],MIN(INDEX(Tasks[_LeafTotalSlack],Tasks[[#This Row],[_Row]]+1):INDEX(Tasks[_LeafTotalSlack],Tasks[[#This Row],[_Row]]+Tasks[[#This Row],[_Descendants]])),Tasks[[#This Row],[_LeafTotalSlack]]))</f>
        <v/>
      </c>
      <c r="AD197"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97"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97"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97" s="60"/>
      <c r="AH197"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97"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97" s="69" t="str">
        <f aca="false">IF(Tasks[[#This Row],[Task Name]]="","",IF(Tasks[[#This Row],[_IsSummary]],SUM(INDEX(Tasks[_LeafTotalWork],Tasks[[#This Row],[_Row]]+1):INDEX(Tasks[_LeafTotalWork],Tasks[[#This Row],[_Row]]+Tasks[[#This Row],[_Descendants]])),Tasks[[#This Row],[_LeafTotalWork]]))</f>
        <v/>
      </c>
      <c r="AK197"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97" s="70" t="str">
        <f aca="false">IF(Tasks[[#This Row],[Task Name]]="","",IF(Tasks[[#This Row],[_IsSummary]],SUM(INDEX(Tasks[_LeafTotalCost],Tasks[[#This Row],[_Row]]+1):INDEX(Tasks[_LeafTotalCost],Tasks[[#This Row],[_Row]]+Tasks[[#This Row],[_Descendants]])),Tasks[[#This Row],[_LeafTotalCost]]))</f>
        <v/>
      </c>
      <c r="AM197" s="71"/>
      <c r="AN197" s="20" t="str">
        <f aca="false">IF(OR(Tasks[[#This Row],[Task Name]]="",Tasks[[#This Row],[Baseline Duration]]=""),"",Tasks[[#This Row],[BL Source Duration]]-N(Tasks[[#This Row],[Baseline Duration]]))</f>
        <v/>
      </c>
      <c r="AO197" s="69" t="str">
        <f aca="false">IF(OR(Tasks[[#This Row],[Task Name]]="",Tasks[[#This Row],[Baseline Work]]=""),"",Tasks[[#This Row],[Work]]-N(Tasks[[#This Row],[Baseline Work]]))</f>
        <v/>
      </c>
      <c r="AP197" s="70" t="str">
        <f aca="false">IF(OR(Tasks[[#This Row],[Task Name]]="",Tasks[[#This Row],[Baseline Cost]]=""),"",Tasks[[#This Row],[Cost]]-N(Tasks[[#This Row],[Baseline Cost]]))</f>
        <v/>
      </c>
      <c r="AQ197" s="58" t="str">
        <f aca="false">IF(Tasks[[#This Row],[Task Name]]="","",Tasks[[#This Row],[Start]])</f>
        <v/>
      </c>
      <c r="AR197" s="58" t="str">
        <f aca="false">IF(Tasks[[#This Row],[Task Name]]="","",Tasks[[#This Row],[Finish]])</f>
        <v/>
      </c>
      <c r="AS197" s="67" t="str">
        <f aca="false">IF(Tasks[[#This Row],[Task Name]]="","",IF(Tasks[[#This Row],[_IsSummary]],NETWORKDAYS.INTL(Tasks[[#This Row],[Start]],Tasks[[#This Row],[Finish]],WorkWeek,Holidays),N(Tasks[[#This Row],[Duration]])))</f>
        <v/>
      </c>
      <c r="AT197" s="69" t="str">
        <f aca="false">IF(Tasks[[#This Row],[Task Name]]="","",Tasks[[#This Row],[Work]])</f>
        <v/>
      </c>
      <c r="AU197" s="70" t="str">
        <f aca="false">IF(Tasks[[#This Row],[Task Name]]="","",Tasks[[#This Row],[Cost]])</f>
        <v/>
      </c>
      <c r="AV197" s="7"/>
      <c r="AW197" s="7"/>
      <c r="AX197" s="21"/>
      <c r="AY197" s="72"/>
      <c r="AZ197" s="71"/>
      <c r="BA197" s="70" t="str">
        <f aca="false">IF(Tasks[[#This Row],[Task Name]]="","",IF(Tasks[[#This Row],[_IsSummary]],SUM(INDEX(Tasks[_LeafEV],Tasks[[#This Row],[_Row]]+1):INDEX(Tasks[_LeafEV],Tasks[[#This Row],[_Row]]+Tasks[[#This Row],[_Descendants]])),Tasks[[#This Row],[_LeafEV]]))</f>
        <v/>
      </c>
      <c r="BB197" s="70" t="str">
        <f aca="false">IF(Tasks[[#This Row],[Task Name]]="","",IF(Tasks[[#This Row],[_IsSummary]],SUM(INDEX(Tasks[_LeafBudget],Tasks[[#This Row],[_Row]]+1):INDEX(Tasks[_LeafBudget],Tasks[[#This Row],[_Row]]+Tasks[[#This Row],[_Descendants]])),Tasks[[#This Row],[_LeafBudget]]))</f>
        <v/>
      </c>
      <c r="BC197" s="70" t="str">
        <f aca="false">IF(Tasks[[#This Row],[Task Name]]="","",IF(Tasks[[#This Row],[_IsSummary]],SUM(INDEX(Tasks[_LeafPV],Tasks[[#This Row],[_Row]]+1):INDEX(Tasks[_LeafPV],Tasks[[#This Row],[_Row]]+Tasks[[#This Row],[_Descendants]])),Tasks[[#This Row],[_LeafPV]]))</f>
        <v/>
      </c>
      <c r="BD197" s="70" t="str">
        <f aca="false">IF(Tasks[[#This Row],[Task Name]]="","",IF(Tasks[[#This Row],[_IsSummary]],SUM(INDEX(Tasks[_LeafAC],Tasks[[#This Row],[_Row]]+1):INDEX(Tasks[_LeafAC],Tasks[[#This Row],[_Row]]+Tasks[[#This Row],[_Descendants]])),Tasks[[#This Row],[_LeafAC]]))</f>
        <v/>
      </c>
      <c r="BE197" s="45" t="str">
        <f aca="false">IF(Tasks[[#This Row],[Task Name]]="","",MAX(1,N(Tasks[[#This Row],[Level]])))</f>
        <v/>
      </c>
      <c r="BF197" s="45" t="n">
        <f aca="false">ROW()-ROW(Tasks[[#Headers],[ID]])</f>
        <v>192</v>
      </c>
      <c r="BG197" s="45" t="n">
        <f aca="false">IF(OR(Tasks[[#This Row],[Task Name]]="",Tasks[[#This Row],[_Level]]&lt;=1),0,IFERROR(LOOKUP(2,1/(Tasks[[#Headers],[_Level]]:Tasks[[#This Row],[_Level]]=Tasks[[#This Row],[_Level]]-1),ROW(Tasks[[#Headers],[_Level]]:Tasks[[#This Row],[_Level]])),0))</f>
        <v>0</v>
      </c>
      <c r="BH197" s="45" t="n">
        <f aca="false">IFERROR(N(INDEX(Tasks[_Level],Tasks[[#This Row],[_Row]]+1)),0)</f>
        <v>0</v>
      </c>
      <c r="BI197" s="73" t="b">
        <f aca="false">AND(Tasks[[#This Row],[Task Name]]&lt;&gt;"",Tasks[[#This Row],[_NextLevel]]&gt;Tasks[[#This Row],[_Level]])</f>
        <v>0</v>
      </c>
      <c r="BJ197" s="45" t="n">
        <f aca="false">IF(Tasks[[#This Row],[_IsSummary]],COUNTIF(Tasks[WBS],Tasks[[#This Row],[WBS]]&amp;".*"),0)</f>
        <v>0</v>
      </c>
      <c r="BK197" s="45" t="n">
        <f aca="false">IF(AND(Tasks[[#This Row],[Task Name]]&lt;&gt;"",NOT(Tasks[[#This Row],[_IsSummary]])),1,0)</f>
        <v>0</v>
      </c>
      <c r="BL197" s="45" t="n">
        <f aca="false">IF(N(Tasks[[#This Row],[_Pred1UID]])=0,0,IFERROR(MATCH(Tasks[[#This Row],[_Pred1UID]],Tasks[UID],0),-1))</f>
        <v>0</v>
      </c>
      <c r="BM197" s="45" t="n">
        <f aca="false">IF(N(Tasks[[#This Row],[_Pred2UID]])=0,0,IFERROR(MATCH(Tasks[[#This Row],[_Pred2UID]],Tasks[UID],0),-1))</f>
        <v>0</v>
      </c>
      <c r="BN197" s="45" t="n">
        <f aca="false">IF(N(Tasks[[#This Row],[_Pred3UID]])=0,0,IFERROR(MATCH(Tasks[[#This Row],[_Pred3UID]],Tasks[UID],0),-1))</f>
        <v>0</v>
      </c>
      <c r="BO197" s="45" t="n">
        <f aca="false">IF(N(Tasks[[#This Row],[_Pred4UID]])=0,0,IFERROR(MATCH(Tasks[[#This Row],[_Pred4UID]],Tasks[UID],0),-1))</f>
        <v>0</v>
      </c>
      <c r="BP19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97"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97" s="74" t="n">
        <f aca="false">IF(OR(Tasks[[#This Row],[_ConstraintCode]]=2,Tasks[[#This Row],[_ConstraintCode]]=3,Tasks[[#This Row],[_ConstraintCode]]=4,Tasks[[#This Row],[_ConstraintCode]]=6),Tasks[[#This Row],[_ConstraintStart]],0)</f>
        <v>0</v>
      </c>
      <c r="BS197" s="74" t="n">
        <f aca="false">IF(OR(Tasks[[#This Row],[_ConstraintCode]]=2,Tasks[[#This Row],[_ConstraintCode]]=3,Tasks[[#This Row],[_ConstraintCode]]=5,Tasks[[#This Row],[_ConstraintCode]]=7),Tasks[[#This Row],[_ConstraintStart]],2958465)</f>
        <v>2958465</v>
      </c>
      <c r="BT197"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97" s="74" t="str">
        <f aca="false">IF(NOT(Tasks[[#This Row],[_IsLeaf]]=1),"",IF(N(Tasks[[#This Row],[Duration]])&lt;=0,Tasks[[#This Row],[_LeafCalcStart]],WORKDAY.INTL(Tasks[[#This Row],[_LeafCalcStart]],Tasks[[#This Row],[Duration]]-1,WorkWeek,Holidays)))</f>
        <v/>
      </c>
      <c r="BV197"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97"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97" s="45" t="str">
        <f aca="false">IF(Tasks[[#This Row],[Predecessors]]="","",TRIM(MID(SUBSTITUTE(SUBSTITUTE(SUBSTITUTE(UPPER(Tasks[[#This Row],[Predecessors]]),";",",")," ",""),",",REPT(" ",99)),1,99)))</f>
        <v/>
      </c>
      <c r="BY197" s="45" t="str">
        <f aca="false">IF(Tasks[[#This Row],[_Pred1Text]]="","",IFERROR(VALUE(LEFT(Tasks[[#This Row],[_Pred1Text]],MIN(FIND("F",Tasks[[#This Row],[_Pred1Text]]&amp;"F"),FIND("S",Tasks[[#This Row],[_Pred1Text]]&amp;"S"),FIND("+",Tasks[[#This Row],[_Pred1Text]]&amp;"+"),FIND("-",Tasks[[#This Row],[_Pred1Text]]&amp;"-"))-1)),""))</f>
        <v/>
      </c>
      <c r="BZ19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9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97" s="45" t="str">
        <f aca="false">IF(Tasks[[#This Row],[_Pred1Text]]="","",TRIM(MID(SUBSTITUTE(SUBSTITUTE(SUBSTITUTE(UPPER(Tasks[[#This Row],[Predecessors]]),";",",")," ",""),",",REPT(" ",99)),100,99)))</f>
        <v/>
      </c>
      <c r="CC197" s="45" t="str">
        <f aca="false">IF(Tasks[[#This Row],[_Pred2Text]]="","",IFERROR(VALUE(LEFT(Tasks[[#This Row],[_Pred2Text]],MIN(FIND("F",Tasks[[#This Row],[_Pred2Text]]&amp;"F"),FIND("S",Tasks[[#This Row],[_Pred2Text]]&amp;"S"),FIND("+",Tasks[[#This Row],[_Pred2Text]]&amp;"+"),FIND("-",Tasks[[#This Row],[_Pred2Text]]&amp;"-"))-1)),""))</f>
        <v/>
      </c>
      <c r="CD19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9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97" s="45" t="str">
        <f aca="false">IF(Tasks[[#This Row],[_Pred2Text]]="","",TRIM(MID(SUBSTITUTE(SUBSTITUTE(SUBSTITUTE(UPPER(Tasks[[#This Row],[Predecessors]]),";",",")," ",""),",",REPT(" ",99)),199,99)))</f>
        <v/>
      </c>
      <c r="CG197" s="45" t="str">
        <f aca="false">IF(Tasks[[#This Row],[_Pred3Text]]="","",IFERROR(VALUE(LEFT(Tasks[[#This Row],[_Pred3Text]],MIN(FIND("F",Tasks[[#This Row],[_Pred3Text]]&amp;"F"),FIND("S",Tasks[[#This Row],[_Pred3Text]]&amp;"S"),FIND("+",Tasks[[#This Row],[_Pred3Text]]&amp;"+"),FIND("-",Tasks[[#This Row],[_Pred3Text]]&amp;"-"))-1)),""))</f>
        <v/>
      </c>
      <c r="CH19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9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97" s="45" t="str">
        <f aca="false">IF(Tasks[[#This Row],[_Pred3Text]]="","",TRIM(MID(SUBSTITUTE(SUBSTITUTE(SUBSTITUTE(UPPER(Tasks[[#This Row],[Predecessors]]),";",",")," ",""),",",REPT(" ",99)),298,99)))</f>
        <v/>
      </c>
      <c r="CK197" s="45" t="str">
        <f aca="false">IF(Tasks[[#This Row],[_Pred4Text]]="","",IFERROR(VALUE(LEFT(Tasks[[#This Row],[_Pred4Text]],MIN(FIND("F",Tasks[[#This Row],[_Pred4Text]]&amp;"F"),FIND("S",Tasks[[#This Row],[_Pred4Text]]&amp;"S"),FIND("+",Tasks[[#This Row],[_Pred4Text]]&amp;"+"),FIND("-",Tasks[[#This Row],[_Pred4Text]]&amp;"-"))-1)),""))</f>
        <v/>
      </c>
      <c r="CL19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9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97" s="45" t="str">
        <f aca="false">IF(OR(Tasks[[#This Row],[Task Name]]="",Tasks[[#This Row],[Resources]]=""),"",TRIM(MID(SUBSTITUTE(Tasks[[#This Row],[Resources]],",",REPT(" ",99)),1,99)))</f>
        <v/>
      </c>
      <c r="CO197" s="45" t="str">
        <f aca="false">IF(Tasks[[#This Row],[_Res1Text]]="","",TRIM(MID(SUBSTITUTE(Tasks[[#This Row],[Resources]],",",REPT(" ",99)),100,99)))</f>
        <v/>
      </c>
      <c r="CP197" s="45" t="str">
        <f aca="false">IF(Tasks[[#This Row],[_Res2Text]]="","",TRIM(MID(SUBSTITUTE(Tasks[[#This Row],[Resources]],",",REPT(" ",99)),199,99)))</f>
        <v/>
      </c>
      <c r="CQ197" s="45" t="str">
        <f aca="false">IF(Tasks[[#This Row],[_Res3Text]]="","",TRIM(MID(SUBSTITUTE(Tasks[[#This Row],[Resources]],",",REPT(" ",99)),298,99)))</f>
        <v/>
      </c>
      <c r="CR197"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9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7" s="45" t="n">
        <f aca="false">IF(NOT(Tasks[[#This Row],[_IsLeaf]]=1),0,(Tasks[[#This Row],[_Resource1]]&lt;&gt;"")+(Tasks[[#This Row],[_Res2]]&lt;&gt;"")+(Tasks[[#This Row],[_Res3]]&lt;&gt;"")+(Tasks[[#This Row],[_Res4]]&lt;&gt;""))</f>
        <v>0</v>
      </c>
      <c r="CU197"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9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7" s="45" t="n">
        <f aca="false">IF(OR(NOT(Tasks[[#This Row],[_IsLeaf]]=1),Tasks[[#This Row],[_Res2]]=""),0,IF(ISNA(MATCH(Tasks[[#This Row],[_Res2]],res_Name,0)),0,N(Tasks[[#This Row],[Duration]])*HoursPerDay*IF(Tasks[[#This Row],[_Res2Units]]="",DefaultUnits,Tasks[[#This Row],[_Res2Units]])))</f>
        <v>0</v>
      </c>
      <c r="CX197" s="45" t="n">
        <f aca="false">IF(Tasks[[#This Row],[_Res2Work]]=0,0,Tasks[[#This Row],[_Res2Work]]*IFERROR(INDEX(res_Rate,MATCH(Tasks[[#This Row],[_Res2]],res_Name,0)),0))</f>
        <v>0</v>
      </c>
      <c r="CY197" s="45" t="n">
        <f aca="false">IF(AND(AND(Tasks[[#This Row],[_IsLeaf]]=1,Tasks[[#This Row],[_LeafTotalWork]]&gt;0),Tasks[[#This Row],[_Res2Work]]&gt;0),Tasks[[#This Row],[_Res2Work]]/(Tasks[[#This Row],[_FinishWorkday]]-Tasks[[#This Row],[_StartWorkday]]+1),0)</f>
        <v>0</v>
      </c>
      <c r="CZ197" s="45" t="n">
        <f aca="false">Tasks[[#This Row],[_Res2WorkPerWD]]*MAX(0,Tasks[[#This Row],[_StartWorkday]]-1)</f>
        <v>0</v>
      </c>
      <c r="DA197" s="45" t="n">
        <f aca="false">Tasks[[#This Row],[_Res2Work]]*Tasks[[#This Row],[_LeafProgress]]</f>
        <v>0</v>
      </c>
      <c r="DB197" s="45" t="n">
        <f aca="false">IF(Tasks[[#This Row],[_LeafTotalCost]]=0,0,Tasks[[#This Row],[_LeafAC]]*Tasks[[#This Row],[_Res2Cost]]/Tasks[[#This Row],[_LeafTotalCost]])</f>
        <v>0</v>
      </c>
      <c r="DC197"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9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97" s="45" t="n">
        <f aca="false">IF(OR(NOT(Tasks[[#This Row],[_IsLeaf]]=1),Tasks[[#This Row],[_Res3]]=""),0,IF(ISNA(MATCH(Tasks[[#This Row],[_Res3]],res_Name,0)),0,N(Tasks[[#This Row],[Duration]])*HoursPerDay*IF(Tasks[[#This Row],[_Res3Units]]="",DefaultUnits,Tasks[[#This Row],[_Res3Units]])))</f>
        <v>0</v>
      </c>
      <c r="DF197" s="45" t="n">
        <f aca="false">IF(Tasks[[#This Row],[_Res3Work]]=0,0,Tasks[[#This Row],[_Res3Work]]*IFERROR(INDEX(res_Rate,MATCH(Tasks[[#This Row],[_Res3]],res_Name,0)),0))</f>
        <v>0</v>
      </c>
      <c r="DG197" s="45" t="n">
        <f aca="false">IF(AND(AND(Tasks[[#This Row],[_IsLeaf]]=1,Tasks[[#This Row],[_LeafTotalWork]]&gt;0),Tasks[[#This Row],[_Res3Work]]&gt;0),Tasks[[#This Row],[_Res3Work]]/(Tasks[[#This Row],[_FinishWorkday]]-Tasks[[#This Row],[_StartWorkday]]+1),0)</f>
        <v>0</v>
      </c>
      <c r="DH197" s="45" t="n">
        <f aca="false">Tasks[[#This Row],[_Res3WorkPerWD]]*MAX(0,Tasks[[#This Row],[_StartWorkday]]-1)</f>
        <v>0</v>
      </c>
      <c r="DI197" s="45" t="n">
        <f aca="false">Tasks[[#This Row],[_Res3Work]]*Tasks[[#This Row],[_LeafProgress]]</f>
        <v>0</v>
      </c>
      <c r="DJ197" s="45" t="n">
        <f aca="false">IF(Tasks[[#This Row],[_LeafTotalCost]]=0,0,Tasks[[#This Row],[_LeafAC]]*Tasks[[#This Row],[_Res3Cost]]/Tasks[[#This Row],[_LeafTotalCost]])</f>
        <v>0</v>
      </c>
      <c r="DK197"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9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97" s="45" t="n">
        <f aca="false">IF(OR(NOT(Tasks[[#This Row],[_IsLeaf]]=1),Tasks[[#This Row],[_Res4]]=""),0,IF(ISNA(MATCH(Tasks[[#This Row],[_Res4]],res_Name,0)),0,N(Tasks[[#This Row],[Duration]])*HoursPerDay*IF(Tasks[[#This Row],[_Res4Units]]="",DefaultUnits,Tasks[[#This Row],[_Res4Units]])))</f>
        <v>0</v>
      </c>
      <c r="DN197" s="45" t="n">
        <f aca="false">IF(Tasks[[#This Row],[_Res4Work]]=0,0,Tasks[[#This Row],[_Res4Work]]*IFERROR(INDEX(res_Rate,MATCH(Tasks[[#This Row],[_Res4]],res_Name,0)),0))</f>
        <v>0</v>
      </c>
      <c r="DO197" s="45" t="n">
        <f aca="false">IF(AND(AND(Tasks[[#This Row],[_IsLeaf]]=1,Tasks[[#This Row],[_LeafTotalWork]]&gt;0),Tasks[[#This Row],[_Res4Work]]&gt;0),Tasks[[#This Row],[_Res4Work]]/(Tasks[[#This Row],[_FinishWorkday]]-Tasks[[#This Row],[_StartWorkday]]+1),0)</f>
        <v>0</v>
      </c>
      <c r="DP197" s="45" t="n">
        <f aca="false">Tasks[[#This Row],[_Res4WorkPerWD]]*MAX(0,Tasks[[#This Row],[_StartWorkday]]-1)</f>
        <v>0</v>
      </c>
      <c r="DQ197" s="45" t="n">
        <f aca="false">Tasks[[#This Row],[_Res4Work]]*Tasks[[#This Row],[_LeafProgress]]</f>
        <v>0</v>
      </c>
      <c r="DR197" s="45" t="n">
        <f aca="false">IF(Tasks[[#This Row],[_LeafTotalCost]]=0,0,Tasks[[#This Row],[_LeafAC]]*Tasks[[#This Row],[_Res4Cost]]/Tasks[[#This Row],[_LeafTotalCost]])</f>
        <v>0</v>
      </c>
      <c r="DS197" s="45" t="n">
        <f aca="false">IF(ISNUMBER(Tasks[[#This Row],[% Complete]]),Tasks[[#This Row],[% Complete]],IF(Tasks[[#This Row],[Stage]]="",0,IFERROR(INDEX(stg_Pct,MATCH(Tasks[[#This Row],[Stage]],stg_Name,0)),0)))</f>
        <v>0</v>
      </c>
      <c r="DT197" s="45" t="n">
        <f aca="false">IF(NOT(Tasks[[#This Row],[_IsLeaf]]=1),0,IF(N(Tasks[[#This Row],[Actual Finish]])&gt;0,1,MIN(1,Tasks[[#This Row],[_Pct]])))</f>
        <v>0</v>
      </c>
      <c r="DU197" s="45" t="n">
        <f aca="false">IF(OR(NOT(Tasks[[#This Row],[_IsLeaf]]=1),Tasks[[#This Row],[_Resource1]]=""),0,IF(ISNA(MATCH(Tasks[[#This Row],[_Resource1]],res_Name,0)),0,N(Tasks[[#This Row],[Duration]])*HoursPerDay*IF(Tasks[[#This Row],[_Units1]]="",DefaultUnits,Tasks[[#This Row],[_Units1]])))</f>
        <v>0</v>
      </c>
      <c r="DV197" s="45" t="n">
        <f aca="false">IF(Tasks[[#This Row],[_LeafWork]]=0,0,Tasks[[#This Row],[_LeafWork]]*IFERROR(INDEX(res_Rate,MATCH(Tasks[[#This Row],[_Resource1]],res_Name,0)),0))</f>
        <v>0</v>
      </c>
      <c r="DW197" s="45" t="n">
        <f aca="false">Tasks[[#This Row],[_LeafWork]]+Tasks[[#This Row],[_Res2Work]]+Tasks[[#This Row],[_Res3Work]]+Tasks[[#This Row],[_Res4Work]]</f>
        <v>0</v>
      </c>
      <c r="DX197" s="45" t="n">
        <f aca="false">Tasks[[#This Row],[_LeafCost]]+Tasks[[#This Row],[_Res2Cost]]+Tasks[[#This Row],[_Res3Cost]]+Tasks[[#This Row],[_Res4Cost]]</f>
        <v>0</v>
      </c>
      <c r="DY197" s="45" t="n">
        <f aca="false">IF(Tasks[[#This Row],[_LeafTotalCost]]=0,Tasks[[#This Row],[_LeafAC]],Tasks[[#This Row],[_LeafAC]]*Tasks[[#This Row],[_LeafCost]]/Tasks[[#This Row],[_LeafTotalCost]])</f>
        <v>0</v>
      </c>
      <c r="DZ197"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97"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97"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97"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9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9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9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9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97" s="45" t="n">
        <f aca="false">IF(NOT(Tasks[[#This Row],[_IsLeaf]]=1),0,MAX(_xlfn.MAXIFS(Tasks[_Row],Tasks[_Pred1UID],Tasks[[#This Row],[UID]]),_xlfn.MAXIFS(Tasks[_Row],Tasks[_Pred2UID],Tasks[[#This Row],[UID]]),_xlfn.MAXIFS(Tasks[_Row],Tasks[_Pred3UID],Tasks[[#This Row],[UID]]),_xlfn.MAXIFS(Tasks[_Row],Tasks[_Pred4UID],Tasks[[#This Row],[UID]])))</f>
        <v>0</v>
      </c>
      <c r="EI197"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97"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97" s="74" t="str">
        <f aca="false">IF(NOT(Tasks[[#This Row],[_IsLeaf]]=1),"",IF(N(Tasks[[#This Row],[Duration]])&lt;=0,Tasks[[#This Row],[_LeafLateFinish]],WORKDAY.INTL(Tasks[[#This Row],[_LeafLateFinish]],-(Tasks[[#This Row],[Duration]]-1),WorkWeek,Holidays)))</f>
        <v/>
      </c>
      <c r="EL19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97" s="73" t="b">
        <f aca="false">AND(Tasks[[#This Row],[_IsLeaf]]=1,Tasks[[#This Row],[_LeafProgress]]&lt;1,N(Tasks[[#This Row],[_LeafTotalSlack]])&lt;=CriticalSlackDays)</f>
        <v>0</v>
      </c>
      <c r="EN197" s="45" t="n">
        <f aca="false">IF(AND(Tasks[[#This Row],[_IsLeaf]]=1,Tasks[[#This Row],[_ConstraintCode]]=1,Tasks[[#This Row],[Mode]]&lt;&gt;"Manual",N(Tasks[[#This Row],[Actual Start]])=0),MAX(0,N(Tasks[[#This Row],[Free Slack]])),0)</f>
        <v>0</v>
      </c>
      <c r="EO197" s="74" t="str">
        <f aca="false">IF(NOT(Tasks[[#This Row],[_IsLeaf]]=1),"",IF(Tasks[[#This Row],[_AlapShift]]=0,Tasks[[#This Row],[_LeafCalcStart]],WORKDAY.INTL(Tasks[[#This Row],[_LeafCalcStart]],Tasks[[#This Row],[_AlapShift]],WorkWeek,Holidays)))</f>
        <v/>
      </c>
      <c r="EP197" s="74" t="str">
        <f aca="false">IF(NOT(Tasks[[#This Row],[_IsLeaf]]=1),"",IF(Tasks[[#This Row],[_AlapShift]]=0,Tasks[[#This Row],[_LeafCalcFinish]],WORKDAY.INTL(Tasks[[#This Row],[_LeafCalcFinish]],Tasks[[#This Row],[_AlapShift]],WorkWeek,Holidays)))</f>
        <v/>
      </c>
      <c r="EQ197" s="74" t="str">
        <f aca="false">IF(NOT(Tasks[[#This Row],[_IsLeaf]]=1),"",IF(Tasks[[#This Row],[_AlapShift]]=0,Tasks[[#This Row],[_LeafFcstStart]],WORKDAY.INTL(Tasks[[#This Row],[_LeafFcstStart]],Tasks[[#This Row],[_AlapShift]],WorkWeek,Holidays)))</f>
        <v/>
      </c>
      <c r="ER197" s="74" t="str">
        <f aca="false">IF(NOT(Tasks[[#This Row],[_IsLeaf]]=1),"",IF(Tasks[[#This Row],[_AlapShift]]=0,Tasks[[#This Row],[_LeafFcstFinish]],WORKDAY.INTL(Tasks[[#This Row],[_LeafFcstFinish]],Tasks[[#This Row],[_AlapShift]],WorkWeek,Holidays)))</f>
        <v/>
      </c>
      <c r="ES197" s="74" t="str">
        <f aca="false">IF(Tasks[[#This Row],[Task Name]]="","",IF(Tasks[[#This Row],[_IsSummary]],MIN(INDEX(Tasks[_ShownCalcStart],Tasks[[#This Row],[_Row]]+1):INDEX(Tasks[_ShownCalcStart],Tasks[[#This Row],[_Row]]+Tasks[[#This Row],[_Descendants]])),Tasks[[#This Row],[_ShownCalcStart]]))</f>
        <v/>
      </c>
      <c r="ET197" s="74" t="str">
        <f aca="false">IF(Tasks[[#This Row],[Task Name]]="","",IF(Tasks[[#This Row],[_IsSummary]],MAX(INDEX(Tasks[_ShownCalcFinish],Tasks[[#This Row],[_Row]]+1):INDEX(Tasks[_ShownCalcFinish],Tasks[[#This Row],[_Row]]+Tasks[[#This Row],[_Descendants]])),Tasks[[#This Row],[_ShownCalcFinish]]))</f>
        <v/>
      </c>
      <c r="EU19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9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9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9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97"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97"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97"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97"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97"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97"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97"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97"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97" s="45" t="n">
        <f aca="false">IF(AND(Tasks[[#This Row],[_IsLeaf]]=1,Tasks[[#This Row],[_LeafTotalWork]]&gt;0),NETWORKDAYS.INTL(ProjectStart,Tasks[[#This Row],[_ShownFcstStart]],WorkWeek,Holidays),0)</f>
        <v>0</v>
      </c>
      <c r="FH197" s="45" t="n">
        <f aca="false">IF(AND(Tasks[[#This Row],[_IsLeaf]]=1,Tasks[[#This Row],[_LeafTotalWork]]&gt;0),MAX(Tasks[[#This Row],[_StartWorkday]],NETWORKDAYS.INTL(ProjectStart,Tasks[[#This Row],[_ShownFcstFinish]],WorkWeek,Holidays)),0)</f>
        <v>0</v>
      </c>
      <c r="FI197" s="45" t="n">
        <f aca="false">IF(AND(Tasks[[#This Row],[_IsLeaf]]=1,Tasks[[#This Row],[_LeafTotalWork]]&gt;0),Tasks[[#This Row],[_LeafWork]]/(Tasks[[#This Row],[_FinishWorkday]]-Tasks[[#This Row],[_StartWorkday]]+1),0)</f>
        <v>0</v>
      </c>
      <c r="FJ197" s="45" t="n">
        <f aca="false">Tasks[[#This Row],[_WorkPerWorkday]]*(Tasks[[#This Row],[_StartWorkday]]-1)</f>
        <v>-0</v>
      </c>
      <c r="FK197" s="45" t="n">
        <f aca="false">IF(Tasks[[#This Row],[_IsLeaf]]=1,MAX(N(Tasks[[#This Row],[Duration]]),0.1),0)</f>
        <v>0</v>
      </c>
      <c r="FL197" s="45" t="n">
        <f aca="false">Tasks[[#This Row],[_WeightDur]]*Tasks[[#This Row],[_LeafProgress]]</f>
        <v>0</v>
      </c>
      <c r="FM19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97" s="45" t="str">
        <f aca="false">IF(AND(Tasks[[#This Row],[_IsLeaf]]=1,N(Tasks[[#This Row],[Duration]])=0,Tasks[[#This Row],[_LeafProgress]]&lt;1),Tasks[[#This Row],[_ShownFcstFinish]]+Tasks[[#This Row],[_Row]]/100000,"")</f>
        <v/>
      </c>
      <c r="FO19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97" s="45" t="n">
        <f aca="false">IF(NOT(Tasks[[#This Row],[_IsLeaf]]=1),0,IF(Tasks[[#This Row],[Baseline Cost]]="",Tasks[[#This Row],[_LeafTotalCost]],N(Tasks[[#This Row],[Baseline Cost]])))</f>
        <v>0</v>
      </c>
      <c r="FQ197" s="45" t="n">
        <f aca="false">Tasks[[#This Row],[_LeafBudget]]*Tasks[[#This Row],[_PlannedPct]]</f>
        <v>0</v>
      </c>
      <c r="FR197" s="45" t="n">
        <f aca="false">Tasks[[#This Row],[_LeafBudget]]*Tasks[[#This Row],[_LeafProgress]]</f>
        <v>0</v>
      </c>
      <c r="FS197" s="45" t="n">
        <f aca="false">IF(NOT(Tasks[[#This Row],[_IsLeaf]]=1),0,IF(Tasks[[#This Row],[Actual Cost]]="",Tasks[[#This Row],[_LeafTotalCost]]*Tasks[[#This Row],[_LeafProgress]],N(Tasks[[#This Row],[Actual Cost]])))</f>
        <v>0</v>
      </c>
      <c r="FT197" s="45" t="str">
        <f aca="false">IF(Tasks[[#This Row],[Task Name]]="","",LEFT(Tasks[[#This Row],[WBS]],FIND(".",Tasks[[#This Row],[WBS]]&amp;".")-1))</f>
        <v/>
      </c>
      <c r="FU197" s="45" t="str">
        <f aca="false">IF(AND(Tasks[[#This Row],[Task Name]]&lt;&gt;"",Tasks[[#This Row],[_Level]]=1),Tasks[[#This Row],[_Row]],"")</f>
        <v/>
      </c>
      <c r="FV197" s="45" t="str">
        <f aca="false">IF(AND(Tasks[[#This Row],[_IsLeaf]]=1,N(Tasks[[#This Row],[Duration]])=0),Tasks[[#This Row],[Planned Finish]]+Tasks[[#This Row],[_Row]]/100000,"")</f>
        <v/>
      </c>
      <c r="FW197" s="45" t="str">
        <f aca="false">IF(AND(Tasks[[#This Row],[_IsLeaf]]=1,Tasks[[#This Row],[_LeafProgress]]&lt;1,OR(N(Tasks[[#This Row],[Finish Var]])&gt;0,Tasks[[#This Row],[Status]]="Late Start")),MAX(0,Tasks[[#This Row],[Finish Var]])+1-Tasks[[#This Row],[_Row]]/1000000,"")</f>
        <v/>
      </c>
      <c r="FX197" s="45" t="str">
        <f aca="false">IF(AND(Tasks[[#This Row],[_IsLeaf]]=1,N(Tasks[[#This Row],[Actual Start]])=0,Tasks[[#This Row],[_ShownFcstStart]]&gt;=StatusDate,Tasks[[#This Row],[_ShownFcstStart]]&lt;=LookaheadEnd),Tasks[[#This Row],[_ShownFcstStart]]+Tasks[[#This Row],[_Row]]/100000,"")</f>
        <v/>
      </c>
      <c r="FY197" s="45" t="str">
        <f aca="false">IF(AND(Tasks[[#This Row],[_IsLeaf]]=1,Tasks[[#This Row],[_LeafProgress]]&lt;1,Tasks[[#This Row],[_ShownFcstFinish]]&gt;=StatusDate,Tasks[[#This Row],[_ShownFcstFinish]]&lt;=LookaheadEnd),Tasks[[#This Row],[_ShownFcstFinish]]+Tasks[[#This Row],[_Row]]/100000,"")</f>
        <v/>
      </c>
      <c r="FZ197" s="45" t="str">
        <f aca="false">IF(Tasks[[#This Row],[_LeafCritical]],Tasks[[#This Row],[_ShownFcstStart]]+Tasks[[#This Row],[_Row]]/100000,"")</f>
        <v/>
      </c>
      <c r="GA197" s="45" t="n">
        <f aca="false">Tasks[[#This Row],[_LeafWork]]*Tasks[[#This Row],[_LeafProgress]]</f>
        <v>0</v>
      </c>
      <c r="GB197" s="74" t="str">
        <f aca="false">IF(AND(Tasks[[#This Row],[_IsLeaf]]=1,Tasks[[#This Row],[_LeafProgress]]&gt;=1),IF(N(Tasks[[#This Row],[Actual Finish]])&gt;0,Tasks[[#This Row],[Actual Finish]],Tasks[[#This Row],[_ShownFcstFinish]]),"")</f>
        <v/>
      </c>
    </row>
    <row r="198" customFormat="false" ht="15" hidden="false" customHeight="false" outlineLevel="0" collapsed="false">
      <c r="A198" s="67" t="str">
        <f aca="false">IF(Tasks[[#This Row],[Task Name]]="","",COUNTA(Tasks[[#Headers],[Task Name]]:Tasks[[#This Row],[Task Name]])-1)</f>
        <v/>
      </c>
      <c r="B198" s="21" t="n">
        <v>193</v>
      </c>
      <c r="C198"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21"/>
      <c r="E198" s="22"/>
      <c r="F198" s="21"/>
      <c r="G198" s="22"/>
      <c r="H198" s="22"/>
      <c r="I198" s="22"/>
      <c r="J198" s="7"/>
      <c r="K198" s="7"/>
      <c r="L198" s="22"/>
      <c r="M198" s="58" t="str">
        <f aca="false">IF(Tasks[[#This Row],[Task Name]]="","",IF(Tasks[[#This Row],[_IsSummary]],MIN(INDEX(Tasks[_ShownFcstStart],Tasks[[#This Row],[_Row]]+1):INDEX(Tasks[_ShownFcstStart],Tasks[[#This Row],[_Row]]+Tasks[[#This Row],[_Descendants]])),Tasks[[#This Row],[_ShownFcstStart]]))</f>
        <v/>
      </c>
      <c r="N198" s="58" t="str">
        <f aca="false">IF(Tasks[[#This Row],[Task Name]]="","",IF(Tasks[[#This Row],[_IsSummary]],MAX(INDEX(Tasks[_ShownFcstFinish],Tasks[[#This Row],[_Row]]+1):INDEX(Tasks[_ShownFcstFinish],Tasks[[#This Row],[_Row]]+Tasks[[#This Row],[_Descendants]])),Tasks[[#This Row],[_ShownFcstFinish]]))</f>
        <v/>
      </c>
      <c r="O198" s="20" t="str">
        <f aca="false">IF(Tasks[[#This Row],[Task Name]]="","",IF(Tasks[[#This Row],[Progress]]&gt;=1,"Complete",IF(OR(N(Tasks[[#This Row],[Actual Start]])&gt;0,Tasks[[#This Row],[Progress]]&gt;0),IF(Tasks[[#This Row],[Finish Var]]&gt;0,"Behind","In Progress"),IF(Tasks[[#This Row],[Planned Start]]&lt;StatusDate,"Late Start","Not Started"))))</f>
        <v/>
      </c>
      <c r="P198" s="20" t="str">
        <f aca="false">IF(Tasks[[#This Row],[Task Name]]="","",IF(IF(Tasks[[#This Row],[_IsSummary]],COUNTIF(INDEX(Tasks[_LeafCritical],Tasks[[#This Row],[_Row]]+1):INDEX(Tasks[_LeafCritical],Tasks[[#This Row],[_Row]]+Tasks[[#This Row],[_Descendants]]),TRUE())&gt;0,Tasks[[#This Row],[_LeafCritical]]),"Yes",""))</f>
        <v/>
      </c>
      <c r="Q198"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98" s="67" t="str">
        <f aca="false">IF(Tasks[[#This Row],[Task Name]]="","",IF(Tasks[[#This Row],[_Level]]&lt;=OutlineShowLevel,"Yes","No"))</f>
        <v/>
      </c>
      <c r="S198" s="7"/>
      <c r="T198" s="21"/>
      <c r="U198" s="22"/>
      <c r="V198" s="7"/>
      <c r="W198" s="67" t="str">
        <f aca="false">IF(Tasks[[#This Row],[Task Name]]="","",IF(Tasks[[#This Row],[Finish]]&gt;=Tasks[[#This Row],[Planned Finish]],NETWORKDAYS.INTL(Tasks[[#This Row],[Planned Finish]],Tasks[[#This Row],[Finish]],WorkWeek,Holidays)-1,1-NETWORKDAYS.INTL(Tasks[[#This Row],[Finish]],Tasks[[#This Row],[Planned Finish]],WorkWeek,Holidays)))</f>
        <v/>
      </c>
      <c r="X198" s="58" t="str">
        <f aca="false">IF(Tasks[[#This Row],[Task Name]]="","",IF(N(Tasks[[#This Row],[Baseline Start]])&gt;0,Tasks[[#This Row],[Baseline Start]],Tasks[[#This Row],[_CalcStart]]))</f>
        <v/>
      </c>
      <c r="Y198" s="58" t="str">
        <f aca="false">IF(Tasks[[#This Row],[Task Name]]="","",IF(N(Tasks[[#This Row],[Baseline Finish]])&gt;0,Tasks[[#This Row],[Baseline Finish]],Tasks[[#This Row],[_CalcFinish]]))</f>
        <v/>
      </c>
      <c r="Z198" s="67" t="str">
        <f aca="false">IF(Tasks[[#This Row],[Task Name]]="","",IF(Tasks[[#This Row],[Start]]&gt;=Tasks[[#This Row],[Planned Start]],NETWORKDAYS.INTL(Tasks[[#This Row],[Planned Start]],Tasks[[#This Row],[Start]],WorkWeek,Holidays)-1,1-NETWORKDAYS.INTL(Tasks[[#This Row],[Start]],Tasks[[#This Row],[Planned Start]],WorkWeek,Holidays)))</f>
        <v/>
      </c>
      <c r="AA198" s="58" t="str">
        <f aca="false">IF(Tasks[[#This Row],[Task Name]]="","",IF(Tasks[[#This Row],[_IsSummary]],MIN(INDEX(Tasks[_LeafLateStart],Tasks[[#This Row],[_Row]]+1):INDEX(Tasks[_LeafLateStart],Tasks[[#This Row],[_Row]]+Tasks[[#This Row],[_Descendants]])),Tasks[[#This Row],[_LeafLateStart]]))</f>
        <v/>
      </c>
      <c r="AB198" s="58" t="str">
        <f aca="false">IF(Tasks[[#This Row],[Task Name]]="","",IF(Tasks[[#This Row],[_IsSummary]],MAX(INDEX(Tasks[_LeafLateFinish],Tasks[[#This Row],[_Row]]+1):INDEX(Tasks[_LeafLateFinish],Tasks[[#This Row],[_Row]]+Tasks[[#This Row],[_Descendants]])),Tasks[[#This Row],[_LeafLateFinish]]))</f>
        <v/>
      </c>
      <c r="AC198" s="67" t="str">
        <f aca="false">IF(Tasks[[#This Row],[Task Name]]="","",IF(Tasks[[#This Row],[_IsSummary]],MIN(INDEX(Tasks[_LeafTotalSlack],Tasks[[#This Row],[_Row]]+1):INDEX(Tasks[_LeafTotalSlack],Tasks[[#This Row],[_Row]]+Tasks[[#This Row],[_Descendants]])),Tasks[[#This Row],[_LeafTotalSlack]]))</f>
        <v/>
      </c>
      <c r="AD198"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98"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98"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98" s="60"/>
      <c r="AH198"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98"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98" s="69" t="str">
        <f aca="false">IF(Tasks[[#This Row],[Task Name]]="","",IF(Tasks[[#This Row],[_IsSummary]],SUM(INDEX(Tasks[_LeafTotalWork],Tasks[[#This Row],[_Row]]+1):INDEX(Tasks[_LeafTotalWork],Tasks[[#This Row],[_Row]]+Tasks[[#This Row],[_Descendants]])),Tasks[[#This Row],[_LeafTotalWork]]))</f>
        <v/>
      </c>
      <c r="AK198"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98" s="70" t="str">
        <f aca="false">IF(Tasks[[#This Row],[Task Name]]="","",IF(Tasks[[#This Row],[_IsSummary]],SUM(INDEX(Tasks[_LeafTotalCost],Tasks[[#This Row],[_Row]]+1):INDEX(Tasks[_LeafTotalCost],Tasks[[#This Row],[_Row]]+Tasks[[#This Row],[_Descendants]])),Tasks[[#This Row],[_LeafTotalCost]]))</f>
        <v/>
      </c>
      <c r="AM198" s="71"/>
      <c r="AN198" s="20" t="str">
        <f aca="false">IF(OR(Tasks[[#This Row],[Task Name]]="",Tasks[[#This Row],[Baseline Duration]]=""),"",Tasks[[#This Row],[BL Source Duration]]-N(Tasks[[#This Row],[Baseline Duration]]))</f>
        <v/>
      </c>
      <c r="AO198" s="69" t="str">
        <f aca="false">IF(OR(Tasks[[#This Row],[Task Name]]="",Tasks[[#This Row],[Baseline Work]]=""),"",Tasks[[#This Row],[Work]]-N(Tasks[[#This Row],[Baseline Work]]))</f>
        <v/>
      </c>
      <c r="AP198" s="70" t="str">
        <f aca="false">IF(OR(Tasks[[#This Row],[Task Name]]="",Tasks[[#This Row],[Baseline Cost]]=""),"",Tasks[[#This Row],[Cost]]-N(Tasks[[#This Row],[Baseline Cost]]))</f>
        <v/>
      </c>
      <c r="AQ198" s="58" t="str">
        <f aca="false">IF(Tasks[[#This Row],[Task Name]]="","",Tasks[[#This Row],[Start]])</f>
        <v/>
      </c>
      <c r="AR198" s="58" t="str">
        <f aca="false">IF(Tasks[[#This Row],[Task Name]]="","",Tasks[[#This Row],[Finish]])</f>
        <v/>
      </c>
      <c r="AS198" s="67" t="str">
        <f aca="false">IF(Tasks[[#This Row],[Task Name]]="","",IF(Tasks[[#This Row],[_IsSummary]],NETWORKDAYS.INTL(Tasks[[#This Row],[Start]],Tasks[[#This Row],[Finish]],WorkWeek,Holidays),N(Tasks[[#This Row],[Duration]])))</f>
        <v/>
      </c>
      <c r="AT198" s="69" t="str">
        <f aca="false">IF(Tasks[[#This Row],[Task Name]]="","",Tasks[[#This Row],[Work]])</f>
        <v/>
      </c>
      <c r="AU198" s="70" t="str">
        <f aca="false">IF(Tasks[[#This Row],[Task Name]]="","",Tasks[[#This Row],[Cost]])</f>
        <v/>
      </c>
      <c r="AV198" s="7"/>
      <c r="AW198" s="7"/>
      <c r="AX198" s="21"/>
      <c r="AY198" s="72"/>
      <c r="AZ198" s="71"/>
      <c r="BA198" s="70" t="str">
        <f aca="false">IF(Tasks[[#This Row],[Task Name]]="","",IF(Tasks[[#This Row],[_IsSummary]],SUM(INDEX(Tasks[_LeafEV],Tasks[[#This Row],[_Row]]+1):INDEX(Tasks[_LeafEV],Tasks[[#This Row],[_Row]]+Tasks[[#This Row],[_Descendants]])),Tasks[[#This Row],[_LeafEV]]))</f>
        <v/>
      </c>
      <c r="BB198" s="70" t="str">
        <f aca="false">IF(Tasks[[#This Row],[Task Name]]="","",IF(Tasks[[#This Row],[_IsSummary]],SUM(INDEX(Tasks[_LeafBudget],Tasks[[#This Row],[_Row]]+1):INDEX(Tasks[_LeafBudget],Tasks[[#This Row],[_Row]]+Tasks[[#This Row],[_Descendants]])),Tasks[[#This Row],[_LeafBudget]]))</f>
        <v/>
      </c>
      <c r="BC198" s="70" t="str">
        <f aca="false">IF(Tasks[[#This Row],[Task Name]]="","",IF(Tasks[[#This Row],[_IsSummary]],SUM(INDEX(Tasks[_LeafPV],Tasks[[#This Row],[_Row]]+1):INDEX(Tasks[_LeafPV],Tasks[[#This Row],[_Row]]+Tasks[[#This Row],[_Descendants]])),Tasks[[#This Row],[_LeafPV]]))</f>
        <v/>
      </c>
      <c r="BD198" s="70" t="str">
        <f aca="false">IF(Tasks[[#This Row],[Task Name]]="","",IF(Tasks[[#This Row],[_IsSummary]],SUM(INDEX(Tasks[_LeafAC],Tasks[[#This Row],[_Row]]+1):INDEX(Tasks[_LeafAC],Tasks[[#This Row],[_Row]]+Tasks[[#This Row],[_Descendants]])),Tasks[[#This Row],[_LeafAC]]))</f>
        <v/>
      </c>
      <c r="BE198" s="45" t="str">
        <f aca="false">IF(Tasks[[#This Row],[Task Name]]="","",MAX(1,N(Tasks[[#This Row],[Level]])))</f>
        <v/>
      </c>
      <c r="BF198" s="45" t="n">
        <f aca="false">ROW()-ROW(Tasks[[#Headers],[ID]])</f>
        <v>193</v>
      </c>
      <c r="BG198" s="45" t="n">
        <f aca="false">IF(OR(Tasks[[#This Row],[Task Name]]="",Tasks[[#This Row],[_Level]]&lt;=1),0,IFERROR(LOOKUP(2,1/(Tasks[[#Headers],[_Level]]:Tasks[[#This Row],[_Level]]=Tasks[[#This Row],[_Level]]-1),ROW(Tasks[[#Headers],[_Level]]:Tasks[[#This Row],[_Level]])),0))</f>
        <v>0</v>
      </c>
      <c r="BH198" s="45" t="n">
        <f aca="false">IFERROR(N(INDEX(Tasks[_Level],Tasks[[#This Row],[_Row]]+1)),0)</f>
        <v>0</v>
      </c>
      <c r="BI198" s="73" t="b">
        <f aca="false">AND(Tasks[[#This Row],[Task Name]]&lt;&gt;"",Tasks[[#This Row],[_NextLevel]]&gt;Tasks[[#This Row],[_Level]])</f>
        <v>0</v>
      </c>
      <c r="BJ198" s="45" t="n">
        <f aca="false">IF(Tasks[[#This Row],[_IsSummary]],COUNTIF(Tasks[WBS],Tasks[[#This Row],[WBS]]&amp;".*"),0)</f>
        <v>0</v>
      </c>
      <c r="BK198" s="45" t="n">
        <f aca="false">IF(AND(Tasks[[#This Row],[Task Name]]&lt;&gt;"",NOT(Tasks[[#This Row],[_IsSummary]])),1,0)</f>
        <v>0</v>
      </c>
      <c r="BL198" s="45" t="n">
        <f aca="false">IF(N(Tasks[[#This Row],[_Pred1UID]])=0,0,IFERROR(MATCH(Tasks[[#This Row],[_Pred1UID]],Tasks[UID],0),-1))</f>
        <v>0</v>
      </c>
      <c r="BM198" s="45" t="n">
        <f aca="false">IF(N(Tasks[[#This Row],[_Pred2UID]])=0,0,IFERROR(MATCH(Tasks[[#This Row],[_Pred2UID]],Tasks[UID],0),-1))</f>
        <v>0</v>
      </c>
      <c r="BN198" s="45" t="n">
        <f aca="false">IF(N(Tasks[[#This Row],[_Pred3UID]])=0,0,IFERROR(MATCH(Tasks[[#This Row],[_Pred3UID]],Tasks[UID],0),-1))</f>
        <v>0</v>
      </c>
      <c r="BO198" s="45" t="n">
        <f aca="false">IF(N(Tasks[[#This Row],[_Pred4UID]])=0,0,IFERROR(MATCH(Tasks[[#This Row],[_Pred4UID]],Tasks[UID],0),-1))</f>
        <v>0</v>
      </c>
      <c r="BP19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98"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98" s="74" t="n">
        <f aca="false">IF(OR(Tasks[[#This Row],[_ConstraintCode]]=2,Tasks[[#This Row],[_ConstraintCode]]=3,Tasks[[#This Row],[_ConstraintCode]]=4,Tasks[[#This Row],[_ConstraintCode]]=6),Tasks[[#This Row],[_ConstraintStart]],0)</f>
        <v>0</v>
      </c>
      <c r="BS198" s="74" t="n">
        <f aca="false">IF(OR(Tasks[[#This Row],[_ConstraintCode]]=2,Tasks[[#This Row],[_ConstraintCode]]=3,Tasks[[#This Row],[_ConstraintCode]]=5,Tasks[[#This Row],[_ConstraintCode]]=7),Tasks[[#This Row],[_ConstraintStart]],2958465)</f>
        <v>2958465</v>
      </c>
      <c r="BT198"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98" s="74" t="str">
        <f aca="false">IF(NOT(Tasks[[#This Row],[_IsLeaf]]=1),"",IF(N(Tasks[[#This Row],[Duration]])&lt;=0,Tasks[[#This Row],[_LeafCalcStart]],WORKDAY.INTL(Tasks[[#This Row],[_LeafCalcStart]],Tasks[[#This Row],[Duration]]-1,WorkWeek,Holidays)))</f>
        <v/>
      </c>
      <c r="BV198"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98"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98" s="45" t="str">
        <f aca="false">IF(Tasks[[#This Row],[Predecessors]]="","",TRIM(MID(SUBSTITUTE(SUBSTITUTE(SUBSTITUTE(UPPER(Tasks[[#This Row],[Predecessors]]),";",",")," ",""),",",REPT(" ",99)),1,99)))</f>
        <v/>
      </c>
      <c r="BY198" s="45" t="str">
        <f aca="false">IF(Tasks[[#This Row],[_Pred1Text]]="","",IFERROR(VALUE(LEFT(Tasks[[#This Row],[_Pred1Text]],MIN(FIND("F",Tasks[[#This Row],[_Pred1Text]]&amp;"F"),FIND("S",Tasks[[#This Row],[_Pred1Text]]&amp;"S"),FIND("+",Tasks[[#This Row],[_Pred1Text]]&amp;"+"),FIND("-",Tasks[[#This Row],[_Pred1Text]]&amp;"-"))-1)),""))</f>
        <v/>
      </c>
      <c r="BZ19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9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98" s="45" t="str">
        <f aca="false">IF(Tasks[[#This Row],[_Pred1Text]]="","",TRIM(MID(SUBSTITUTE(SUBSTITUTE(SUBSTITUTE(UPPER(Tasks[[#This Row],[Predecessors]]),";",",")," ",""),",",REPT(" ",99)),100,99)))</f>
        <v/>
      </c>
      <c r="CC198" s="45" t="str">
        <f aca="false">IF(Tasks[[#This Row],[_Pred2Text]]="","",IFERROR(VALUE(LEFT(Tasks[[#This Row],[_Pred2Text]],MIN(FIND("F",Tasks[[#This Row],[_Pred2Text]]&amp;"F"),FIND("S",Tasks[[#This Row],[_Pred2Text]]&amp;"S"),FIND("+",Tasks[[#This Row],[_Pred2Text]]&amp;"+"),FIND("-",Tasks[[#This Row],[_Pred2Text]]&amp;"-"))-1)),""))</f>
        <v/>
      </c>
      <c r="CD19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9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98" s="45" t="str">
        <f aca="false">IF(Tasks[[#This Row],[_Pred2Text]]="","",TRIM(MID(SUBSTITUTE(SUBSTITUTE(SUBSTITUTE(UPPER(Tasks[[#This Row],[Predecessors]]),";",",")," ",""),",",REPT(" ",99)),199,99)))</f>
        <v/>
      </c>
      <c r="CG198" s="45" t="str">
        <f aca="false">IF(Tasks[[#This Row],[_Pred3Text]]="","",IFERROR(VALUE(LEFT(Tasks[[#This Row],[_Pred3Text]],MIN(FIND("F",Tasks[[#This Row],[_Pred3Text]]&amp;"F"),FIND("S",Tasks[[#This Row],[_Pred3Text]]&amp;"S"),FIND("+",Tasks[[#This Row],[_Pred3Text]]&amp;"+"),FIND("-",Tasks[[#This Row],[_Pred3Text]]&amp;"-"))-1)),""))</f>
        <v/>
      </c>
      <c r="CH19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9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98" s="45" t="str">
        <f aca="false">IF(Tasks[[#This Row],[_Pred3Text]]="","",TRIM(MID(SUBSTITUTE(SUBSTITUTE(SUBSTITUTE(UPPER(Tasks[[#This Row],[Predecessors]]),";",",")," ",""),",",REPT(" ",99)),298,99)))</f>
        <v/>
      </c>
      <c r="CK198" s="45" t="str">
        <f aca="false">IF(Tasks[[#This Row],[_Pred4Text]]="","",IFERROR(VALUE(LEFT(Tasks[[#This Row],[_Pred4Text]],MIN(FIND("F",Tasks[[#This Row],[_Pred4Text]]&amp;"F"),FIND("S",Tasks[[#This Row],[_Pred4Text]]&amp;"S"),FIND("+",Tasks[[#This Row],[_Pred4Text]]&amp;"+"),FIND("-",Tasks[[#This Row],[_Pred4Text]]&amp;"-"))-1)),""))</f>
        <v/>
      </c>
      <c r="CL19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9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98" s="45" t="str">
        <f aca="false">IF(OR(Tasks[[#This Row],[Task Name]]="",Tasks[[#This Row],[Resources]]=""),"",TRIM(MID(SUBSTITUTE(Tasks[[#This Row],[Resources]],",",REPT(" ",99)),1,99)))</f>
        <v/>
      </c>
      <c r="CO198" s="45" t="str">
        <f aca="false">IF(Tasks[[#This Row],[_Res1Text]]="","",TRIM(MID(SUBSTITUTE(Tasks[[#This Row],[Resources]],",",REPT(" ",99)),100,99)))</f>
        <v/>
      </c>
      <c r="CP198" s="45" t="str">
        <f aca="false">IF(Tasks[[#This Row],[_Res2Text]]="","",TRIM(MID(SUBSTITUTE(Tasks[[#This Row],[Resources]],",",REPT(" ",99)),199,99)))</f>
        <v/>
      </c>
      <c r="CQ198" s="45" t="str">
        <f aca="false">IF(Tasks[[#This Row],[_Res3Text]]="","",TRIM(MID(SUBSTITUTE(Tasks[[#This Row],[Resources]],",",REPT(" ",99)),298,99)))</f>
        <v/>
      </c>
      <c r="CR198"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9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8" s="45" t="n">
        <f aca="false">IF(NOT(Tasks[[#This Row],[_IsLeaf]]=1),0,(Tasks[[#This Row],[_Resource1]]&lt;&gt;"")+(Tasks[[#This Row],[_Res2]]&lt;&gt;"")+(Tasks[[#This Row],[_Res3]]&lt;&gt;"")+(Tasks[[#This Row],[_Res4]]&lt;&gt;""))</f>
        <v>0</v>
      </c>
      <c r="CU198"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9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8" s="45" t="n">
        <f aca="false">IF(OR(NOT(Tasks[[#This Row],[_IsLeaf]]=1),Tasks[[#This Row],[_Res2]]=""),0,IF(ISNA(MATCH(Tasks[[#This Row],[_Res2]],res_Name,0)),0,N(Tasks[[#This Row],[Duration]])*HoursPerDay*IF(Tasks[[#This Row],[_Res2Units]]="",DefaultUnits,Tasks[[#This Row],[_Res2Units]])))</f>
        <v>0</v>
      </c>
      <c r="CX198" s="45" t="n">
        <f aca="false">IF(Tasks[[#This Row],[_Res2Work]]=0,0,Tasks[[#This Row],[_Res2Work]]*IFERROR(INDEX(res_Rate,MATCH(Tasks[[#This Row],[_Res2]],res_Name,0)),0))</f>
        <v>0</v>
      </c>
      <c r="CY198" s="45" t="n">
        <f aca="false">IF(AND(AND(Tasks[[#This Row],[_IsLeaf]]=1,Tasks[[#This Row],[_LeafTotalWork]]&gt;0),Tasks[[#This Row],[_Res2Work]]&gt;0),Tasks[[#This Row],[_Res2Work]]/(Tasks[[#This Row],[_FinishWorkday]]-Tasks[[#This Row],[_StartWorkday]]+1),0)</f>
        <v>0</v>
      </c>
      <c r="CZ198" s="45" t="n">
        <f aca="false">Tasks[[#This Row],[_Res2WorkPerWD]]*MAX(0,Tasks[[#This Row],[_StartWorkday]]-1)</f>
        <v>0</v>
      </c>
      <c r="DA198" s="45" t="n">
        <f aca="false">Tasks[[#This Row],[_Res2Work]]*Tasks[[#This Row],[_LeafProgress]]</f>
        <v>0</v>
      </c>
      <c r="DB198" s="45" t="n">
        <f aca="false">IF(Tasks[[#This Row],[_LeafTotalCost]]=0,0,Tasks[[#This Row],[_LeafAC]]*Tasks[[#This Row],[_Res2Cost]]/Tasks[[#This Row],[_LeafTotalCost]])</f>
        <v>0</v>
      </c>
      <c r="DC198"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9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98" s="45" t="n">
        <f aca="false">IF(OR(NOT(Tasks[[#This Row],[_IsLeaf]]=1),Tasks[[#This Row],[_Res3]]=""),0,IF(ISNA(MATCH(Tasks[[#This Row],[_Res3]],res_Name,0)),0,N(Tasks[[#This Row],[Duration]])*HoursPerDay*IF(Tasks[[#This Row],[_Res3Units]]="",DefaultUnits,Tasks[[#This Row],[_Res3Units]])))</f>
        <v>0</v>
      </c>
      <c r="DF198" s="45" t="n">
        <f aca="false">IF(Tasks[[#This Row],[_Res3Work]]=0,0,Tasks[[#This Row],[_Res3Work]]*IFERROR(INDEX(res_Rate,MATCH(Tasks[[#This Row],[_Res3]],res_Name,0)),0))</f>
        <v>0</v>
      </c>
      <c r="DG198" s="45" t="n">
        <f aca="false">IF(AND(AND(Tasks[[#This Row],[_IsLeaf]]=1,Tasks[[#This Row],[_LeafTotalWork]]&gt;0),Tasks[[#This Row],[_Res3Work]]&gt;0),Tasks[[#This Row],[_Res3Work]]/(Tasks[[#This Row],[_FinishWorkday]]-Tasks[[#This Row],[_StartWorkday]]+1),0)</f>
        <v>0</v>
      </c>
      <c r="DH198" s="45" t="n">
        <f aca="false">Tasks[[#This Row],[_Res3WorkPerWD]]*MAX(0,Tasks[[#This Row],[_StartWorkday]]-1)</f>
        <v>0</v>
      </c>
      <c r="DI198" s="45" t="n">
        <f aca="false">Tasks[[#This Row],[_Res3Work]]*Tasks[[#This Row],[_LeafProgress]]</f>
        <v>0</v>
      </c>
      <c r="DJ198" s="45" t="n">
        <f aca="false">IF(Tasks[[#This Row],[_LeafTotalCost]]=0,0,Tasks[[#This Row],[_LeafAC]]*Tasks[[#This Row],[_Res3Cost]]/Tasks[[#This Row],[_LeafTotalCost]])</f>
        <v>0</v>
      </c>
      <c r="DK198"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9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98" s="45" t="n">
        <f aca="false">IF(OR(NOT(Tasks[[#This Row],[_IsLeaf]]=1),Tasks[[#This Row],[_Res4]]=""),0,IF(ISNA(MATCH(Tasks[[#This Row],[_Res4]],res_Name,0)),0,N(Tasks[[#This Row],[Duration]])*HoursPerDay*IF(Tasks[[#This Row],[_Res4Units]]="",DefaultUnits,Tasks[[#This Row],[_Res4Units]])))</f>
        <v>0</v>
      </c>
      <c r="DN198" s="45" t="n">
        <f aca="false">IF(Tasks[[#This Row],[_Res4Work]]=0,0,Tasks[[#This Row],[_Res4Work]]*IFERROR(INDEX(res_Rate,MATCH(Tasks[[#This Row],[_Res4]],res_Name,0)),0))</f>
        <v>0</v>
      </c>
      <c r="DO198" s="45" t="n">
        <f aca="false">IF(AND(AND(Tasks[[#This Row],[_IsLeaf]]=1,Tasks[[#This Row],[_LeafTotalWork]]&gt;0),Tasks[[#This Row],[_Res4Work]]&gt;0),Tasks[[#This Row],[_Res4Work]]/(Tasks[[#This Row],[_FinishWorkday]]-Tasks[[#This Row],[_StartWorkday]]+1),0)</f>
        <v>0</v>
      </c>
      <c r="DP198" s="45" t="n">
        <f aca="false">Tasks[[#This Row],[_Res4WorkPerWD]]*MAX(0,Tasks[[#This Row],[_StartWorkday]]-1)</f>
        <v>0</v>
      </c>
      <c r="DQ198" s="45" t="n">
        <f aca="false">Tasks[[#This Row],[_Res4Work]]*Tasks[[#This Row],[_LeafProgress]]</f>
        <v>0</v>
      </c>
      <c r="DR198" s="45" t="n">
        <f aca="false">IF(Tasks[[#This Row],[_LeafTotalCost]]=0,0,Tasks[[#This Row],[_LeafAC]]*Tasks[[#This Row],[_Res4Cost]]/Tasks[[#This Row],[_LeafTotalCost]])</f>
        <v>0</v>
      </c>
      <c r="DS198" s="45" t="n">
        <f aca="false">IF(ISNUMBER(Tasks[[#This Row],[% Complete]]),Tasks[[#This Row],[% Complete]],IF(Tasks[[#This Row],[Stage]]="",0,IFERROR(INDEX(stg_Pct,MATCH(Tasks[[#This Row],[Stage]],stg_Name,0)),0)))</f>
        <v>0</v>
      </c>
      <c r="DT198" s="45" t="n">
        <f aca="false">IF(NOT(Tasks[[#This Row],[_IsLeaf]]=1),0,IF(N(Tasks[[#This Row],[Actual Finish]])&gt;0,1,MIN(1,Tasks[[#This Row],[_Pct]])))</f>
        <v>0</v>
      </c>
      <c r="DU198" s="45" t="n">
        <f aca="false">IF(OR(NOT(Tasks[[#This Row],[_IsLeaf]]=1),Tasks[[#This Row],[_Resource1]]=""),0,IF(ISNA(MATCH(Tasks[[#This Row],[_Resource1]],res_Name,0)),0,N(Tasks[[#This Row],[Duration]])*HoursPerDay*IF(Tasks[[#This Row],[_Units1]]="",DefaultUnits,Tasks[[#This Row],[_Units1]])))</f>
        <v>0</v>
      </c>
      <c r="DV198" s="45" t="n">
        <f aca="false">IF(Tasks[[#This Row],[_LeafWork]]=0,0,Tasks[[#This Row],[_LeafWork]]*IFERROR(INDEX(res_Rate,MATCH(Tasks[[#This Row],[_Resource1]],res_Name,0)),0))</f>
        <v>0</v>
      </c>
      <c r="DW198" s="45" t="n">
        <f aca="false">Tasks[[#This Row],[_LeafWork]]+Tasks[[#This Row],[_Res2Work]]+Tasks[[#This Row],[_Res3Work]]+Tasks[[#This Row],[_Res4Work]]</f>
        <v>0</v>
      </c>
      <c r="DX198" s="45" t="n">
        <f aca="false">Tasks[[#This Row],[_LeafCost]]+Tasks[[#This Row],[_Res2Cost]]+Tasks[[#This Row],[_Res3Cost]]+Tasks[[#This Row],[_Res4Cost]]</f>
        <v>0</v>
      </c>
      <c r="DY198" s="45" t="n">
        <f aca="false">IF(Tasks[[#This Row],[_LeafTotalCost]]=0,Tasks[[#This Row],[_LeafAC]],Tasks[[#This Row],[_LeafAC]]*Tasks[[#This Row],[_LeafCost]]/Tasks[[#This Row],[_LeafTotalCost]])</f>
        <v>0</v>
      </c>
      <c r="DZ198"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98"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98"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98"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9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9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9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9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98" s="45" t="n">
        <f aca="false">IF(NOT(Tasks[[#This Row],[_IsLeaf]]=1),0,MAX(_xlfn.MAXIFS(Tasks[_Row],Tasks[_Pred1UID],Tasks[[#This Row],[UID]]),_xlfn.MAXIFS(Tasks[_Row],Tasks[_Pred2UID],Tasks[[#This Row],[UID]]),_xlfn.MAXIFS(Tasks[_Row],Tasks[_Pred3UID],Tasks[[#This Row],[UID]]),_xlfn.MAXIFS(Tasks[_Row],Tasks[_Pred4UID],Tasks[[#This Row],[UID]])))</f>
        <v>0</v>
      </c>
      <c r="EI198"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98"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98" s="74" t="str">
        <f aca="false">IF(NOT(Tasks[[#This Row],[_IsLeaf]]=1),"",IF(N(Tasks[[#This Row],[Duration]])&lt;=0,Tasks[[#This Row],[_LeafLateFinish]],WORKDAY.INTL(Tasks[[#This Row],[_LeafLateFinish]],-(Tasks[[#This Row],[Duration]]-1),WorkWeek,Holidays)))</f>
        <v/>
      </c>
      <c r="EL19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98" s="73" t="b">
        <f aca="false">AND(Tasks[[#This Row],[_IsLeaf]]=1,Tasks[[#This Row],[_LeafProgress]]&lt;1,N(Tasks[[#This Row],[_LeafTotalSlack]])&lt;=CriticalSlackDays)</f>
        <v>0</v>
      </c>
      <c r="EN198" s="45" t="n">
        <f aca="false">IF(AND(Tasks[[#This Row],[_IsLeaf]]=1,Tasks[[#This Row],[_ConstraintCode]]=1,Tasks[[#This Row],[Mode]]&lt;&gt;"Manual",N(Tasks[[#This Row],[Actual Start]])=0),MAX(0,N(Tasks[[#This Row],[Free Slack]])),0)</f>
        <v>0</v>
      </c>
      <c r="EO198" s="74" t="str">
        <f aca="false">IF(NOT(Tasks[[#This Row],[_IsLeaf]]=1),"",IF(Tasks[[#This Row],[_AlapShift]]=0,Tasks[[#This Row],[_LeafCalcStart]],WORKDAY.INTL(Tasks[[#This Row],[_LeafCalcStart]],Tasks[[#This Row],[_AlapShift]],WorkWeek,Holidays)))</f>
        <v/>
      </c>
      <c r="EP198" s="74" t="str">
        <f aca="false">IF(NOT(Tasks[[#This Row],[_IsLeaf]]=1),"",IF(Tasks[[#This Row],[_AlapShift]]=0,Tasks[[#This Row],[_LeafCalcFinish]],WORKDAY.INTL(Tasks[[#This Row],[_LeafCalcFinish]],Tasks[[#This Row],[_AlapShift]],WorkWeek,Holidays)))</f>
        <v/>
      </c>
      <c r="EQ198" s="74" t="str">
        <f aca="false">IF(NOT(Tasks[[#This Row],[_IsLeaf]]=1),"",IF(Tasks[[#This Row],[_AlapShift]]=0,Tasks[[#This Row],[_LeafFcstStart]],WORKDAY.INTL(Tasks[[#This Row],[_LeafFcstStart]],Tasks[[#This Row],[_AlapShift]],WorkWeek,Holidays)))</f>
        <v/>
      </c>
      <c r="ER198" s="74" t="str">
        <f aca="false">IF(NOT(Tasks[[#This Row],[_IsLeaf]]=1),"",IF(Tasks[[#This Row],[_AlapShift]]=0,Tasks[[#This Row],[_LeafFcstFinish]],WORKDAY.INTL(Tasks[[#This Row],[_LeafFcstFinish]],Tasks[[#This Row],[_AlapShift]],WorkWeek,Holidays)))</f>
        <v/>
      </c>
      <c r="ES198" s="74" t="str">
        <f aca="false">IF(Tasks[[#This Row],[Task Name]]="","",IF(Tasks[[#This Row],[_IsSummary]],MIN(INDEX(Tasks[_ShownCalcStart],Tasks[[#This Row],[_Row]]+1):INDEX(Tasks[_ShownCalcStart],Tasks[[#This Row],[_Row]]+Tasks[[#This Row],[_Descendants]])),Tasks[[#This Row],[_ShownCalcStart]]))</f>
        <v/>
      </c>
      <c r="ET198" s="74" t="str">
        <f aca="false">IF(Tasks[[#This Row],[Task Name]]="","",IF(Tasks[[#This Row],[_IsSummary]],MAX(INDEX(Tasks[_ShownCalcFinish],Tasks[[#This Row],[_Row]]+1):INDEX(Tasks[_ShownCalcFinish],Tasks[[#This Row],[_Row]]+Tasks[[#This Row],[_Descendants]])),Tasks[[#This Row],[_ShownCalcFinish]]))</f>
        <v/>
      </c>
      <c r="EU19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9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9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9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98"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98"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98"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98"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98"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98"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98"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98"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98" s="45" t="n">
        <f aca="false">IF(AND(Tasks[[#This Row],[_IsLeaf]]=1,Tasks[[#This Row],[_LeafTotalWork]]&gt;0),NETWORKDAYS.INTL(ProjectStart,Tasks[[#This Row],[_ShownFcstStart]],WorkWeek,Holidays),0)</f>
        <v>0</v>
      </c>
      <c r="FH198" s="45" t="n">
        <f aca="false">IF(AND(Tasks[[#This Row],[_IsLeaf]]=1,Tasks[[#This Row],[_LeafTotalWork]]&gt;0),MAX(Tasks[[#This Row],[_StartWorkday]],NETWORKDAYS.INTL(ProjectStart,Tasks[[#This Row],[_ShownFcstFinish]],WorkWeek,Holidays)),0)</f>
        <v>0</v>
      </c>
      <c r="FI198" s="45" t="n">
        <f aca="false">IF(AND(Tasks[[#This Row],[_IsLeaf]]=1,Tasks[[#This Row],[_LeafTotalWork]]&gt;0),Tasks[[#This Row],[_LeafWork]]/(Tasks[[#This Row],[_FinishWorkday]]-Tasks[[#This Row],[_StartWorkday]]+1),0)</f>
        <v>0</v>
      </c>
      <c r="FJ198" s="45" t="n">
        <f aca="false">Tasks[[#This Row],[_WorkPerWorkday]]*(Tasks[[#This Row],[_StartWorkday]]-1)</f>
        <v>-0</v>
      </c>
      <c r="FK198" s="45" t="n">
        <f aca="false">IF(Tasks[[#This Row],[_IsLeaf]]=1,MAX(N(Tasks[[#This Row],[Duration]]),0.1),0)</f>
        <v>0</v>
      </c>
      <c r="FL198" s="45" t="n">
        <f aca="false">Tasks[[#This Row],[_WeightDur]]*Tasks[[#This Row],[_LeafProgress]]</f>
        <v>0</v>
      </c>
      <c r="FM19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98" s="45" t="str">
        <f aca="false">IF(AND(Tasks[[#This Row],[_IsLeaf]]=1,N(Tasks[[#This Row],[Duration]])=0,Tasks[[#This Row],[_LeafProgress]]&lt;1),Tasks[[#This Row],[_ShownFcstFinish]]+Tasks[[#This Row],[_Row]]/100000,"")</f>
        <v/>
      </c>
      <c r="FO19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98" s="45" t="n">
        <f aca="false">IF(NOT(Tasks[[#This Row],[_IsLeaf]]=1),0,IF(Tasks[[#This Row],[Baseline Cost]]="",Tasks[[#This Row],[_LeafTotalCost]],N(Tasks[[#This Row],[Baseline Cost]])))</f>
        <v>0</v>
      </c>
      <c r="FQ198" s="45" t="n">
        <f aca="false">Tasks[[#This Row],[_LeafBudget]]*Tasks[[#This Row],[_PlannedPct]]</f>
        <v>0</v>
      </c>
      <c r="FR198" s="45" t="n">
        <f aca="false">Tasks[[#This Row],[_LeafBudget]]*Tasks[[#This Row],[_LeafProgress]]</f>
        <v>0</v>
      </c>
      <c r="FS198" s="45" t="n">
        <f aca="false">IF(NOT(Tasks[[#This Row],[_IsLeaf]]=1),0,IF(Tasks[[#This Row],[Actual Cost]]="",Tasks[[#This Row],[_LeafTotalCost]]*Tasks[[#This Row],[_LeafProgress]],N(Tasks[[#This Row],[Actual Cost]])))</f>
        <v>0</v>
      </c>
      <c r="FT198" s="45" t="str">
        <f aca="false">IF(Tasks[[#This Row],[Task Name]]="","",LEFT(Tasks[[#This Row],[WBS]],FIND(".",Tasks[[#This Row],[WBS]]&amp;".")-1))</f>
        <v/>
      </c>
      <c r="FU198" s="45" t="str">
        <f aca="false">IF(AND(Tasks[[#This Row],[Task Name]]&lt;&gt;"",Tasks[[#This Row],[_Level]]=1),Tasks[[#This Row],[_Row]],"")</f>
        <v/>
      </c>
      <c r="FV198" s="45" t="str">
        <f aca="false">IF(AND(Tasks[[#This Row],[_IsLeaf]]=1,N(Tasks[[#This Row],[Duration]])=0),Tasks[[#This Row],[Planned Finish]]+Tasks[[#This Row],[_Row]]/100000,"")</f>
        <v/>
      </c>
      <c r="FW198" s="45" t="str">
        <f aca="false">IF(AND(Tasks[[#This Row],[_IsLeaf]]=1,Tasks[[#This Row],[_LeafProgress]]&lt;1,OR(N(Tasks[[#This Row],[Finish Var]])&gt;0,Tasks[[#This Row],[Status]]="Late Start")),MAX(0,Tasks[[#This Row],[Finish Var]])+1-Tasks[[#This Row],[_Row]]/1000000,"")</f>
        <v/>
      </c>
      <c r="FX198" s="45" t="str">
        <f aca="false">IF(AND(Tasks[[#This Row],[_IsLeaf]]=1,N(Tasks[[#This Row],[Actual Start]])=0,Tasks[[#This Row],[_ShownFcstStart]]&gt;=StatusDate,Tasks[[#This Row],[_ShownFcstStart]]&lt;=LookaheadEnd),Tasks[[#This Row],[_ShownFcstStart]]+Tasks[[#This Row],[_Row]]/100000,"")</f>
        <v/>
      </c>
      <c r="FY198" s="45" t="str">
        <f aca="false">IF(AND(Tasks[[#This Row],[_IsLeaf]]=1,Tasks[[#This Row],[_LeafProgress]]&lt;1,Tasks[[#This Row],[_ShownFcstFinish]]&gt;=StatusDate,Tasks[[#This Row],[_ShownFcstFinish]]&lt;=LookaheadEnd),Tasks[[#This Row],[_ShownFcstFinish]]+Tasks[[#This Row],[_Row]]/100000,"")</f>
        <v/>
      </c>
      <c r="FZ198" s="45" t="str">
        <f aca="false">IF(Tasks[[#This Row],[_LeafCritical]],Tasks[[#This Row],[_ShownFcstStart]]+Tasks[[#This Row],[_Row]]/100000,"")</f>
        <v/>
      </c>
      <c r="GA198" s="45" t="n">
        <f aca="false">Tasks[[#This Row],[_LeafWork]]*Tasks[[#This Row],[_LeafProgress]]</f>
        <v>0</v>
      </c>
      <c r="GB198" s="74" t="str">
        <f aca="false">IF(AND(Tasks[[#This Row],[_IsLeaf]]=1,Tasks[[#This Row],[_LeafProgress]]&gt;=1),IF(N(Tasks[[#This Row],[Actual Finish]])&gt;0,Tasks[[#This Row],[Actual Finish]],Tasks[[#This Row],[_ShownFcstFinish]]),"")</f>
        <v/>
      </c>
    </row>
    <row r="199" customFormat="false" ht="15" hidden="false" customHeight="false" outlineLevel="0" collapsed="false">
      <c r="A199" s="67" t="str">
        <f aca="false">IF(Tasks[[#This Row],[Task Name]]="","",COUNTA(Tasks[[#Headers],[Task Name]]:Tasks[[#This Row],[Task Name]])-1)</f>
        <v/>
      </c>
      <c r="B199" s="21" t="n">
        <v>194</v>
      </c>
      <c r="C199"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21"/>
      <c r="E199" s="22"/>
      <c r="F199" s="21"/>
      <c r="G199" s="22"/>
      <c r="H199" s="22"/>
      <c r="I199" s="22"/>
      <c r="J199" s="7"/>
      <c r="K199" s="7"/>
      <c r="L199" s="22"/>
      <c r="M199" s="58" t="str">
        <f aca="false">IF(Tasks[[#This Row],[Task Name]]="","",IF(Tasks[[#This Row],[_IsSummary]],MIN(INDEX(Tasks[_ShownFcstStart],Tasks[[#This Row],[_Row]]+1):INDEX(Tasks[_ShownFcstStart],Tasks[[#This Row],[_Row]]+Tasks[[#This Row],[_Descendants]])),Tasks[[#This Row],[_ShownFcstStart]]))</f>
        <v/>
      </c>
      <c r="N199" s="58" t="str">
        <f aca="false">IF(Tasks[[#This Row],[Task Name]]="","",IF(Tasks[[#This Row],[_IsSummary]],MAX(INDEX(Tasks[_ShownFcstFinish],Tasks[[#This Row],[_Row]]+1):INDEX(Tasks[_ShownFcstFinish],Tasks[[#This Row],[_Row]]+Tasks[[#This Row],[_Descendants]])),Tasks[[#This Row],[_ShownFcstFinish]]))</f>
        <v/>
      </c>
      <c r="O199" s="20" t="str">
        <f aca="false">IF(Tasks[[#This Row],[Task Name]]="","",IF(Tasks[[#This Row],[Progress]]&gt;=1,"Complete",IF(OR(N(Tasks[[#This Row],[Actual Start]])&gt;0,Tasks[[#This Row],[Progress]]&gt;0),IF(Tasks[[#This Row],[Finish Var]]&gt;0,"Behind","In Progress"),IF(Tasks[[#This Row],[Planned Start]]&lt;StatusDate,"Late Start","Not Started"))))</f>
        <v/>
      </c>
      <c r="P199" s="20" t="str">
        <f aca="false">IF(Tasks[[#This Row],[Task Name]]="","",IF(IF(Tasks[[#This Row],[_IsSummary]],COUNTIF(INDEX(Tasks[_LeafCritical],Tasks[[#This Row],[_Row]]+1):INDEX(Tasks[_LeafCritical],Tasks[[#This Row],[_Row]]+Tasks[[#This Row],[_Descendants]]),TRUE())&gt;0,Tasks[[#This Row],[_LeafCritical]]),"Yes",""))</f>
        <v/>
      </c>
      <c r="Q199"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199" s="67" t="str">
        <f aca="false">IF(Tasks[[#This Row],[Task Name]]="","",IF(Tasks[[#This Row],[_Level]]&lt;=OutlineShowLevel,"Yes","No"))</f>
        <v/>
      </c>
      <c r="S199" s="7"/>
      <c r="T199" s="21"/>
      <c r="U199" s="22"/>
      <c r="V199" s="7"/>
      <c r="W199" s="67" t="str">
        <f aca="false">IF(Tasks[[#This Row],[Task Name]]="","",IF(Tasks[[#This Row],[Finish]]&gt;=Tasks[[#This Row],[Planned Finish]],NETWORKDAYS.INTL(Tasks[[#This Row],[Planned Finish]],Tasks[[#This Row],[Finish]],WorkWeek,Holidays)-1,1-NETWORKDAYS.INTL(Tasks[[#This Row],[Finish]],Tasks[[#This Row],[Planned Finish]],WorkWeek,Holidays)))</f>
        <v/>
      </c>
      <c r="X199" s="58" t="str">
        <f aca="false">IF(Tasks[[#This Row],[Task Name]]="","",IF(N(Tasks[[#This Row],[Baseline Start]])&gt;0,Tasks[[#This Row],[Baseline Start]],Tasks[[#This Row],[_CalcStart]]))</f>
        <v/>
      </c>
      <c r="Y199" s="58" t="str">
        <f aca="false">IF(Tasks[[#This Row],[Task Name]]="","",IF(N(Tasks[[#This Row],[Baseline Finish]])&gt;0,Tasks[[#This Row],[Baseline Finish]],Tasks[[#This Row],[_CalcFinish]]))</f>
        <v/>
      </c>
      <c r="Z199" s="67" t="str">
        <f aca="false">IF(Tasks[[#This Row],[Task Name]]="","",IF(Tasks[[#This Row],[Start]]&gt;=Tasks[[#This Row],[Planned Start]],NETWORKDAYS.INTL(Tasks[[#This Row],[Planned Start]],Tasks[[#This Row],[Start]],WorkWeek,Holidays)-1,1-NETWORKDAYS.INTL(Tasks[[#This Row],[Start]],Tasks[[#This Row],[Planned Start]],WorkWeek,Holidays)))</f>
        <v/>
      </c>
      <c r="AA199" s="58" t="str">
        <f aca="false">IF(Tasks[[#This Row],[Task Name]]="","",IF(Tasks[[#This Row],[_IsSummary]],MIN(INDEX(Tasks[_LeafLateStart],Tasks[[#This Row],[_Row]]+1):INDEX(Tasks[_LeafLateStart],Tasks[[#This Row],[_Row]]+Tasks[[#This Row],[_Descendants]])),Tasks[[#This Row],[_LeafLateStart]]))</f>
        <v/>
      </c>
      <c r="AB199" s="58" t="str">
        <f aca="false">IF(Tasks[[#This Row],[Task Name]]="","",IF(Tasks[[#This Row],[_IsSummary]],MAX(INDEX(Tasks[_LeafLateFinish],Tasks[[#This Row],[_Row]]+1):INDEX(Tasks[_LeafLateFinish],Tasks[[#This Row],[_Row]]+Tasks[[#This Row],[_Descendants]])),Tasks[[#This Row],[_LeafLateFinish]]))</f>
        <v/>
      </c>
      <c r="AC199" s="67" t="str">
        <f aca="false">IF(Tasks[[#This Row],[Task Name]]="","",IF(Tasks[[#This Row],[_IsSummary]],MIN(INDEX(Tasks[_LeafTotalSlack],Tasks[[#This Row],[_Row]]+1):INDEX(Tasks[_LeafTotalSlack],Tasks[[#This Row],[_Row]]+Tasks[[#This Row],[_Descendants]])),Tasks[[#This Row],[_LeafTotalSlack]]))</f>
        <v/>
      </c>
      <c r="AD199"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199"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199"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199" s="60"/>
      <c r="AH199"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199"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199" s="69" t="str">
        <f aca="false">IF(Tasks[[#This Row],[Task Name]]="","",IF(Tasks[[#This Row],[_IsSummary]],SUM(INDEX(Tasks[_LeafTotalWork],Tasks[[#This Row],[_Row]]+1):INDEX(Tasks[_LeafTotalWork],Tasks[[#This Row],[_Row]]+Tasks[[#This Row],[_Descendants]])),Tasks[[#This Row],[_LeafTotalWork]]))</f>
        <v/>
      </c>
      <c r="AK199"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199" s="70" t="str">
        <f aca="false">IF(Tasks[[#This Row],[Task Name]]="","",IF(Tasks[[#This Row],[_IsSummary]],SUM(INDEX(Tasks[_LeafTotalCost],Tasks[[#This Row],[_Row]]+1):INDEX(Tasks[_LeafTotalCost],Tasks[[#This Row],[_Row]]+Tasks[[#This Row],[_Descendants]])),Tasks[[#This Row],[_LeafTotalCost]]))</f>
        <v/>
      </c>
      <c r="AM199" s="71"/>
      <c r="AN199" s="20" t="str">
        <f aca="false">IF(OR(Tasks[[#This Row],[Task Name]]="",Tasks[[#This Row],[Baseline Duration]]=""),"",Tasks[[#This Row],[BL Source Duration]]-N(Tasks[[#This Row],[Baseline Duration]]))</f>
        <v/>
      </c>
      <c r="AO199" s="69" t="str">
        <f aca="false">IF(OR(Tasks[[#This Row],[Task Name]]="",Tasks[[#This Row],[Baseline Work]]=""),"",Tasks[[#This Row],[Work]]-N(Tasks[[#This Row],[Baseline Work]]))</f>
        <v/>
      </c>
      <c r="AP199" s="70" t="str">
        <f aca="false">IF(OR(Tasks[[#This Row],[Task Name]]="",Tasks[[#This Row],[Baseline Cost]]=""),"",Tasks[[#This Row],[Cost]]-N(Tasks[[#This Row],[Baseline Cost]]))</f>
        <v/>
      </c>
      <c r="AQ199" s="58" t="str">
        <f aca="false">IF(Tasks[[#This Row],[Task Name]]="","",Tasks[[#This Row],[Start]])</f>
        <v/>
      </c>
      <c r="AR199" s="58" t="str">
        <f aca="false">IF(Tasks[[#This Row],[Task Name]]="","",Tasks[[#This Row],[Finish]])</f>
        <v/>
      </c>
      <c r="AS199" s="67" t="str">
        <f aca="false">IF(Tasks[[#This Row],[Task Name]]="","",IF(Tasks[[#This Row],[_IsSummary]],NETWORKDAYS.INTL(Tasks[[#This Row],[Start]],Tasks[[#This Row],[Finish]],WorkWeek,Holidays),N(Tasks[[#This Row],[Duration]])))</f>
        <v/>
      </c>
      <c r="AT199" s="69" t="str">
        <f aca="false">IF(Tasks[[#This Row],[Task Name]]="","",Tasks[[#This Row],[Work]])</f>
        <v/>
      </c>
      <c r="AU199" s="70" t="str">
        <f aca="false">IF(Tasks[[#This Row],[Task Name]]="","",Tasks[[#This Row],[Cost]])</f>
        <v/>
      </c>
      <c r="AV199" s="7"/>
      <c r="AW199" s="7"/>
      <c r="AX199" s="21"/>
      <c r="AY199" s="72"/>
      <c r="AZ199" s="71"/>
      <c r="BA199" s="70" t="str">
        <f aca="false">IF(Tasks[[#This Row],[Task Name]]="","",IF(Tasks[[#This Row],[_IsSummary]],SUM(INDEX(Tasks[_LeafEV],Tasks[[#This Row],[_Row]]+1):INDEX(Tasks[_LeafEV],Tasks[[#This Row],[_Row]]+Tasks[[#This Row],[_Descendants]])),Tasks[[#This Row],[_LeafEV]]))</f>
        <v/>
      </c>
      <c r="BB199" s="70" t="str">
        <f aca="false">IF(Tasks[[#This Row],[Task Name]]="","",IF(Tasks[[#This Row],[_IsSummary]],SUM(INDEX(Tasks[_LeafBudget],Tasks[[#This Row],[_Row]]+1):INDEX(Tasks[_LeafBudget],Tasks[[#This Row],[_Row]]+Tasks[[#This Row],[_Descendants]])),Tasks[[#This Row],[_LeafBudget]]))</f>
        <v/>
      </c>
      <c r="BC199" s="70" t="str">
        <f aca="false">IF(Tasks[[#This Row],[Task Name]]="","",IF(Tasks[[#This Row],[_IsSummary]],SUM(INDEX(Tasks[_LeafPV],Tasks[[#This Row],[_Row]]+1):INDEX(Tasks[_LeafPV],Tasks[[#This Row],[_Row]]+Tasks[[#This Row],[_Descendants]])),Tasks[[#This Row],[_LeafPV]]))</f>
        <v/>
      </c>
      <c r="BD199" s="70" t="str">
        <f aca="false">IF(Tasks[[#This Row],[Task Name]]="","",IF(Tasks[[#This Row],[_IsSummary]],SUM(INDEX(Tasks[_LeafAC],Tasks[[#This Row],[_Row]]+1):INDEX(Tasks[_LeafAC],Tasks[[#This Row],[_Row]]+Tasks[[#This Row],[_Descendants]])),Tasks[[#This Row],[_LeafAC]]))</f>
        <v/>
      </c>
      <c r="BE199" s="45" t="str">
        <f aca="false">IF(Tasks[[#This Row],[Task Name]]="","",MAX(1,N(Tasks[[#This Row],[Level]])))</f>
        <v/>
      </c>
      <c r="BF199" s="45" t="n">
        <f aca="false">ROW()-ROW(Tasks[[#Headers],[ID]])</f>
        <v>194</v>
      </c>
      <c r="BG199" s="45" t="n">
        <f aca="false">IF(OR(Tasks[[#This Row],[Task Name]]="",Tasks[[#This Row],[_Level]]&lt;=1),0,IFERROR(LOOKUP(2,1/(Tasks[[#Headers],[_Level]]:Tasks[[#This Row],[_Level]]=Tasks[[#This Row],[_Level]]-1),ROW(Tasks[[#Headers],[_Level]]:Tasks[[#This Row],[_Level]])),0))</f>
        <v>0</v>
      </c>
      <c r="BH199" s="45" t="n">
        <f aca="false">IFERROR(N(INDEX(Tasks[_Level],Tasks[[#This Row],[_Row]]+1)),0)</f>
        <v>0</v>
      </c>
      <c r="BI199" s="73" t="b">
        <f aca="false">AND(Tasks[[#This Row],[Task Name]]&lt;&gt;"",Tasks[[#This Row],[_NextLevel]]&gt;Tasks[[#This Row],[_Level]])</f>
        <v>0</v>
      </c>
      <c r="BJ199" s="45" t="n">
        <f aca="false">IF(Tasks[[#This Row],[_IsSummary]],COUNTIF(Tasks[WBS],Tasks[[#This Row],[WBS]]&amp;".*"),0)</f>
        <v>0</v>
      </c>
      <c r="BK199" s="45" t="n">
        <f aca="false">IF(AND(Tasks[[#This Row],[Task Name]]&lt;&gt;"",NOT(Tasks[[#This Row],[_IsSummary]])),1,0)</f>
        <v>0</v>
      </c>
      <c r="BL199" s="45" t="n">
        <f aca="false">IF(N(Tasks[[#This Row],[_Pred1UID]])=0,0,IFERROR(MATCH(Tasks[[#This Row],[_Pred1UID]],Tasks[UID],0),-1))</f>
        <v>0</v>
      </c>
      <c r="BM199" s="45" t="n">
        <f aca="false">IF(N(Tasks[[#This Row],[_Pred2UID]])=0,0,IFERROR(MATCH(Tasks[[#This Row],[_Pred2UID]],Tasks[UID],0),-1))</f>
        <v>0</v>
      </c>
      <c r="BN199" s="45" t="n">
        <f aca="false">IF(N(Tasks[[#This Row],[_Pred3UID]])=0,0,IFERROR(MATCH(Tasks[[#This Row],[_Pred3UID]],Tasks[UID],0),-1))</f>
        <v>0</v>
      </c>
      <c r="BO199" s="45" t="n">
        <f aca="false">IF(N(Tasks[[#This Row],[_Pred4UID]])=0,0,IFERROR(MATCH(Tasks[[#This Row],[_Pred4UID]],Tasks[UID],0),-1))</f>
        <v>0</v>
      </c>
      <c r="BP19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199"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199" s="74" t="n">
        <f aca="false">IF(OR(Tasks[[#This Row],[_ConstraintCode]]=2,Tasks[[#This Row],[_ConstraintCode]]=3,Tasks[[#This Row],[_ConstraintCode]]=4,Tasks[[#This Row],[_ConstraintCode]]=6),Tasks[[#This Row],[_ConstraintStart]],0)</f>
        <v>0</v>
      </c>
      <c r="BS199" s="74" t="n">
        <f aca="false">IF(OR(Tasks[[#This Row],[_ConstraintCode]]=2,Tasks[[#This Row],[_ConstraintCode]]=3,Tasks[[#This Row],[_ConstraintCode]]=5,Tasks[[#This Row],[_ConstraintCode]]=7),Tasks[[#This Row],[_ConstraintStart]],2958465)</f>
        <v>2958465</v>
      </c>
      <c r="BT199"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199" s="74" t="str">
        <f aca="false">IF(NOT(Tasks[[#This Row],[_IsLeaf]]=1),"",IF(N(Tasks[[#This Row],[Duration]])&lt;=0,Tasks[[#This Row],[_LeafCalcStart]],WORKDAY.INTL(Tasks[[#This Row],[_LeafCalcStart]],Tasks[[#This Row],[Duration]]-1,WorkWeek,Holidays)))</f>
        <v/>
      </c>
      <c r="BV199"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199"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199" s="45" t="str">
        <f aca="false">IF(Tasks[[#This Row],[Predecessors]]="","",TRIM(MID(SUBSTITUTE(SUBSTITUTE(SUBSTITUTE(UPPER(Tasks[[#This Row],[Predecessors]]),";",",")," ",""),",",REPT(" ",99)),1,99)))</f>
        <v/>
      </c>
      <c r="BY199" s="45" t="str">
        <f aca="false">IF(Tasks[[#This Row],[_Pred1Text]]="","",IFERROR(VALUE(LEFT(Tasks[[#This Row],[_Pred1Text]],MIN(FIND("F",Tasks[[#This Row],[_Pred1Text]]&amp;"F"),FIND("S",Tasks[[#This Row],[_Pred1Text]]&amp;"S"),FIND("+",Tasks[[#This Row],[_Pred1Text]]&amp;"+"),FIND("-",Tasks[[#This Row],[_Pred1Text]]&amp;"-"))-1)),""))</f>
        <v/>
      </c>
      <c r="BZ19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19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199" s="45" t="str">
        <f aca="false">IF(Tasks[[#This Row],[_Pred1Text]]="","",TRIM(MID(SUBSTITUTE(SUBSTITUTE(SUBSTITUTE(UPPER(Tasks[[#This Row],[Predecessors]]),";",",")," ",""),",",REPT(" ",99)),100,99)))</f>
        <v/>
      </c>
      <c r="CC199" s="45" t="str">
        <f aca="false">IF(Tasks[[#This Row],[_Pred2Text]]="","",IFERROR(VALUE(LEFT(Tasks[[#This Row],[_Pred2Text]],MIN(FIND("F",Tasks[[#This Row],[_Pred2Text]]&amp;"F"),FIND("S",Tasks[[#This Row],[_Pred2Text]]&amp;"S"),FIND("+",Tasks[[#This Row],[_Pred2Text]]&amp;"+"),FIND("-",Tasks[[#This Row],[_Pred2Text]]&amp;"-"))-1)),""))</f>
        <v/>
      </c>
      <c r="CD19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19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199" s="45" t="str">
        <f aca="false">IF(Tasks[[#This Row],[_Pred2Text]]="","",TRIM(MID(SUBSTITUTE(SUBSTITUTE(SUBSTITUTE(UPPER(Tasks[[#This Row],[Predecessors]]),";",",")," ",""),",",REPT(" ",99)),199,99)))</f>
        <v/>
      </c>
      <c r="CG199" s="45" t="str">
        <f aca="false">IF(Tasks[[#This Row],[_Pred3Text]]="","",IFERROR(VALUE(LEFT(Tasks[[#This Row],[_Pred3Text]],MIN(FIND("F",Tasks[[#This Row],[_Pred3Text]]&amp;"F"),FIND("S",Tasks[[#This Row],[_Pred3Text]]&amp;"S"),FIND("+",Tasks[[#This Row],[_Pred3Text]]&amp;"+"),FIND("-",Tasks[[#This Row],[_Pred3Text]]&amp;"-"))-1)),""))</f>
        <v/>
      </c>
      <c r="CH19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19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199" s="45" t="str">
        <f aca="false">IF(Tasks[[#This Row],[_Pred3Text]]="","",TRIM(MID(SUBSTITUTE(SUBSTITUTE(SUBSTITUTE(UPPER(Tasks[[#This Row],[Predecessors]]),";",",")," ",""),",",REPT(" ",99)),298,99)))</f>
        <v/>
      </c>
      <c r="CK199" s="45" t="str">
        <f aca="false">IF(Tasks[[#This Row],[_Pred4Text]]="","",IFERROR(VALUE(LEFT(Tasks[[#This Row],[_Pred4Text]],MIN(FIND("F",Tasks[[#This Row],[_Pred4Text]]&amp;"F"),FIND("S",Tasks[[#This Row],[_Pred4Text]]&amp;"S"),FIND("+",Tasks[[#This Row],[_Pred4Text]]&amp;"+"),FIND("-",Tasks[[#This Row],[_Pred4Text]]&amp;"-"))-1)),""))</f>
        <v/>
      </c>
      <c r="CL19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19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199" s="45" t="str">
        <f aca="false">IF(OR(Tasks[[#This Row],[Task Name]]="",Tasks[[#This Row],[Resources]]=""),"",TRIM(MID(SUBSTITUTE(Tasks[[#This Row],[Resources]],",",REPT(" ",99)),1,99)))</f>
        <v/>
      </c>
      <c r="CO199" s="45" t="str">
        <f aca="false">IF(Tasks[[#This Row],[_Res1Text]]="","",TRIM(MID(SUBSTITUTE(Tasks[[#This Row],[Resources]],",",REPT(" ",99)),100,99)))</f>
        <v/>
      </c>
      <c r="CP199" s="45" t="str">
        <f aca="false">IF(Tasks[[#This Row],[_Res2Text]]="","",TRIM(MID(SUBSTITUTE(Tasks[[#This Row],[Resources]],",",REPT(" ",99)),199,99)))</f>
        <v/>
      </c>
      <c r="CQ199" s="45" t="str">
        <f aca="false">IF(Tasks[[#This Row],[_Res3Text]]="","",TRIM(MID(SUBSTITUTE(Tasks[[#This Row],[Resources]],",",REPT(" ",99)),298,99)))</f>
        <v/>
      </c>
      <c r="CR199"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19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9" s="45" t="n">
        <f aca="false">IF(NOT(Tasks[[#This Row],[_IsLeaf]]=1),0,(Tasks[[#This Row],[_Resource1]]&lt;&gt;"")+(Tasks[[#This Row],[_Res2]]&lt;&gt;"")+(Tasks[[#This Row],[_Res3]]&lt;&gt;"")+(Tasks[[#This Row],[_Res4]]&lt;&gt;""))</f>
        <v>0</v>
      </c>
      <c r="CU199"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19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9" s="45" t="n">
        <f aca="false">IF(OR(NOT(Tasks[[#This Row],[_IsLeaf]]=1),Tasks[[#This Row],[_Res2]]=""),0,IF(ISNA(MATCH(Tasks[[#This Row],[_Res2]],res_Name,0)),0,N(Tasks[[#This Row],[Duration]])*HoursPerDay*IF(Tasks[[#This Row],[_Res2Units]]="",DefaultUnits,Tasks[[#This Row],[_Res2Units]])))</f>
        <v>0</v>
      </c>
      <c r="CX199" s="45" t="n">
        <f aca="false">IF(Tasks[[#This Row],[_Res2Work]]=0,0,Tasks[[#This Row],[_Res2Work]]*IFERROR(INDEX(res_Rate,MATCH(Tasks[[#This Row],[_Res2]],res_Name,0)),0))</f>
        <v>0</v>
      </c>
      <c r="CY199" s="45" t="n">
        <f aca="false">IF(AND(AND(Tasks[[#This Row],[_IsLeaf]]=1,Tasks[[#This Row],[_LeafTotalWork]]&gt;0),Tasks[[#This Row],[_Res2Work]]&gt;0),Tasks[[#This Row],[_Res2Work]]/(Tasks[[#This Row],[_FinishWorkday]]-Tasks[[#This Row],[_StartWorkday]]+1),0)</f>
        <v>0</v>
      </c>
      <c r="CZ199" s="45" t="n">
        <f aca="false">Tasks[[#This Row],[_Res2WorkPerWD]]*MAX(0,Tasks[[#This Row],[_StartWorkday]]-1)</f>
        <v>0</v>
      </c>
      <c r="DA199" s="45" t="n">
        <f aca="false">Tasks[[#This Row],[_Res2Work]]*Tasks[[#This Row],[_LeafProgress]]</f>
        <v>0</v>
      </c>
      <c r="DB199" s="45" t="n">
        <f aca="false">IF(Tasks[[#This Row],[_LeafTotalCost]]=0,0,Tasks[[#This Row],[_LeafAC]]*Tasks[[#This Row],[_Res2Cost]]/Tasks[[#This Row],[_LeafTotalCost]])</f>
        <v>0</v>
      </c>
      <c r="DC199"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19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199" s="45" t="n">
        <f aca="false">IF(OR(NOT(Tasks[[#This Row],[_IsLeaf]]=1),Tasks[[#This Row],[_Res3]]=""),0,IF(ISNA(MATCH(Tasks[[#This Row],[_Res3]],res_Name,0)),0,N(Tasks[[#This Row],[Duration]])*HoursPerDay*IF(Tasks[[#This Row],[_Res3Units]]="",DefaultUnits,Tasks[[#This Row],[_Res3Units]])))</f>
        <v>0</v>
      </c>
      <c r="DF199" s="45" t="n">
        <f aca="false">IF(Tasks[[#This Row],[_Res3Work]]=0,0,Tasks[[#This Row],[_Res3Work]]*IFERROR(INDEX(res_Rate,MATCH(Tasks[[#This Row],[_Res3]],res_Name,0)),0))</f>
        <v>0</v>
      </c>
      <c r="DG199" s="45" t="n">
        <f aca="false">IF(AND(AND(Tasks[[#This Row],[_IsLeaf]]=1,Tasks[[#This Row],[_LeafTotalWork]]&gt;0),Tasks[[#This Row],[_Res3Work]]&gt;0),Tasks[[#This Row],[_Res3Work]]/(Tasks[[#This Row],[_FinishWorkday]]-Tasks[[#This Row],[_StartWorkday]]+1),0)</f>
        <v>0</v>
      </c>
      <c r="DH199" s="45" t="n">
        <f aca="false">Tasks[[#This Row],[_Res3WorkPerWD]]*MAX(0,Tasks[[#This Row],[_StartWorkday]]-1)</f>
        <v>0</v>
      </c>
      <c r="DI199" s="45" t="n">
        <f aca="false">Tasks[[#This Row],[_Res3Work]]*Tasks[[#This Row],[_LeafProgress]]</f>
        <v>0</v>
      </c>
      <c r="DJ199" s="45" t="n">
        <f aca="false">IF(Tasks[[#This Row],[_LeafTotalCost]]=0,0,Tasks[[#This Row],[_LeafAC]]*Tasks[[#This Row],[_Res3Cost]]/Tasks[[#This Row],[_LeafTotalCost]])</f>
        <v>0</v>
      </c>
      <c r="DK199"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19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199" s="45" t="n">
        <f aca="false">IF(OR(NOT(Tasks[[#This Row],[_IsLeaf]]=1),Tasks[[#This Row],[_Res4]]=""),0,IF(ISNA(MATCH(Tasks[[#This Row],[_Res4]],res_Name,0)),0,N(Tasks[[#This Row],[Duration]])*HoursPerDay*IF(Tasks[[#This Row],[_Res4Units]]="",DefaultUnits,Tasks[[#This Row],[_Res4Units]])))</f>
        <v>0</v>
      </c>
      <c r="DN199" s="45" t="n">
        <f aca="false">IF(Tasks[[#This Row],[_Res4Work]]=0,0,Tasks[[#This Row],[_Res4Work]]*IFERROR(INDEX(res_Rate,MATCH(Tasks[[#This Row],[_Res4]],res_Name,0)),0))</f>
        <v>0</v>
      </c>
      <c r="DO199" s="45" t="n">
        <f aca="false">IF(AND(AND(Tasks[[#This Row],[_IsLeaf]]=1,Tasks[[#This Row],[_LeafTotalWork]]&gt;0),Tasks[[#This Row],[_Res4Work]]&gt;0),Tasks[[#This Row],[_Res4Work]]/(Tasks[[#This Row],[_FinishWorkday]]-Tasks[[#This Row],[_StartWorkday]]+1),0)</f>
        <v>0</v>
      </c>
      <c r="DP199" s="45" t="n">
        <f aca="false">Tasks[[#This Row],[_Res4WorkPerWD]]*MAX(0,Tasks[[#This Row],[_StartWorkday]]-1)</f>
        <v>0</v>
      </c>
      <c r="DQ199" s="45" t="n">
        <f aca="false">Tasks[[#This Row],[_Res4Work]]*Tasks[[#This Row],[_LeafProgress]]</f>
        <v>0</v>
      </c>
      <c r="DR199" s="45" t="n">
        <f aca="false">IF(Tasks[[#This Row],[_LeafTotalCost]]=0,0,Tasks[[#This Row],[_LeafAC]]*Tasks[[#This Row],[_Res4Cost]]/Tasks[[#This Row],[_LeafTotalCost]])</f>
        <v>0</v>
      </c>
      <c r="DS199" s="45" t="n">
        <f aca="false">IF(ISNUMBER(Tasks[[#This Row],[% Complete]]),Tasks[[#This Row],[% Complete]],IF(Tasks[[#This Row],[Stage]]="",0,IFERROR(INDEX(stg_Pct,MATCH(Tasks[[#This Row],[Stage]],stg_Name,0)),0)))</f>
        <v>0</v>
      </c>
      <c r="DT199" s="45" t="n">
        <f aca="false">IF(NOT(Tasks[[#This Row],[_IsLeaf]]=1),0,IF(N(Tasks[[#This Row],[Actual Finish]])&gt;0,1,MIN(1,Tasks[[#This Row],[_Pct]])))</f>
        <v>0</v>
      </c>
      <c r="DU199" s="45" t="n">
        <f aca="false">IF(OR(NOT(Tasks[[#This Row],[_IsLeaf]]=1),Tasks[[#This Row],[_Resource1]]=""),0,IF(ISNA(MATCH(Tasks[[#This Row],[_Resource1]],res_Name,0)),0,N(Tasks[[#This Row],[Duration]])*HoursPerDay*IF(Tasks[[#This Row],[_Units1]]="",DefaultUnits,Tasks[[#This Row],[_Units1]])))</f>
        <v>0</v>
      </c>
      <c r="DV199" s="45" t="n">
        <f aca="false">IF(Tasks[[#This Row],[_LeafWork]]=0,0,Tasks[[#This Row],[_LeafWork]]*IFERROR(INDEX(res_Rate,MATCH(Tasks[[#This Row],[_Resource1]],res_Name,0)),0))</f>
        <v>0</v>
      </c>
      <c r="DW199" s="45" t="n">
        <f aca="false">Tasks[[#This Row],[_LeafWork]]+Tasks[[#This Row],[_Res2Work]]+Tasks[[#This Row],[_Res3Work]]+Tasks[[#This Row],[_Res4Work]]</f>
        <v>0</v>
      </c>
      <c r="DX199" s="45" t="n">
        <f aca="false">Tasks[[#This Row],[_LeafCost]]+Tasks[[#This Row],[_Res2Cost]]+Tasks[[#This Row],[_Res3Cost]]+Tasks[[#This Row],[_Res4Cost]]</f>
        <v>0</v>
      </c>
      <c r="DY199" s="45" t="n">
        <f aca="false">IF(Tasks[[#This Row],[_LeafTotalCost]]=0,Tasks[[#This Row],[_LeafAC]],Tasks[[#This Row],[_LeafAC]]*Tasks[[#This Row],[_LeafCost]]/Tasks[[#This Row],[_LeafTotalCost]])</f>
        <v>0</v>
      </c>
      <c r="DZ199"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199"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199"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199"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19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19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19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19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199" s="45" t="n">
        <f aca="false">IF(NOT(Tasks[[#This Row],[_IsLeaf]]=1),0,MAX(_xlfn.MAXIFS(Tasks[_Row],Tasks[_Pred1UID],Tasks[[#This Row],[UID]]),_xlfn.MAXIFS(Tasks[_Row],Tasks[_Pred2UID],Tasks[[#This Row],[UID]]),_xlfn.MAXIFS(Tasks[_Row],Tasks[_Pred3UID],Tasks[[#This Row],[UID]]),_xlfn.MAXIFS(Tasks[_Row],Tasks[_Pred4UID],Tasks[[#This Row],[UID]])))</f>
        <v>0</v>
      </c>
      <c r="EI199"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199"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199" s="74" t="str">
        <f aca="false">IF(NOT(Tasks[[#This Row],[_IsLeaf]]=1),"",IF(N(Tasks[[#This Row],[Duration]])&lt;=0,Tasks[[#This Row],[_LeafLateFinish]],WORKDAY.INTL(Tasks[[#This Row],[_LeafLateFinish]],-(Tasks[[#This Row],[Duration]]-1),WorkWeek,Holidays)))</f>
        <v/>
      </c>
      <c r="EL19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199" s="73" t="b">
        <f aca="false">AND(Tasks[[#This Row],[_IsLeaf]]=1,Tasks[[#This Row],[_LeafProgress]]&lt;1,N(Tasks[[#This Row],[_LeafTotalSlack]])&lt;=CriticalSlackDays)</f>
        <v>0</v>
      </c>
      <c r="EN199" s="45" t="n">
        <f aca="false">IF(AND(Tasks[[#This Row],[_IsLeaf]]=1,Tasks[[#This Row],[_ConstraintCode]]=1,Tasks[[#This Row],[Mode]]&lt;&gt;"Manual",N(Tasks[[#This Row],[Actual Start]])=0),MAX(0,N(Tasks[[#This Row],[Free Slack]])),0)</f>
        <v>0</v>
      </c>
      <c r="EO199" s="74" t="str">
        <f aca="false">IF(NOT(Tasks[[#This Row],[_IsLeaf]]=1),"",IF(Tasks[[#This Row],[_AlapShift]]=0,Tasks[[#This Row],[_LeafCalcStart]],WORKDAY.INTL(Tasks[[#This Row],[_LeafCalcStart]],Tasks[[#This Row],[_AlapShift]],WorkWeek,Holidays)))</f>
        <v/>
      </c>
      <c r="EP199" s="74" t="str">
        <f aca="false">IF(NOT(Tasks[[#This Row],[_IsLeaf]]=1),"",IF(Tasks[[#This Row],[_AlapShift]]=0,Tasks[[#This Row],[_LeafCalcFinish]],WORKDAY.INTL(Tasks[[#This Row],[_LeafCalcFinish]],Tasks[[#This Row],[_AlapShift]],WorkWeek,Holidays)))</f>
        <v/>
      </c>
      <c r="EQ199" s="74" t="str">
        <f aca="false">IF(NOT(Tasks[[#This Row],[_IsLeaf]]=1),"",IF(Tasks[[#This Row],[_AlapShift]]=0,Tasks[[#This Row],[_LeafFcstStart]],WORKDAY.INTL(Tasks[[#This Row],[_LeafFcstStart]],Tasks[[#This Row],[_AlapShift]],WorkWeek,Holidays)))</f>
        <v/>
      </c>
      <c r="ER199" s="74" t="str">
        <f aca="false">IF(NOT(Tasks[[#This Row],[_IsLeaf]]=1),"",IF(Tasks[[#This Row],[_AlapShift]]=0,Tasks[[#This Row],[_LeafFcstFinish]],WORKDAY.INTL(Tasks[[#This Row],[_LeafFcstFinish]],Tasks[[#This Row],[_AlapShift]],WorkWeek,Holidays)))</f>
        <v/>
      </c>
      <c r="ES199" s="74" t="str">
        <f aca="false">IF(Tasks[[#This Row],[Task Name]]="","",IF(Tasks[[#This Row],[_IsSummary]],MIN(INDEX(Tasks[_ShownCalcStart],Tasks[[#This Row],[_Row]]+1):INDEX(Tasks[_ShownCalcStart],Tasks[[#This Row],[_Row]]+Tasks[[#This Row],[_Descendants]])),Tasks[[#This Row],[_ShownCalcStart]]))</f>
        <v/>
      </c>
      <c r="ET199" s="74" t="str">
        <f aca="false">IF(Tasks[[#This Row],[Task Name]]="","",IF(Tasks[[#This Row],[_IsSummary]],MAX(INDEX(Tasks[_ShownCalcFinish],Tasks[[#This Row],[_Row]]+1):INDEX(Tasks[_ShownCalcFinish],Tasks[[#This Row],[_Row]]+Tasks[[#This Row],[_Descendants]])),Tasks[[#This Row],[_ShownCalcFinish]]))</f>
        <v/>
      </c>
      <c r="EU19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19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19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19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199"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199"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199"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199"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199"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199"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199"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199"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199" s="45" t="n">
        <f aca="false">IF(AND(Tasks[[#This Row],[_IsLeaf]]=1,Tasks[[#This Row],[_LeafTotalWork]]&gt;0),NETWORKDAYS.INTL(ProjectStart,Tasks[[#This Row],[_ShownFcstStart]],WorkWeek,Holidays),0)</f>
        <v>0</v>
      </c>
      <c r="FH199" s="45" t="n">
        <f aca="false">IF(AND(Tasks[[#This Row],[_IsLeaf]]=1,Tasks[[#This Row],[_LeafTotalWork]]&gt;0),MAX(Tasks[[#This Row],[_StartWorkday]],NETWORKDAYS.INTL(ProjectStart,Tasks[[#This Row],[_ShownFcstFinish]],WorkWeek,Holidays)),0)</f>
        <v>0</v>
      </c>
      <c r="FI199" s="45" t="n">
        <f aca="false">IF(AND(Tasks[[#This Row],[_IsLeaf]]=1,Tasks[[#This Row],[_LeafTotalWork]]&gt;0),Tasks[[#This Row],[_LeafWork]]/(Tasks[[#This Row],[_FinishWorkday]]-Tasks[[#This Row],[_StartWorkday]]+1),0)</f>
        <v>0</v>
      </c>
      <c r="FJ199" s="45" t="n">
        <f aca="false">Tasks[[#This Row],[_WorkPerWorkday]]*(Tasks[[#This Row],[_StartWorkday]]-1)</f>
        <v>-0</v>
      </c>
      <c r="FK199" s="45" t="n">
        <f aca="false">IF(Tasks[[#This Row],[_IsLeaf]]=1,MAX(N(Tasks[[#This Row],[Duration]]),0.1),0)</f>
        <v>0</v>
      </c>
      <c r="FL199" s="45" t="n">
        <f aca="false">Tasks[[#This Row],[_WeightDur]]*Tasks[[#This Row],[_LeafProgress]]</f>
        <v>0</v>
      </c>
      <c r="FM19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199" s="45" t="str">
        <f aca="false">IF(AND(Tasks[[#This Row],[_IsLeaf]]=1,N(Tasks[[#This Row],[Duration]])=0,Tasks[[#This Row],[_LeafProgress]]&lt;1),Tasks[[#This Row],[_ShownFcstFinish]]+Tasks[[#This Row],[_Row]]/100000,"")</f>
        <v/>
      </c>
      <c r="FO19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199" s="45" t="n">
        <f aca="false">IF(NOT(Tasks[[#This Row],[_IsLeaf]]=1),0,IF(Tasks[[#This Row],[Baseline Cost]]="",Tasks[[#This Row],[_LeafTotalCost]],N(Tasks[[#This Row],[Baseline Cost]])))</f>
        <v>0</v>
      </c>
      <c r="FQ199" s="45" t="n">
        <f aca="false">Tasks[[#This Row],[_LeafBudget]]*Tasks[[#This Row],[_PlannedPct]]</f>
        <v>0</v>
      </c>
      <c r="FR199" s="45" t="n">
        <f aca="false">Tasks[[#This Row],[_LeafBudget]]*Tasks[[#This Row],[_LeafProgress]]</f>
        <v>0</v>
      </c>
      <c r="FS199" s="45" t="n">
        <f aca="false">IF(NOT(Tasks[[#This Row],[_IsLeaf]]=1),0,IF(Tasks[[#This Row],[Actual Cost]]="",Tasks[[#This Row],[_LeafTotalCost]]*Tasks[[#This Row],[_LeafProgress]],N(Tasks[[#This Row],[Actual Cost]])))</f>
        <v>0</v>
      </c>
      <c r="FT199" s="45" t="str">
        <f aca="false">IF(Tasks[[#This Row],[Task Name]]="","",LEFT(Tasks[[#This Row],[WBS]],FIND(".",Tasks[[#This Row],[WBS]]&amp;".")-1))</f>
        <v/>
      </c>
      <c r="FU199" s="45" t="str">
        <f aca="false">IF(AND(Tasks[[#This Row],[Task Name]]&lt;&gt;"",Tasks[[#This Row],[_Level]]=1),Tasks[[#This Row],[_Row]],"")</f>
        <v/>
      </c>
      <c r="FV199" s="45" t="str">
        <f aca="false">IF(AND(Tasks[[#This Row],[_IsLeaf]]=1,N(Tasks[[#This Row],[Duration]])=0),Tasks[[#This Row],[Planned Finish]]+Tasks[[#This Row],[_Row]]/100000,"")</f>
        <v/>
      </c>
      <c r="FW199" s="45" t="str">
        <f aca="false">IF(AND(Tasks[[#This Row],[_IsLeaf]]=1,Tasks[[#This Row],[_LeafProgress]]&lt;1,OR(N(Tasks[[#This Row],[Finish Var]])&gt;0,Tasks[[#This Row],[Status]]="Late Start")),MAX(0,Tasks[[#This Row],[Finish Var]])+1-Tasks[[#This Row],[_Row]]/1000000,"")</f>
        <v/>
      </c>
      <c r="FX199" s="45" t="str">
        <f aca="false">IF(AND(Tasks[[#This Row],[_IsLeaf]]=1,N(Tasks[[#This Row],[Actual Start]])=0,Tasks[[#This Row],[_ShownFcstStart]]&gt;=StatusDate,Tasks[[#This Row],[_ShownFcstStart]]&lt;=LookaheadEnd),Tasks[[#This Row],[_ShownFcstStart]]+Tasks[[#This Row],[_Row]]/100000,"")</f>
        <v/>
      </c>
      <c r="FY199" s="45" t="str">
        <f aca="false">IF(AND(Tasks[[#This Row],[_IsLeaf]]=1,Tasks[[#This Row],[_LeafProgress]]&lt;1,Tasks[[#This Row],[_ShownFcstFinish]]&gt;=StatusDate,Tasks[[#This Row],[_ShownFcstFinish]]&lt;=LookaheadEnd),Tasks[[#This Row],[_ShownFcstFinish]]+Tasks[[#This Row],[_Row]]/100000,"")</f>
        <v/>
      </c>
      <c r="FZ199" s="45" t="str">
        <f aca="false">IF(Tasks[[#This Row],[_LeafCritical]],Tasks[[#This Row],[_ShownFcstStart]]+Tasks[[#This Row],[_Row]]/100000,"")</f>
        <v/>
      </c>
      <c r="GA199" s="45" t="n">
        <f aca="false">Tasks[[#This Row],[_LeafWork]]*Tasks[[#This Row],[_LeafProgress]]</f>
        <v>0</v>
      </c>
      <c r="GB199" s="74" t="str">
        <f aca="false">IF(AND(Tasks[[#This Row],[_IsLeaf]]=1,Tasks[[#This Row],[_LeafProgress]]&gt;=1),IF(N(Tasks[[#This Row],[Actual Finish]])&gt;0,Tasks[[#This Row],[Actual Finish]],Tasks[[#This Row],[_ShownFcstFinish]]),"")</f>
        <v/>
      </c>
    </row>
    <row r="200" customFormat="false" ht="15" hidden="false" customHeight="false" outlineLevel="0" collapsed="false">
      <c r="A200" s="67" t="str">
        <f aca="false">IF(Tasks[[#This Row],[Task Name]]="","",COUNTA(Tasks[[#Headers],[Task Name]]:Tasks[[#This Row],[Task Name]])-1)</f>
        <v/>
      </c>
      <c r="B200" s="21" t="n">
        <v>195</v>
      </c>
      <c r="C200"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21"/>
      <c r="E200" s="22"/>
      <c r="F200" s="21"/>
      <c r="G200" s="22"/>
      <c r="H200" s="22"/>
      <c r="I200" s="22"/>
      <c r="J200" s="7"/>
      <c r="K200" s="7"/>
      <c r="L200" s="22"/>
      <c r="M200" s="58" t="str">
        <f aca="false">IF(Tasks[[#This Row],[Task Name]]="","",IF(Tasks[[#This Row],[_IsSummary]],MIN(INDEX(Tasks[_ShownFcstStart],Tasks[[#This Row],[_Row]]+1):INDEX(Tasks[_ShownFcstStart],Tasks[[#This Row],[_Row]]+Tasks[[#This Row],[_Descendants]])),Tasks[[#This Row],[_ShownFcstStart]]))</f>
        <v/>
      </c>
      <c r="N200" s="58" t="str">
        <f aca="false">IF(Tasks[[#This Row],[Task Name]]="","",IF(Tasks[[#This Row],[_IsSummary]],MAX(INDEX(Tasks[_ShownFcstFinish],Tasks[[#This Row],[_Row]]+1):INDEX(Tasks[_ShownFcstFinish],Tasks[[#This Row],[_Row]]+Tasks[[#This Row],[_Descendants]])),Tasks[[#This Row],[_ShownFcstFinish]]))</f>
        <v/>
      </c>
      <c r="O200" s="20" t="str">
        <f aca="false">IF(Tasks[[#This Row],[Task Name]]="","",IF(Tasks[[#This Row],[Progress]]&gt;=1,"Complete",IF(OR(N(Tasks[[#This Row],[Actual Start]])&gt;0,Tasks[[#This Row],[Progress]]&gt;0),IF(Tasks[[#This Row],[Finish Var]]&gt;0,"Behind","In Progress"),IF(Tasks[[#This Row],[Planned Start]]&lt;StatusDate,"Late Start","Not Started"))))</f>
        <v/>
      </c>
      <c r="P200" s="20" t="str">
        <f aca="false">IF(Tasks[[#This Row],[Task Name]]="","",IF(IF(Tasks[[#This Row],[_IsSummary]],COUNTIF(INDEX(Tasks[_LeafCritical],Tasks[[#This Row],[_Row]]+1):INDEX(Tasks[_LeafCritical],Tasks[[#This Row],[_Row]]+Tasks[[#This Row],[_Descendants]]),TRUE())&gt;0,Tasks[[#This Row],[_LeafCritical]]),"Yes",""))</f>
        <v/>
      </c>
      <c r="Q200"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200" s="67" t="str">
        <f aca="false">IF(Tasks[[#This Row],[Task Name]]="","",IF(Tasks[[#This Row],[_Level]]&lt;=OutlineShowLevel,"Yes","No"))</f>
        <v/>
      </c>
      <c r="S200" s="7"/>
      <c r="T200" s="21"/>
      <c r="U200" s="22"/>
      <c r="V200" s="7"/>
      <c r="W200" s="67" t="str">
        <f aca="false">IF(Tasks[[#This Row],[Task Name]]="","",IF(Tasks[[#This Row],[Finish]]&gt;=Tasks[[#This Row],[Planned Finish]],NETWORKDAYS.INTL(Tasks[[#This Row],[Planned Finish]],Tasks[[#This Row],[Finish]],WorkWeek,Holidays)-1,1-NETWORKDAYS.INTL(Tasks[[#This Row],[Finish]],Tasks[[#This Row],[Planned Finish]],WorkWeek,Holidays)))</f>
        <v/>
      </c>
      <c r="X200" s="58" t="str">
        <f aca="false">IF(Tasks[[#This Row],[Task Name]]="","",IF(N(Tasks[[#This Row],[Baseline Start]])&gt;0,Tasks[[#This Row],[Baseline Start]],Tasks[[#This Row],[_CalcStart]]))</f>
        <v/>
      </c>
      <c r="Y200" s="58" t="str">
        <f aca="false">IF(Tasks[[#This Row],[Task Name]]="","",IF(N(Tasks[[#This Row],[Baseline Finish]])&gt;0,Tasks[[#This Row],[Baseline Finish]],Tasks[[#This Row],[_CalcFinish]]))</f>
        <v/>
      </c>
      <c r="Z200" s="67" t="str">
        <f aca="false">IF(Tasks[[#This Row],[Task Name]]="","",IF(Tasks[[#This Row],[Start]]&gt;=Tasks[[#This Row],[Planned Start]],NETWORKDAYS.INTL(Tasks[[#This Row],[Planned Start]],Tasks[[#This Row],[Start]],WorkWeek,Holidays)-1,1-NETWORKDAYS.INTL(Tasks[[#This Row],[Start]],Tasks[[#This Row],[Planned Start]],WorkWeek,Holidays)))</f>
        <v/>
      </c>
      <c r="AA200" s="58" t="str">
        <f aca="false">IF(Tasks[[#This Row],[Task Name]]="","",IF(Tasks[[#This Row],[_IsSummary]],MIN(INDEX(Tasks[_LeafLateStart],Tasks[[#This Row],[_Row]]+1):INDEX(Tasks[_LeafLateStart],Tasks[[#This Row],[_Row]]+Tasks[[#This Row],[_Descendants]])),Tasks[[#This Row],[_LeafLateStart]]))</f>
        <v/>
      </c>
      <c r="AB200" s="58" t="str">
        <f aca="false">IF(Tasks[[#This Row],[Task Name]]="","",IF(Tasks[[#This Row],[_IsSummary]],MAX(INDEX(Tasks[_LeafLateFinish],Tasks[[#This Row],[_Row]]+1):INDEX(Tasks[_LeafLateFinish],Tasks[[#This Row],[_Row]]+Tasks[[#This Row],[_Descendants]])),Tasks[[#This Row],[_LeafLateFinish]]))</f>
        <v/>
      </c>
      <c r="AC200" s="67" t="str">
        <f aca="false">IF(Tasks[[#This Row],[Task Name]]="","",IF(Tasks[[#This Row],[_IsSummary]],MIN(INDEX(Tasks[_LeafTotalSlack],Tasks[[#This Row],[_Row]]+1):INDEX(Tasks[_LeafTotalSlack],Tasks[[#This Row],[_Row]]+Tasks[[#This Row],[_Descendants]])),Tasks[[#This Row],[_LeafTotalSlack]]))</f>
        <v/>
      </c>
      <c r="AD200"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200"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200"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200" s="60"/>
      <c r="AH200"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200"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200" s="69" t="str">
        <f aca="false">IF(Tasks[[#This Row],[Task Name]]="","",IF(Tasks[[#This Row],[_IsSummary]],SUM(INDEX(Tasks[_LeafTotalWork],Tasks[[#This Row],[_Row]]+1):INDEX(Tasks[_LeafTotalWork],Tasks[[#This Row],[_Row]]+Tasks[[#This Row],[_Descendants]])),Tasks[[#This Row],[_LeafTotalWork]]))</f>
        <v/>
      </c>
      <c r="AK200"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200" s="70" t="str">
        <f aca="false">IF(Tasks[[#This Row],[Task Name]]="","",IF(Tasks[[#This Row],[_IsSummary]],SUM(INDEX(Tasks[_LeafTotalCost],Tasks[[#This Row],[_Row]]+1):INDEX(Tasks[_LeafTotalCost],Tasks[[#This Row],[_Row]]+Tasks[[#This Row],[_Descendants]])),Tasks[[#This Row],[_LeafTotalCost]]))</f>
        <v/>
      </c>
      <c r="AM200" s="71"/>
      <c r="AN200" s="20" t="str">
        <f aca="false">IF(OR(Tasks[[#This Row],[Task Name]]="",Tasks[[#This Row],[Baseline Duration]]=""),"",Tasks[[#This Row],[BL Source Duration]]-N(Tasks[[#This Row],[Baseline Duration]]))</f>
        <v/>
      </c>
      <c r="AO200" s="69" t="str">
        <f aca="false">IF(OR(Tasks[[#This Row],[Task Name]]="",Tasks[[#This Row],[Baseline Work]]=""),"",Tasks[[#This Row],[Work]]-N(Tasks[[#This Row],[Baseline Work]]))</f>
        <v/>
      </c>
      <c r="AP200" s="70" t="str">
        <f aca="false">IF(OR(Tasks[[#This Row],[Task Name]]="",Tasks[[#This Row],[Baseline Cost]]=""),"",Tasks[[#This Row],[Cost]]-N(Tasks[[#This Row],[Baseline Cost]]))</f>
        <v/>
      </c>
      <c r="AQ200" s="58" t="str">
        <f aca="false">IF(Tasks[[#This Row],[Task Name]]="","",Tasks[[#This Row],[Start]])</f>
        <v/>
      </c>
      <c r="AR200" s="58" t="str">
        <f aca="false">IF(Tasks[[#This Row],[Task Name]]="","",Tasks[[#This Row],[Finish]])</f>
        <v/>
      </c>
      <c r="AS200" s="67" t="str">
        <f aca="false">IF(Tasks[[#This Row],[Task Name]]="","",IF(Tasks[[#This Row],[_IsSummary]],NETWORKDAYS.INTL(Tasks[[#This Row],[Start]],Tasks[[#This Row],[Finish]],WorkWeek,Holidays),N(Tasks[[#This Row],[Duration]])))</f>
        <v/>
      </c>
      <c r="AT200" s="69" t="str">
        <f aca="false">IF(Tasks[[#This Row],[Task Name]]="","",Tasks[[#This Row],[Work]])</f>
        <v/>
      </c>
      <c r="AU200" s="70" t="str">
        <f aca="false">IF(Tasks[[#This Row],[Task Name]]="","",Tasks[[#This Row],[Cost]])</f>
        <v/>
      </c>
      <c r="AV200" s="7"/>
      <c r="AW200" s="7"/>
      <c r="AX200" s="21"/>
      <c r="AY200" s="72"/>
      <c r="AZ200" s="71"/>
      <c r="BA200" s="70" t="str">
        <f aca="false">IF(Tasks[[#This Row],[Task Name]]="","",IF(Tasks[[#This Row],[_IsSummary]],SUM(INDEX(Tasks[_LeafEV],Tasks[[#This Row],[_Row]]+1):INDEX(Tasks[_LeafEV],Tasks[[#This Row],[_Row]]+Tasks[[#This Row],[_Descendants]])),Tasks[[#This Row],[_LeafEV]]))</f>
        <v/>
      </c>
      <c r="BB200" s="70" t="str">
        <f aca="false">IF(Tasks[[#This Row],[Task Name]]="","",IF(Tasks[[#This Row],[_IsSummary]],SUM(INDEX(Tasks[_LeafBudget],Tasks[[#This Row],[_Row]]+1):INDEX(Tasks[_LeafBudget],Tasks[[#This Row],[_Row]]+Tasks[[#This Row],[_Descendants]])),Tasks[[#This Row],[_LeafBudget]]))</f>
        <v/>
      </c>
      <c r="BC200" s="70" t="str">
        <f aca="false">IF(Tasks[[#This Row],[Task Name]]="","",IF(Tasks[[#This Row],[_IsSummary]],SUM(INDEX(Tasks[_LeafPV],Tasks[[#This Row],[_Row]]+1):INDEX(Tasks[_LeafPV],Tasks[[#This Row],[_Row]]+Tasks[[#This Row],[_Descendants]])),Tasks[[#This Row],[_LeafPV]]))</f>
        <v/>
      </c>
      <c r="BD200" s="70" t="str">
        <f aca="false">IF(Tasks[[#This Row],[Task Name]]="","",IF(Tasks[[#This Row],[_IsSummary]],SUM(INDEX(Tasks[_LeafAC],Tasks[[#This Row],[_Row]]+1):INDEX(Tasks[_LeafAC],Tasks[[#This Row],[_Row]]+Tasks[[#This Row],[_Descendants]])),Tasks[[#This Row],[_LeafAC]]))</f>
        <v/>
      </c>
      <c r="BE200" s="45" t="str">
        <f aca="false">IF(Tasks[[#This Row],[Task Name]]="","",MAX(1,N(Tasks[[#This Row],[Level]])))</f>
        <v/>
      </c>
      <c r="BF200" s="45" t="n">
        <f aca="false">ROW()-ROW(Tasks[[#Headers],[ID]])</f>
        <v>195</v>
      </c>
      <c r="BG200" s="45" t="n">
        <f aca="false">IF(OR(Tasks[[#This Row],[Task Name]]="",Tasks[[#This Row],[_Level]]&lt;=1),0,IFERROR(LOOKUP(2,1/(Tasks[[#Headers],[_Level]]:Tasks[[#This Row],[_Level]]=Tasks[[#This Row],[_Level]]-1),ROW(Tasks[[#Headers],[_Level]]:Tasks[[#This Row],[_Level]])),0))</f>
        <v>0</v>
      </c>
      <c r="BH200" s="45" t="n">
        <f aca="false">IFERROR(N(INDEX(Tasks[_Level],Tasks[[#This Row],[_Row]]+1)),0)</f>
        <v>0</v>
      </c>
      <c r="BI200" s="73" t="b">
        <f aca="false">AND(Tasks[[#This Row],[Task Name]]&lt;&gt;"",Tasks[[#This Row],[_NextLevel]]&gt;Tasks[[#This Row],[_Level]])</f>
        <v>0</v>
      </c>
      <c r="BJ200" s="45" t="n">
        <f aca="false">IF(Tasks[[#This Row],[_IsSummary]],COUNTIF(Tasks[WBS],Tasks[[#This Row],[WBS]]&amp;".*"),0)</f>
        <v>0</v>
      </c>
      <c r="BK200" s="45" t="n">
        <f aca="false">IF(AND(Tasks[[#This Row],[Task Name]]&lt;&gt;"",NOT(Tasks[[#This Row],[_IsSummary]])),1,0)</f>
        <v>0</v>
      </c>
      <c r="BL200" s="45" t="n">
        <f aca="false">IF(N(Tasks[[#This Row],[_Pred1UID]])=0,0,IFERROR(MATCH(Tasks[[#This Row],[_Pred1UID]],Tasks[UID],0),-1))</f>
        <v>0</v>
      </c>
      <c r="BM200" s="45" t="n">
        <f aca="false">IF(N(Tasks[[#This Row],[_Pred2UID]])=0,0,IFERROR(MATCH(Tasks[[#This Row],[_Pred2UID]],Tasks[UID],0),-1))</f>
        <v>0</v>
      </c>
      <c r="BN200" s="45" t="n">
        <f aca="false">IF(N(Tasks[[#This Row],[_Pred3UID]])=0,0,IFERROR(MATCH(Tasks[[#This Row],[_Pred3UID]],Tasks[UID],0),-1))</f>
        <v>0</v>
      </c>
      <c r="BO200" s="45" t="n">
        <f aca="false">IF(N(Tasks[[#This Row],[_Pred4UID]])=0,0,IFERROR(MATCH(Tasks[[#This Row],[_Pred4UID]],Tasks[UID],0),-1))</f>
        <v>0</v>
      </c>
      <c r="BP20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200"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200" s="74" t="n">
        <f aca="false">IF(OR(Tasks[[#This Row],[_ConstraintCode]]=2,Tasks[[#This Row],[_ConstraintCode]]=3,Tasks[[#This Row],[_ConstraintCode]]=4,Tasks[[#This Row],[_ConstraintCode]]=6),Tasks[[#This Row],[_ConstraintStart]],0)</f>
        <v>0</v>
      </c>
      <c r="BS200" s="74" t="n">
        <f aca="false">IF(OR(Tasks[[#This Row],[_ConstraintCode]]=2,Tasks[[#This Row],[_ConstraintCode]]=3,Tasks[[#This Row],[_ConstraintCode]]=5,Tasks[[#This Row],[_ConstraintCode]]=7),Tasks[[#This Row],[_ConstraintStart]],2958465)</f>
        <v>2958465</v>
      </c>
      <c r="BT200"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200" s="74" t="str">
        <f aca="false">IF(NOT(Tasks[[#This Row],[_IsLeaf]]=1),"",IF(N(Tasks[[#This Row],[Duration]])&lt;=0,Tasks[[#This Row],[_LeafCalcStart]],WORKDAY.INTL(Tasks[[#This Row],[_LeafCalcStart]],Tasks[[#This Row],[Duration]]-1,WorkWeek,Holidays)))</f>
        <v/>
      </c>
      <c r="BV200"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200"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200" s="45" t="str">
        <f aca="false">IF(Tasks[[#This Row],[Predecessors]]="","",TRIM(MID(SUBSTITUTE(SUBSTITUTE(SUBSTITUTE(UPPER(Tasks[[#This Row],[Predecessors]]),";",",")," ",""),",",REPT(" ",99)),1,99)))</f>
        <v/>
      </c>
      <c r="BY200" s="45" t="str">
        <f aca="false">IF(Tasks[[#This Row],[_Pred1Text]]="","",IFERROR(VALUE(LEFT(Tasks[[#This Row],[_Pred1Text]],MIN(FIND("F",Tasks[[#This Row],[_Pred1Text]]&amp;"F"),FIND("S",Tasks[[#This Row],[_Pred1Text]]&amp;"S"),FIND("+",Tasks[[#This Row],[_Pred1Text]]&amp;"+"),FIND("-",Tasks[[#This Row],[_Pred1Text]]&amp;"-"))-1)),""))</f>
        <v/>
      </c>
      <c r="BZ20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20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200" s="45" t="str">
        <f aca="false">IF(Tasks[[#This Row],[_Pred1Text]]="","",TRIM(MID(SUBSTITUTE(SUBSTITUTE(SUBSTITUTE(UPPER(Tasks[[#This Row],[Predecessors]]),";",",")," ",""),",",REPT(" ",99)),100,99)))</f>
        <v/>
      </c>
      <c r="CC200" s="45" t="str">
        <f aca="false">IF(Tasks[[#This Row],[_Pred2Text]]="","",IFERROR(VALUE(LEFT(Tasks[[#This Row],[_Pred2Text]],MIN(FIND("F",Tasks[[#This Row],[_Pred2Text]]&amp;"F"),FIND("S",Tasks[[#This Row],[_Pred2Text]]&amp;"S"),FIND("+",Tasks[[#This Row],[_Pred2Text]]&amp;"+"),FIND("-",Tasks[[#This Row],[_Pred2Text]]&amp;"-"))-1)),""))</f>
        <v/>
      </c>
      <c r="CD20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20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200" s="45" t="str">
        <f aca="false">IF(Tasks[[#This Row],[_Pred2Text]]="","",TRIM(MID(SUBSTITUTE(SUBSTITUTE(SUBSTITUTE(UPPER(Tasks[[#This Row],[Predecessors]]),";",",")," ",""),",",REPT(" ",99)),199,99)))</f>
        <v/>
      </c>
      <c r="CG200" s="45" t="str">
        <f aca="false">IF(Tasks[[#This Row],[_Pred3Text]]="","",IFERROR(VALUE(LEFT(Tasks[[#This Row],[_Pred3Text]],MIN(FIND("F",Tasks[[#This Row],[_Pred3Text]]&amp;"F"),FIND("S",Tasks[[#This Row],[_Pred3Text]]&amp;"S"),FIND("+",Tasks[[#This Row],[_Pred3Text]]&amp;"+"),FIND("-",Tasks[[#This Row],[_Pred3Text]]&amp;"-"))-1)),""))</f>
        <v/>
      </c>
      <c r="CH20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20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200" s="45" t="str">
        <f aca="false">IF(Tasks[[#This Row],[_Pred3Text]]="","",TRIM(MID(SUBSTITUTE(SUBSTITUTE(SUBSTITUTE(UPPER(Tasks[[#This Row],[Predecessors]]),";",",")," ",""),",",REPT(" ",99)),298,99)))</f>
        <v/>
      </c>
      <c r="CK200" s="45" t="str">
        <f aca="false">IF(Tasks[[#This Row],[_Pred4Text]]="","",IFERROR(VALUE(LEFT(Tasks[[#This Row],[_Pred4Text]],MIN(FIND("F",Tasks[[#This Row],[_Pred4Text]]&amp;"F"),FIND("S",Tasks[[#This Row],[_Pred4Text]]&amp;"S"),FIND("+",Tasks[[#This Row],[_Pred4Text]]&amp;"+"),FIND("-",Tasks[[#This Row],[_Pred4Text]]&amp;"-"))-1)),""))</f>
        <v/>
      </c>
      <c r="CL20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20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200" s="45" t="str">
        <f aca="false">IF(OR(Tasks[[#This Row],[Task Name]]="",Tasks[[#This Row],[Resources]]=""),"",TRIM(MID(SUBSTITUTE(Tasks[[#This Row],[Resources]],",",REPT(" ",99)),1,99)))</f>
        <v/>
      </c>
      <c r="CO200" s="45" t="str">
        <f aca="false">IF(Tasks[[#This Row],[_Res1Text]]="","",TRIM(MID(SUBSTITUTE(Tasks[[#This Row],[Resources]],",",REPT(" ",99)),100,99)))</f>
        <v/>
      </c>
      <c r="CP200" s="45" t="str">
        <f aca="false">IF(Tasks[[#This Row],[_Res2Text]]="","",TRIM(MID(SUBSTITUTE(Tasks[[#This Row],[Resources]],",",REPT(" ",99)),199,99)))</f>
        <v/>
      </c>
      <c r="CQ200" s="45" t="str">
        <f aca="false">IF(Tasks[[#This Row],[_Res3Text]]="","",TRIM(MID(SUBSTITUTE(Tasks[[#This Row],[Resources]],",",REPT(" ",99)),298,99)))</f>
        <v/>
      </c>
      <c r="CR200"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20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0" s="45" t="n">
        <f aca="false">IF(NOT(Tasks[[#This Row],[_IsLeaf]]=1),0,(Tasks[[#This Row],[_Resource1]]&lt;&gt;"")+(Tasks[[#This Row],[_Res2]]&lt;&gt;"")+(Tasks[[#This Row],[_Res3]]&lt;&gt;"")+(Tasks[[#This Row],[_Res4]]&lt;&gt;""))</f>
        <v>0</v>
      </c>
      <c r="CU200"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20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0" s="45" t="n">
        <f aca="false">IF(OR(NOT(Tasks[[#This Row],[_IsLeaf]]=1),Tasks[[#This Row],[_Res2]]=""),0,IF(ISNA(MATCH(Tasks[[#This Row],[_Res2]],res_Name,0)),0,N(Tasks[[#This Row],[Duration]])*HoursPerDay*IF(Tasks[[#This Row],[_Res2Units]]="",DefaultUnits,Tasks[[#This Row],[_Res2Units]])))</f>
        <v>0</v>
      </c>
      <c r="CX200" s="45" t="n">
        <f aca="false">IF(Tasks[[#This Row],[_Res2Work]]=0,0,Tasks[[#This Row],[_Res2Work]]*IFERROR(INDEX(res_Rate,MATCH(Tasks[[#This Row],[_Res2]],res_Name,0)),0))</f>
        <v>0</v>
      </c>
      <c r="CY200" s="45" t="n">
        <f aca="false">IF(AND(AND(Tasks[[#This Row],[_IsLeaf]]=1,Tasks[[#This Row],[_LeafTotalWork]]&gt;0),Tasks[[#This Row],[_Res2Work]]&gt;0),Tasks[[#This Row],[_Res2Work]]/(Tasks[[#This Row],[_FinishWorkday]]-Tasks[[#This Row],[_StartWorkday]]+1),0)</f>
        <v>0</v>
      </c>
      <c r="CZ200" s="45" t="n">
        <f aca="false">Tasks[[#This Row],[_Res2WorkPerWD]]*MAX(0,Tasks[[#This Row],[_StartWorkday]]-1)</f>
        <v>0</v>
      </c>
      <c r="DA200" s="45" t="n">
        <f aca="false">Tasks[[#This Row],[_Res2Work]]*Tasks[[#This Row],[_LeafProgress]]</f>
        <v>0</v>
      </c>
      <c r="DB200" s="45" t="n">
        <f aca="false">IF(Tasks[[#This Row],[_LeafTotalCost]]=0,0,Tasks[[#This Row],[_LeafAC]]*Tasks[[#This Row],[_Res2Cost]]/Tasks[[#This Row],[_LeafTotalCost]])</f>
        <v>0</v>
      </c>
      <c r="DC200"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20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200" s="45" t="n">
        <f aca="false">IF(OR(NOT(Tasks[[#This Row],[_IsLeaf]]=1),Tasks[[#This Row],[_Res3]]=""),0,IF(ISNA(MATCH(Tasks[[#This Row],[_Res3]],res_Name,0)),0,N(Tasks[[#This Row],[Duration]])*HoursPerDay*IF(Tasks[[#This Row],[_Res3Units]]="",DefaultUnits,Tasks[[#This Row],[_Res3Units]])))</f>
        <v>0</v>
      </c>
      <c r="DF200" s="45" t="n">
        <f aca="false">IF(Tasks[[#This Row],[_Res3Work]]=0,0,Tasks[[#This Row],[_Res3Work]]*IFERROR(INDEX(res_Rate,MATCH(Tasks[[#This Row],[_Res3]],res_Name,0)),0))</f>
        <v>0</v>
      </c>
      <c r="DG200" s="45" t="n">
        <f aca="false">IF(AND(AND(Tasks[[#This Row],[_IsLeaf]]=1,Tasks[[#This Row],[_LeafTotalWork]]&gt;0),Tasks[[#This Row],[_Res3Work]]&gt;0),Tasks[[#This Row],[_Res3Work]]/(Tasks[[#This Row],[_FinishWorkday]]-Tasks[[#This Row],[_StartWorkday]]+1),0)</f>
        <v>0</v>
      </c>
      <c r="DH200" s="45" t="n">
        <f aca="false">Tasks[[#This Row],[_Res3WorkPerWD]]*MAX(0,Tasks[[#This Row],[_StartWorkday]]-1)</f>
        <v>0</v>
      </c>
      <c r="DI200" s="45" t="n">
        <f aca="false">Tasks[[#This Row],[_Res3Work]]*Tasks[[#This Row],[_LeafProgress]]</f>
        <v>0</v>
      </c>
      <c r="DJ200" s="45" t="n">
        <f aca="false">IF(Tasks[[#This Row],[_LeafTotalCost]]=0,0,Tasks[[#This Row],[_LeafAC]]*Tasks[[#This Row],[_Res3Cost]]/Tasks[[#This Row],[_LeafTotalCost]])</f>
        <v>0</v>
      </c>
      <c r="DK200"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20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200" s="45" t="n">
        <f aca="false">IF(OR(NOT(Tasks[[#This Row],[_IsLeaf]]=1),Tasks[[#This Row],[_Res4]]=""),0,IF(ISNA(MATCH(Tasks[[#This Row],[_Res4]],res_Name,0)),0,N(Tasks[[#This Row],[Duration]])*HoursPerDay*IF(Tasks[[#This Row],[_Res4Units]]="",DefaultUnits,Tasks[[#This Row],[_Res4Units]])))</f>
        <v>0</v>
      </c>
      <c r="DN200" s="45" t="n">
        <f aca="false">IF(Tasks[[#This Row],[_Res4Work]]=0,0,Tasks[[#This Row],[_Res4Work]]*IFERROR(INDEX(res_Rate,MATCH(Tasks[[#This Row],[_Res4]],res_Name,0)),0))</f>
        <v>0</v>
      </c>
      <c r="DO200" s="45" t="n">
        <f aca="false">IF(AND(AND(Tasks[[#This Row],[_IsLeaf]]=1,Tasks[[#This Row],[_LeafTotalWork]]&gt;0),Tasks[[#This Row],[_Res4Work]]&gt;0),Tasks[[#This Row],[_Res4Work]]/(Tasks[[#This Row],[_FinishWorkday]]-Tasks[[#This Row],[_StartWorkday]]+1),0)</f>
        <v>0</v>
      </c>
      <c r="DP200" s="45" t="n">
        <f aca="false">Tasks[[#This Row],[_Res4WorkPerWD]]*MAX(0,Tasks[[#This Row],[_StartWorkday]]-1)</f>
        <v>0</v>
      </c>
      <c r="DQ200" s="45" t="n">
        <f aca="false">Tasks[[#This Row],[_Res4Work]]*Tasks[[#This Row],[_LeafProgress]]</f>
        <v>0</v>
      </c>
      <c r="DR200" s="45" t="n">
        <f aca="false">IF(Tasks[[#This Row],[_LeafTotalCost]]=0,0,Tasks[[#This Row],[_LeafAC]]*Tasks[[#This Row],[_Res4Cost]]/Tasks[[#This Row],[_LeafTotalCost]])</f>
        <v>0</v>
      </c>
      <c r="DS200" s="45" t="n">
        <f aca="false">IF(ISNUMBER(Tasks[[#This Row],[% Complete]]),Tasks[[#This Row],[% Complete]],IF(Tasks[[#This Row],[Stage]]="",0,IFERROR(INDEX(stg_Pct,MATCH(Tasks[[#This Row],[Stage]],stg_Name,0)),0)))</f>
        <v>0</v>
      </c>
      <c r="DT200" s="45" t="n">
        <f aca="false">IF(NOT(Tasks[[#This Row],[_IsLeaf]]=1),0,IF(N(Tasks[[#This Row],[Actual Finish]])&gt;0,1,MIN(1,Tasks[[#This Row],[_Pct]])))</f>
        <v>0</v>
      </c>
      <c r="DU200" s="45" t="n">
        <f aca="false">IF(OR(NOT(Tasks[[#This Row],[_IsLeaf]]=1),Tasks[[#This Row],[_Resource1]]=""),0,IF(ISNA(MATCH(Tasks[[#This Row],[_Resource1]],res_Name,0)),0,N(Tasks[[#This Row],[Duration]])*HoursPerDay*IF(Tasks[[#This Row],[_Units1]]="",DefaultUnits,Tasks[[#This Row],[_Units1]])))</f>
        <v>0</v>
      </c>
      <c r="DV200" s="45" t="n">
        <f aca="false">IF(Tasks[[#This Row],[_LeafWork]]=0,0,Tasks[[#This Row],[_LeafWork]]*IFERROR(INDEX(res_Rate,MATCH(Tasks[[#This Row],[_Resource1]],res_Name,0)),0))</f>
        <v>0</v>
      </c>
      <c r="DW200" s="45" t="n">
        <f aca="false">Tasks[[#This Row],[_LeafWork]]+Tasks[[#This Row],[_Res2Work]]+Tasks[[#This Row],[_Res3Work]]+Tasks[[#This Row],[_Res4Work]]</f>
        <v>0</v>
      </c>
      <c r="DX200" s="45" t="n">
        <f aca="false">Tasks[[#This Row],[_LeafCost]]+Tasks[[#This Row],[_Res2Cost]]+Tasks[[#This Row],[_Res3Cost]]+Tasks[[#This Row],[_Res4Cost]]</f>
        <v>0</v>
      </c>
      <c r="DY200" s="45" t="n">
        <f aca="false">IF(Tasks[[#This Row],[_LeafTotalCost]]=0,Tasks[[#This Row],[_LeafAC]],Tasks[[#This Row],[_LeafAC]]*Tasks[[#This Row],[_LeafCost]]/Tasks[[#This Row],[_LeafTotalCost]])</f>
        <v>0</v>
      </c>
      <c r="DZ200"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200"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200"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200"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20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20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20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20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200" s="45" t="n">
        <f aca="false">IF(NOT(Tasks[[#This Row],[_IsLeaf]]=1),0,MAX(_xlfn.MAXIFS(Tasks[_Row],Tasks[_Pred1UID],Tasks[[#This Row],[UID]]),_xlfn.MAXIFS(Tasks[_Row],Tasks[_Pred2UID],Tasks[[#This Row],[UID]]),_xlfn.MAXIFS(Tasks[_Row],Tasks[_Pred3UID],Tasks[[#This Row],[UID]]),_xlfn.MAXIFS(Tasks[_Row],Tasks[_Pred4UID],Tasks[[#This Row],[UID]])))</f>
        <v>0</v>
      </c>
      <c r="EI200"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200"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200" s="74" t="str">
        <f aca="false">IF(NOT(Tasks[[#This Row],[_IsLeaf]]=1),"",IF(N(Tasks[[#This Row],[Duration]])&lt;=0,Tasks[[#This Row],[_LeafLateFinish]],WORKDAY.INTL(Tasks[[#This Row],[_LeafLateFinish]],-(Tasks[[#This Row],[Duration]]-1),WorkWeek,Holidays)))</f>
        <v/>
      </c>
      <c r="EL20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200" s="73" t="b">
        <f aca="false">AND(Tasks[[#This Row],[_IsLeaf]]=1,Tasks[[#This Row],[_LeafProgress]]&lt;1,N(Tasks[[#This Row],[_LeafTotalSlack]])&lt;=CriticalSlackDays)</f>
        <v>0</v>
      </c>
      <c r="EN200" s="45" t="n">
        <f aca="false">IF(AND(Tasks[[#This Row],[_IsLeaf]]=1,Tasks[[#This Row],[_ConstraintCode]]=1,Tasks[[#This Row],[Mode]]&lt;&gt;"Manual",N(Tasks[[#This Row],[Actual Start]])=0),MAX(0,N(Tasks[[#This Row],[Free Slack]])),0)</f>
        <v>0</v>
      </c>
      <c r="EO200" s="74" t="str">
        <f aca="false">IF(NOT(Tasks[[#This Row],[_IsLeaf]]=1),"",IF(Tasks[[#This Row],[_AlapShift]]=0,Tasks[[#This Row],[_LeafCalcStart]],WORKDAY.INTL(Tasks[[#This Row],[_LeafCalcStart]],Tasks[[#This Row],[_AlapShift]],WorkWeek,Holidays)))</f>
        <v/>
      </c>
      <c r="EP200" s="74" t="str">
        <f aca="false">IF(NOT(Tasks[[#This Row],[_IsLeaf]]=1),"",IF(Tasks[[#This Row],[_AlapShift]]=0,Tasks[[#This Row],[_LeafCalcFinish]],WORKDAY.INTL(Tasks[[#This Row],[_LeafCalcFinish]],Tasks[[#This Row],[_AlapShift]],WorkWeek,Holidays)))</f>
        <v/>
      </c>
      <c r="EQ200" s="74" t="str">
        <f aca="false">IF(NOT(Tasks[[#This Row],[_IsLeaf]]=1),"",IF(Tasks[[#This Row],[_AlapShift]]=0,Tasks[[#This Row],[_LeafFcstStart]],WORKDAY.INTL(Tasks[[#This Row],[_LeafFcstStart]],Tasks[[#This Row],[_AlapShift]],WorkWeek,Holidays)))</f>
        <v/>
      </c>
      <c r="ER200" s="74" t="str">
        <f aca="false">IF(NOT(Tasks[[#This Row],[_IsLeaf]]=1),"",IF(Tasks[[#This Row],[_AlapShift]]=0,Tasks[[#This Row],[_LeafFcstFinish]],WORKDAY.INTL(Tasks[[#This Row],[_LeafFcstFinish]],Tasks[[#This Row],[_AlapShift]],WorkWeek,Holidays)))</f>
        <v/>
      </c>
      <c r="ES200" s="74" t="str">
        <f aca="false">IF(Tasks[[#This Row],[Task Name]]="","",IF(Tasks[[#This Row],[_IsSummary]],MIN(INDEX(Tasks[_ShownCalcStart],Tasks[[#This Row],[_Row]]+1):INDEX(Tasks[_ShownCalcStart],Tasks[[#This Row],[_Row]]+Tasks[[#This Row],[_Descendants]])),Tasks[[#This Row],[_ShownCalcStart]]))</f>
        <v/>
      </c>
      <c r="ET200" s="74" t="str">
        <f aca="false">IF(Tasks[[#This Row],[Task Name]]="","",IF(Tasks[[#This Row],[_IsSummary]],MAX(INDEX(Tasks[_ShownCalcFinish],Tasks[[#This Row],[_Row]]+1):INDEX(Tasks[_ShownCalcFinish],Tasks[[#This Row],[_Row]]+Tasks[[#This Row],[_Descendants]])),Tasks[[#This Row],[_ShownCalcFinish]]))</f>
        <v/>
      </c>
      <c r="EU20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20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20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20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200"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200"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200"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200"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200"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200"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200"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200"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200" s="45" t="n">
        <f aca="false">IF(AND(Tasks[[#This Row],[_IsLeaf]]=1,Tasks[[#This Row],[_LeafTotalWork]]&gt;0),NETWORKDAYS.INTL(ProjectStart,Tasks[[#This Row],[_ShownFcstStart]],WorkWeek,Holidays),0)</f>
        <v>0</v>
      </c>
      <c r="FH200" s="45" t="n">
        <f aca="false">IF(AND(Tasks[[#This Row],[_IsLeaf]]=1,Tasks[[#This Row],[_LeafTotalWork]]&gt;0),MAX(Tasks[[#This Row],[_StartWorkday]],NETWORKDAYS.INTL(ProjectStart,Tasks[[#This Row],[_ShownFcstFinish]],WorkWeek,Holidays)),0)</f>
        <v>0</v>
      </c>
      <c r="FI200" s="45" t="n">
        <f aca="false">IF(AND(Tasks[[#This Row],[_IsLeaf]]=1,Tasks[[#This Row],[_LeafTotalWork]]&gt;0),Tasks[[#This Row],[_LeafWork]]/(Tasks[[#This Row],[_FinishWorkday]]-Tasks[[#This Row],[_StartWorkday]]+1),0)</f>
        <v>0</v>
      </c>
      <c r="FJ200" s="45" t="n">
        <f aca="false">Tasks[[#This Row],[_WorkPerWorkday]]*(Tasks[[#This Row],[_StartWorkday]]-1)</f>
        <v>-0</v>
      </c>
      <c r="FK200" s="45" t="n">
        <f aca="false">IF(Tasks[[#This Row],[_IsLeaf]]=1,MAX(N(Tasks[[#This Row],[Duration]]),0.1),0)</f>
        <v>0</v>
      </c>
      <c r="FL200" s="45" t="n">
        <f aca="false">Tasks[[#This Row],[_WeightDur]]*Tasks[[#This Row],[_LeafProgress]]</f>
        <v>0</v>
      </c>
      <c r="FM20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200" s="45" t="str">
        <f aca="false">IF(AND(Tasks[[#This Row],[_IsLeaf]]=1,N(Tasks[[#This Row],[Duration]])=0,Tasks[[#This Row],[_LeafProgress]]&lt;1),Tasks[[#This Row],[_ShownFcstFinish]]+Tasks[[#This Row],[_Row]]/100000,"")</f>
        <v/>
      </c>
      <c r="FO20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200" s="45" t="n">
        <f aca="false">IF(NOT(Tasks[[#This Row],[_IsLeaf]]=1),0,IF(Tasks[[#This Row],[Baseline Cost]]="",Tasks[[#This Row],[_LeafTotalCost]],N(Tasks[[#This Row],[Baseline Cost]])))</f>
        <v>0</v>
      </c>
      <c r="FQ200" s="45" t="n">
        <f aca="false">Tasks[[#This Row],[_LeafBudget]]*Tasks[[#This Row],[_PlannedPct]]</f>
        <v>0</v>
      </c>
      <c r="FR200" s="45" t="n">
        <f aca="false">Tasks[[#This Row],[_LeafBudget]]*Tasks[[#This Row],[_LeafProgress]]</f>
        <v>0</v>
      </c>
      <c r="FS200" s="45" t="n">
        <f aca="false">IF(NOT(Tasks[[#This Row],[_IsLeaf]]=1),0,IF(Tasks[[#This Row],[Actual Cost]]="",Tasks[[#This Row],[_LeafTotalCost]]*Tasks[[#This Row],[_LeafProgress]],N(Tasks[[#This Row],[Actual Cost]])))</f>
        <v>0</v>
      </c>
      <c r="FT200" s="45" t="str">
        <f aca="false">IF(Tasks[[#This Row],[Task Name]]="","",LEFT(Tasks[[#This Row],[WBS]],FIND(".",Tasks[[#This Row],[WBS]]&amp;".")-1))</f>
        <v/>
      </c>
      <c r="FU200" s="45" t="str">
        <f aca="false">IF(AND(Tasks[[#This Row],[Task Name]]&lt;&gt;"",Tasks[[#This Row],[_Level]]=1),Tasks[[#This Row],[_Row]],"")</f>
        <v/>
      </c>
      <c r="FV200" s="45" t="str">
        <f aca="false">IF(AND(Tasks[[#This Row],[_IsLeaf]]=1,N(Tasks[[#This Row],[Duration]])=0),Tasks[[#This Row],[Planned Finish]]+Tasks[[#This Row],[_Row]]/100000,"")</f>
        <v/>
      </c>
      <c r="FW200" s="45" t="str">
        <f aca="false">IF(AND(Tasks[[#This Row],[_IsLeaf]]=1,Tasks[[#This Row],[_LeafProgress]]&lt;1,OR(N(Tasks[[#This Row],[Finish Var]])&gt;0,Tasks[[#This Row],[Status]]="Late Start")),MAX(0,Tasks[[#This Row],[Finish Var]])+1-Tasks[[#This Row],[_Row]]/1000000,"")</f>
        <v/>
      </c>
      <c r="FX200" s="45" t="str">
        <f aca="false">IF(AND(Tasks[[#This Row],[_IsLeaf]]=1,N(Tasks[[#This Row],[Actual Start]])=0,Tasks[[#This Row],[_ShownFcstStart]]&gt;=StatusDate,Tasks[[#This Row],[_ShownFcstStart]]&lt;=LookaheadEnd),Tasks[[#This Row],[_ShownFcstStart]]+Tasks[[#This Row],[_Row]]/100000,"")</f>
        <v/>
      </c>
      <c r="FY200" s="45" t="str">
        <f aca="false">IF(AND(Tasks[[#This Row],[_IsLeaf]]=1,Tasks[[#This Row],[_LeafProgress]]&lt;1,Tasks[[#This Row],[_ShownFcstFinish]]&gt;=StatusDate,Tasks[[#This Row],[_ShownFcstFinish]]&lt;=LookaheadEnd),Tasks[[#This Row],[_ShownFcstFinish]]+Tasks[[#This Row],[_Row]]/100000,"")</f>
        <v/>
      </c>
      <c r="FZ200" s="45" t="str">
        <f aca="false">IF(Tasks[[#This Row],[_LeafCritical]],Tasks[[#This Row],[_ShownFcstStart]]+Tasks[[#This Row],[_Row]]/100000,"")</f>
        <v/>
      </c>
      <c r="GA200" s="45" t="n">
        <f aca="false">Tasks[[#This Row],[_LeafWork]]*Tasks[[#This Row],[_LeafProgress]]</f>
        <v>0</v>
      </c>
      <c r="GB200" s="74" t="str">
        <f aca="false">IF(AND(Tasks[[#This Row],[_IsLeaf]]=1,Tasks[[#This Row],[_LeafProgress]]&gt;=1),IF(N(Tasks[[#This Row],[Actual Finish]])&gt;0,Tasks[[#This Row],[Actual Finish]],Tasks[[#This Row],[_ShownFcstFinish]]),"")</f>
        <v/>
      </c>
    </row>
    <row r="201" customFormat="false" ht="15" hidden="false" customHeight="false" outlineLevel="0" collapsed="false">
      <c r="A201" s="67" t="str">
        <f aca="false">IF(Tasks[[#This Row],[Task Name]]="","",COUNTA(Tasks[[#Headers],[Task Name]]:Tasks[[#This Row],[Task Name]])-1)</f>
        <v/>
      </c>
      <c r="B201" s="21" t="n">
        <v>196</v>
      </c>
      <c r="C201"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21"/>
      <c r="E201" s="22"/>
      <c r="F201" s="21"/>
      <c r="G201" s="22"/>
      <c r="H201" s="22"/>
      <c r="I201" s="22"/>
      <c r="J201" s="7"/>
      <c r="K201" s="7"/>
      <c r="L201" s="22"/>
      <c r="M201" s="58" t="str">
        <f aca="false">IF(Tasks[[#This Row],[Task Name]]="","",IF(Tasks[[#This Row],[_IsSummary]],MIN(INDEX(Tasks[_ShownFcstStart],Tasks[[#This Row],[_Row]]+1):INDEX(Tasks[_ShownFcstStart],Tasks[[#This Row],[_Row]]+Tasks[[#This Row],[_Descendants]])),Tasks[[#This Row],[_ShownFcstStart]]))</f>
        <v/>
      </c>
      <c r="N201" s="58" t="str">
        <f aca="false">IF(Tasks[[#This Row],[Task Name]]="","",IF(Tasks[[#This Row],[_IsSummary]],MAX(INDEX(Tasks[_ShownFcstFinish],Tasks[[#This Row],[_Row]]+1):INDEX(Tasks[_ShownFcstFinish],Tasks[[#This Row],[_Row]]+Tasks[[#This Row],[_Descendants]])),Tasks[[#This Row],[_ShownFcstFinish]]))</f>
        <v/>
      </c>
      <c r="O201" s="20" t="str">
        <f aca="false">IF(Tasks[[#This Row],[Task Name]]="","",IF(Tasks[[#This Row],[Progress]]&gt;=1,"Complete",IF(OR(N(Tasks[[#This Row],[Actual Start]])&gt;0,Tasks[[#This Row],[Progress]]&gt;0),IF(Tasks[[#This Row],[Finish Var]]&gt;0,"Behind","In Progress"),IF(Tasks[[#This Row],[Planned Start]]&lt;StatusDate,"Late Start","Not Started"))))</f>
        <v/>
      </c>
      <c r="P201" s="20" t="str">
        <f aca="false">IF(Tasks[[#This Row],[Task Name]]="","",IF(IF(Tasks[[#This Row],[_IsSummary]],COUNTIF(INDEX(Tasks[_LeafCritical],Tasks[[#This Row],[_Row]]+1):INDEX(Tasks[_LeafCritical],Tasks[[#This Row],[_Row]]+Tasks[[#This Row],[_Descendants]]),TRUE())&gt;0,Tasks[[#This Row],[_LeafCritical]]),"Yes",""))</f>
        <v/>
      </c>
      <c r="Q201"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201" s="67" t="str">
        <f aca="false">IF(Tasks[[#This Row],[Task Name]]="","",IF(Tasks[[#This Row],[_Level]]&lt;=OutlineShowLevel,"Yes","No"))</f>
        <v/>
      </c>
      <c r="S201" s="7"/>
      <c r="T201" s="21"/>
      <c r="U201" s="22"/>
      <c r="V201" s="7"/>
      <c r="W201" s="67" t="str">
        <f aca="false">IF(Tasks[[#This Row],[Task Name]]="","",IF(Tasks[[#This Row],[Finish]]&gt;=Tasks[[#This Row],[Planned Finish]],NETWORKDAYS.INTL(Tasks[[#This Row],[Planned Finish]],Tasks[[#This Row],[Finish]],WorkWeek,Holidays)-1,1-NETWORKDAYS.INTL(Tasks[[#This Row],[Finish]],Tasks[[#This Row],[Planned Finish]],WorkWeek,Holidays)))</f>
        <v/>
      </c>
      <c r="X201" s="58" t="str">
        <f aca="false">IF(Tasks[[#This Row],[Task Name]]="","",IF(N(Tasks[[#This Row],[Baseline Start]])&gt;0,Tasks[[#This Row],[Baseline Start]],Tasks[[#This Row],[_CalcStart]]))</f>
        <v/>
      </c>
      <c r="Y201" s="58" t="str">
        <f aca="false">IF(Tasks[[#This Row],[Task Name]]="","",IF(N(Tasks[[#This Row],[Baseline Finish]])&gt;0,Tasks[[#This Row],[Baseline Finish]],Tasks[[#This Row],[_CalcFinish]]))</f>
        <v/>
      </c>
      <c r="Z201" s="67" t="str">
        <f aca="false">IF(Tasks[[#This Row],[Task Name]]="","",IF(Tasks[[#This Row],[Start]]&gt;=Tasks[[#This Row],[Planned Start]],NETWORKDAYS.INTL(Tasks[[#This Row],[Planned Start]],Tasks[[#This Row],[Start]],WorkWeek,Holidays)-1,1-NETWORKDAYS.INTL(Tasks[[#This Row],[Start]],Tasks[[#This Row],[Planned Start]],WorkWeek,Holidays)))</f>
        <v/>
      </c>
      <c r="AA201" s="58" t="str">
        <f aca="false">IF(Tasks[[#This Row],[Task Name]]="","",IF(Tasks[[#This Row],[_IsSummary]],MIN(INDEX(Tasks[_LeafLateStart],Tasks[[#This Row],[_Row]]+1):INDEX(Tasks[_LeafLateStart],Tasks[[#This Row],[_Row]]+Tasks[[#This Row],[_Descendants]])),Tasks[[#This Row],[_LeafLateStart]]))</f>
        <v/>
      </c>
      <c r="AB201" s="58" t="str">
        <f aca="false">IF(Tasks[[#This Row],[Task Name]]="","",IF(Tasks[[#This Row],[_IsSummary]],MAX(INDEX(Tasks[_LeafLateFinish],Tasks[[#This Row],[_Row]]+1):INDEX(Tasks[_LeafLateFinish],Tasks[[#This Row],[_Row]]+Tasks[[#This Row],[_Descendants]])),Tasks[[#This Row],[_LeafLateFinish]]))</f>
        <v/>
      </c>
      <c r="AC201" s="67" t="str">
        <f aca="false">IF(Tasks[[#This Row],[Task Name]]="","",IF(Tasks[[#This Row],[_IsSummary]],MIN(INDEX(Tasks[_LeafTotalSlack],Tasks[[#This Row],[_Row]]+1):INDEX(Tasks[_LeafTotalSlack],Tasks[[#This Row],[_Row]]+Tasks[[#This Row],[_Descendants]])),Tasks[[#This Row],[_LeafTotalSlack]]))</f>
        <v/>
      </c>
      <c r="AD201"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201"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201"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201" s="60"/>
      <c r="AH201"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201"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201" s="69" t="str">
        <f aca="false">IF(Tasks[[#This Row],[Task Name]]="","",IF(Tasks[[#This Row],[_IsSummary]],SUM(INDEX(Tasks[_LeafTotalWork],Tasks[[#This Row],[_Row]]+1):INDEX(Tasks[_LeafTotalWork],Tasks[[#This Row],[_Row]]+Tasks[[#This Row],[_Descendants]])),Tasks[[#This Row],[_LeafTotalWork]]))</f>
        <v/>
      </c>
      <c r="AK201"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201" s="70" t="str">
        <f aca="false">IF(Tasks[[#This Row],[Task Name]]="","",IF(Tasks[[#This Row],[_IsSummary]],SUM(INDEX(Tasks[_LeafTotalCost],Tasks[[#This Row],[_Row]]+1):INDEX(Tasks[_LeafTotalCost],Tasks[[#This Row],[_Row]]+Tasks[[#This Row],[_Descendants]])),Tasks[[#This Row],[_LeafTotalCost]]))</f>
        <v/>
      </c>
      <c r="AM201" s="71"/>
      <c r="AN201" s="20" t="str">
        <f aca="false">IF(OR(Tasks[[#This Row],[Task Name]]="",Tasks[[#This Row],[Baseline Duration]]=""),"",Tasks[[#This Row],[BL Source Duration]]-N(Tasks[[#This Row],[Baseline Duration]]))</f>
        <v/>
      </c>
      <c r="AO201" s="69" t="str">
        <f aca="false">IF(OR(Tasks[[#This Row],[Task Name]]="",Tasks[[#This Row],[Baseline Work]]=""),"",Tasks[[#This Row],[Work]]-N(Tasks[[#This Row],[Baseline Work]]))</f>
        <v/>
      </c>
      <c r="AP201" s="70" t="str">
        <f aca="false">IF(OR(Tasks[[#This Row],[Task Name]]="",Tasks[[#This Row],[Baseline Cost]]=""),"",Tasks[[#This Row],[Cost]]-N(Tasks[[#This Row],[Baseline Cost]]))</f>
        <v/>
      </c>
      <c r="AQ201" s="58" t="str">
        <f aca="false">IF(Tasks[[#This Row],[Task Name]]="","",Tasks[[#This Row],[Start]])</f>
        <v/>
      </c>
      <c r="AR201" s="58" t="str">
        <f aca="false">IF(Tasks[[#This Row],[Task Name]]="","",Tasks[[#This Row],[Finish]])</f>
        <v/>
      </c>
      <c r="AS201" s="67" t="str">
        <f aca="false">IF(Tasks[[#This Row],[Task Name]]="","",IF(Tasks[[#This Row],[_IsSummary]],NETWORKDAYS.INTL(Tasks[[#This Row],[Start]],Tasks[[#This Row],[Finish]],WorkWeek,Holidays),N(Tasks[[#This Row],[Duration]])))</f>
        <v/>
      </c>
      <c r="AT201" s="69" t="str">
        <f aca="false">IF(Tasks[[#This Row],[Task Name]]="","",Tasks[[#This Row],[Work]])</f>
        <v/>
      </c>
      <c r="AU201" s="70" t="str">
        <f aca="false">IF(Tasks[[#This Row],[Task Name]]="","",Tasks[[#This Row],[Cost]])</f>
        <v/>
      </c>
      <c r="AV201" s="7"/>
      <c r="AW201" s="7"/>
      <c r="AX201" s="21"/>
      <c r="AY201" s="72"/>
      <c r="AZ201" s="71"/>
      <c r="BA201" s="70" t="str">
        <f aca="false">IF(Tasks[[#This Row],[Task Name]]="","",IF(Tasks[[#This Row],[_IsSummary]],SUM(INDEX(Tasks[_LeafEV],Tasks[[#This Row],[_Row]]+1):INDEX(Tasks[_LeafEV],Tasks[[#This Row],[_Row]]+Tasks[[#This Row],[_Descendants]])),Tasks[[#This Row],[_LeafEV]]))</f>
        <v/>
      </c>
      <c r="BB201" s="70" t="str">
        <f aca="false">IF(Tasks[[#This Row],[Task Name]]="","",IF(Tasks[[#This Row],[_IsSummary]],SUM(INDEX(Tasks[_LeafBudget],Tasks[[#This Row],[_Row]]+1):INDEX(Tasks[_LeafBudget],Tasks[[#This Row],[_Row]]+Tasks[[#This Row],[_Descendants]])),Tasks[[#This Row],[_LeafBudget]]))</f>
        <v/>
      </c>
      <c r="BC201" s="70" t="str">
        <f aca="false">IF(Tasks[[#This Row],[Task Name]]="","",IF(Tasks[[#This Row],[_IsSummary]],SUM(INDEX(Tasks[_LeafPV],Tasks[[#This Row],[_Row]]+1):INDEX(Tasks[_LeafPV],Tasks[[#This Row],[_Row]]+Tasks[[#This Row],[_Descendants]])),Tasks[[#This Row],[_LeafPV]]))</f>
        <v/>
      </c>
      <c r="BD201" s="70" t="str">
        <f aca="false">IF(Tasks[[#This Row],[Task Name]]="","",IF(Tasks[[#This Row],[_IsSummary]],SUM(INDEX(Tasks[_LeafAC],Tasks[[#This Row],[_Row]]+1):INDEX(Tasks[_LeafAC],Tasks[[#This Row],[_Row]]+Tasks[[#This Row],[_Descendants]])),Tasks[[#This Row],[_LeafAC]]))</f>
        <v/>
      </c>
      <c r="BE201" s="45" t="str">
        <f aca="false">IF(Tasks[[#This Row],[Task Name]]="","",MAX(1,N(Tasks[[#This Row],[Level]])))</f>
        <v/>
      </c>
      <c r="BF201" s="45" t="n">
        <f aca="false">ROW()-ROW(Tasks[[#Headers],[ID]])</f>
        <v>196</v>
      </c>
      <c r="BG201" s="45" t="n">
        <f aca="false">IF(OR(Tasks[[#This Row],[Task Name]]="",Tasks[[#This Row],[_Level]]&lt;=1),0,IFERROR(LOOKUP(2,1/(Tasks[[#Headers],[_Level]]:Tasks[[#This Row],[_Level]]=Tasks[[#This Row],[_Level]]-1),ROW(Tasks[[#Headers],[_Level]]:Tasks[[#This Row],[_Level]])),0))</f>
        <v>0</v>
      </c>
      <c r="BH201" s="45" t="n">
        <f aca="false">IFERROR(N(INDEX(Tasks[_Level],Tasks[[#This Row],[_Row]]+1)),0)</f>
        <v>0</v>
      </c>
      <c r="BI201" s="73" t="b">
        <f aca="false">AND(Tasks[[#This Row],[Task Name]]&lt;&gt;"",Tasks[[#This Row],[_NextLevel]]&gt;Tasks[[#This Row],[_Level]])</f>
        <v>0</v>
      </c>
      <c r="BJ201" s="45" t="n">
        <f aca="false">IF(Tasks[[#This Row],[_IsSummary]],COUNTIF(Tasks[WBS],Tasks[[#This Row],[WBS]]&amp;".*"),0)</f>
        <v>0</v>
      </c>
      <c r="BK201" s="45" t="n">
        <f aca="false">IF(AND(Tasks[[#This Row],[Task Name]]&lt;&gt;"",NOT(Tasks[[#This Row],[_IsSummary]])),1,0)</f>
        <v>0</v>
      </c>
      <c r="BL201" s="45" t="n">
        <f aca="false">IF(N(Tasks[[#This Row],[_Pred1UID]])=0,0,IFERROR(MATCH(Tasks[[#This Row],[_Pred1UID]],Tasks[UID],0),-1))</f>
        <v>0</v>
      </c>
      <c r="BM201" s="45" t="n">
        <f aca="false">IF(N(Tasks[[#This Row],[_Pred2UID]])=0,0,IFERROR(MATCH(Tasks[[#This Row],[_Pred2UID]],Tasks[UID],0),-1))</f>
        <v>0</v>
      </c>
      <c r="BN201" s="45" t="n">
        <f aca="false">IF(N(Tasks[[#This Row],[_Pred3UID]])=0,0,IFERROR(MATCH(Tasks[[#This Row],[_Pred3UID]],Tasks[UID],0),-1))</f>
        <v>0</v>
      </c>
      <c r="BO201" s="45" t="n">
        <f aca="false">IF(N(Tasks[[#This Row],[_Pred4UID]])=0,0,IFERROR(MATCH(Tasks[[#This Row],[_Pred4UID]],Tasks[UID],0),-1))</f>
        <v>0</v>
      </c>
      <c r="BP20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201"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201" s="74" t="n">
        <f aca="false">IF(OR(Tasks[[#This Row],[_ConstraintCode]]=2,Tasks[[#This Row],[_ConstraintCode]]=3,Tasks[[#This Row],[_ConstraintCode]]=4,Tasks[[#This Row],[_ConstraintCode]]=6),Tasks[[#This Row],[_ConstraintStart]],0)</f>
        <v>0</v>
      </c>
      <c r="BS201" s="74" t="n">
        <f aca="false">IF(OR(Tasks[[#This Row],[_ConstraintCode]]=2,Tasks[[#This Row],[_ConstraintCode]]=3,Tasks[[#This Row],[_ConstraintCode]]=5,Tasks[[#This Row],[_ConstraintCode]]=7),Tasks[[#This Row],[_ConstraintStart]],2958465)</f>
        <v>2958465</v>
      </c>
      <c r="BT201"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201" s="74" t="str">
        <f aca="false">IF(NOT(Tasks[[#This Row],[_IsLeaf]]=1),"",IF(N(Tasks[[#This Row],[Duration]])&lt;=0,Tasks[[#This Row],[_LeafCalcStart]],WORKDAY.INTL(Tasks[[#This Row],[_LeafCalcStart]],Tasks[[#This Row],[Duration]]-1,WorkWeek,Holidays)))</f>
        <v/>
      </c>
      <c r="BV201"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201"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201" s="45" t="str">
        <f aca="false">IF(Tasks[[#This Row],[Predecessors]]="","",TRIM(MID(SUBSTITUTE(SUBSTITUTE(SUBSTITUTE(UPPER(Tasks[[#This Row],[Predecessors]]),";",",")," ",""),",",REPT(" ",99)),1,99)))</f>
        <v/>
      </c>
      <c r="BY201" s="45" t="str">
        <f aca="false">IF(Tasks[[#This Row],[_Pred1Text]]="","",IFERROR(VALUE(LEFT(Tasks[[#This Row],[_Pred1Text]],MIN(FIND("F",Tasks[[#This Row],[_Pred1Text]]&amp;"F"),FIND("S",Tasks[[#This Row],[_Pred1Text]]&amp;"S"),FIND("+",Tasks[[#This Row],[_Pred1Text]]&amp;"+"),FIND("-",Tasks[[#This Row],[_Pred1Text]]&amp;"-"))-1)),""))</f>
        <v/>
      </c>
      <c r="BZ20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20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201" s="45" t="str">
        <f aca="false">IF(Tasks[[#This Row],[_Pred1Text]]="","",TRIM(MID(SUBSTITUTE(SUBSTITUTE(SUBSTITUTE(UPPER(Tasks[[#This Row],[Predecessors]]),";",",")," ",""),",",REPT(" ",99)),100,99)))</f>
        <v/>
      </c>
      <c r="CC201" s="45" t="str">
        <f aca="false">IF(Tasks[[#This Row],[_Pred2Text]]="","",IFERROR(VALUE(LEFT(Tasks[[#This Row],[_Pred2Text]],MIN(FIND("F",Tasks[[#This Row],[_Pred2Text]]&amp;"F"),FIND("S",Tasks[[#This Row],[_Pred2Text]]&amp;"S"),FIND("+",Tasks[[#This Row],[_Pred2Text]]&amp;"+"),FIND("-",Tasks[[#This Row],[_Pred2Text]]&amp;"-"))-1)),""))</f>
        <v/>
      </c>
      <c r="CD20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20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201" s="45" t="str">
        <f aca="false">IF(Tasks[[#This Row],[_Pred2Text]]="","",TRIM(MID(SUBSTITUTE(SUBSTITUTE(SUBSTITUTE(UPPER(Tasks[[#This Row],[Predecessors]]),";",",")," ",""),",",REPT(" ",99)),199,99)))</f>
        <v/>
      </c>
      <c r="CG201" s="45" t="str">
        <f aca="false">IF(Tasks[[#This Row],[_Pred3Text]]="","",IFERROR(VALUE(LEFT(Tasks[[#This Row],[_Pred3Text]],MIN(FIND("F",Tasks[[#This Row],[_Pred3Text]]&amp;"F"),FIND("S",Tasks[[#This Row],[_Pred3Text]]&amp;"S"),FIND("+",Tasks[[#This Row],[_Pred3Text]]&amp;"+"),FIND("-",Tasks[[#This Row],[_Pred3Text]]&amp;"-"))-1)),""))</f>
        <v/>
      </c>
      <c r="CH20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20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201" s="45" t="str">
        <f aca="false">IF(Tasks[[#This Row],[_Pred3Text]]="","",TRIM(MID(SUBSTITUTE(SUBSTITUTE(SUBSTITUTE(UPPER(Tasks[[#This Row],[Predecessors]]),";",",")," ",""),",",REPT(" ",99)),298,99)))</f>
        <v/>
      </c>
      <c r="CK201" s="45" t="str">
        <f aca="false">IF(Tasks[[#This Row],[_Pred4Text]]="","",IFERROR(VALUE(LEFT(Tasks[[#This Row],[_Pred4Text]],MIN(FIND("F",Tasks[[#This Row],[_Pred4Text]]&amp;"F"),FIND("S",Tasks[[#This Row],[_Pred4Text]]&amp;"S"),FIND("+",Tasks[[#This Row],[_Pred4Text]]&amp;"+"),FIND("-",Tasks[[#This Row],[_Pred4Text]]&amp;"-"))-1)),""))</f>
        <v/>
      </c>
      <c r="CL20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20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201" s="45" t="str">
        <f aca="false">IF(OR(Tasks[[#This Row],[Task Name]]="",Tasks[[#This Row],[Resources]]=""),"",TRIM(MID(SUBSTITUTE(Tasks[[#This Row],[Resources]],",",REPT(" ",99)),1,99)))</f>
        <v/>
      </c>
      <c r="CO201" s="45" t="str">
        <f aca="false">IF(Tasks[[#This Row],[_Res1Text]]="","",TRIM(MID(SUBSTITUTE(Tasks[[#This Row],[Resources]],",",REPT(" ",99)),100,99)))</f>
        <v/>
      </c>
      <c r="CP201" s="45" t="str">
        <f aca="false">IF(Tasks[[#This Row],[_Res2Text]]="","",TRIM(MID(SUBSTITUTE(Tasks[[#This Row],[Resources]],",",REPT(" ",99)),199,99)))</f>
        <v/>
      </c>
      <c r="CQ201" s="45" t="str">
        <f aca="false">IF(Tasks[[#This Row],[_Res3Text]]="","",TRIM(MID(SUBSTITUTE(Tasks[[#This Row],[Resources]],",",REPT(" ",99)),298,99)))</f>
        <v/>
      </c>
      <c r="CR201"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20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1" s="45" t="n">
        <f aca="false">IF(NOT(Tasks[[#This Row],[_IsLeaf]]=1),0,(Tasks[[#This Row],[_Resource1]]&lt;&gt;"")+(Tasks[[#This Row],[_Res2]]&lt;&gt;"")+(Tasks[[#This Row],[_Res3]]&lt;&gt;"")+(Tasks[[#This Row],[_Res4]]&lt;&gt;""))</f>
        <v>0</v>
      </c>
      <c r="CU201"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20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1" s="45" t="n">
        <f aca="false">IF(OR(NOT(Tasks[[#This Row],[_IsLeaf]]=1),Tasks[[#This Row],[_Res2]]=""),0,IF(ISNA(MATCH(Tasks[[#This Row],[_Res2]],res_Name,0)),0,N(Tasks[[#This Row],[Duration]])*HoursPerDay*IF(Tasks[[#This Row],[_Res2Units]]="",DefaultUnits,Tasks[[#This Row],[_Res2Units]])))</f>
        <v>0</v>
      </c>
      <c r="CX201" s="45" t="n">
        <f aca="false">IF(Tasks[[#This Row],[_Res2Work]]=0,0,Tasks[[#This Row],[_Res2Work]]*IFERROR(INDEX(res_Rate,MATCH(Tasks[[#This Row],[_Res2]],res_Name,0)),0))</f>
        <v>0</v>
      </c>
      <c r="CY201" s="45" t="n">
        <f aca="false">IF(AND(AND(Tasks[[#This Row],[_IsLeaf]]=1,Tasks[[#This Row],[_LeafTotalWork]]&gt;0),Tasks[[#This Row],[_Res2Work]]&gt;0),Tasks[[#This Row],[_Res2Work]]/(Tasks[[#This Row],[_FinishWorkday]]-Tasks[[#This Row],[_StartWorkday]]+1),0)</f>
        <v>0</v>
      </c>
      <c r="CZ201" s="45" t="n">
        <f aca="false">Tasks[[#This Row],[_Res2WorkPerWD]]*MAX(0,Tasks[[#This Row],[_StartWorkday]]-1)</f>
        <v>0</v>
      </c>
      <c r="DA201" s="45" t="n">
        <f aca="false">Tasks[[#This Row],[_Res2Work]]*Tasks[[#This Row],[_LeafProgress]]</f>
        <v>0</v>
      </c>
      <c r="DB201" s="45" t="n">
        <f aca="false">IF(Tasks[[#This Row],[_LeafTotalCost]]=0,0,Tasks[[#This Row],[_LeafAC]]*Tasks[[#This Row],[_Res2Cost]]/Tasks[[#This Row],[_LeafTotalCost]])</f>
        <v>0</v>
      </c>
      <c r="DC201"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20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201" s="45" t="n">
        <f aca="false">IF(OR(NOT(Tasks[[#This Row],[_IsLeaf]]=1),Tasks[[#This Row],[_Res3]]=""),0,IF(ISNA(MATCH(Tasks[[#This Row],[_Res3]],res_Name,0)),0,N(Tasks[[#This Row],[Duration]])*HoursPerDay*IF(Tasks[[#This Row],[_Res3Units]]="",DefaultUnits,Tasks[[#This Row],[_Res3Units]])))</f>
        <v>0</v>
      </c>
      <c r="DF201" s="45" t="n">
        <f aca="false">IF(Tasks[[#This Row],[_Res3Work]]=0,0,Tasks[[#This Row],[_Res3Work]]*IFERROR(INDEX(res_Rate,MATCH(Tasks[[#This Row],[_Res3]],res_Name,0)),0))</f>
        <v>0</v>
      </c>
      <c r="DG201" s="45" t="n">
        <f aca="false">IF(AND(AND(Tasks[[#This Row],[_IsLeaf]]=1,Tasks[[#This Row],[_LeafTotalWork]]&gt;0),Tasks[[#This Row],[_Res3Work]]&gt;0),Tasks[[#This Row],[_Res3Work]]/(Tasks[[#This Row],[_FinishWorkday]]-Tasks[[#This Row],[_StartWorkday]]+1),0)</f>
        <v>0</v>
      </c>
      <c r="DH201" s="45" t="n">
        <f aca="false">Tasks[[#This Row],[_Res3WorkPerWD]]*MAX(0,Tasks[[#This Row],[_StartWorkday]]-1)</f>
        <v>0</v>
      </c>
      <c r="DI201" s="45" t="n">
        <f aca="false">Tasks[[#This Row],[_Res3Work]]*Tasks[[#This Row],[_LeafProgress]]</f>
        <v>0</v>
      </c>
      <c r="DJ201" s="45" t="n">
        <f aca="false">IF(Tasks[[#This Row],[_LeafTotalCost]]=0,0,Tasks[[#This Row],[_LeafAC]]*Tasks[[#This Row],[_Res3Cost]]/Tasks[[#This Row],[_LeafTotalCost]])</f>
        <v>0</v>
      </c>
      <c r="DK201"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20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201" s="45" t="n">
        <f aca="false">IF(OR(NOT(Tasks[[#This Row],[_IsLeaf]]=1),Tasks[[#This Row],[_Res4]]=""),0,IF(ISNA(MATCH(Tasks[[#This Row],[_Res4]],res_Name,0)),0,N(Tasks[[#This Row],[Duration]])*HoursPerDay*IF(Tasks[[#This Row],[_Res4Units]]="",DefaultUnits,Tasks[[#This Row],[_Res4Units]])))</f>
        <v>0</v>
      </c>
      <c r="DN201" s="45" t="n">
        <f aca="false">IF(Tasks[[#This Row],[_Res4Work]]=0,0,Tasks[[#This Row],[_Res4Work]]*IFERROR(INDEX(res_Rate,MATCH(Tasks[[#This Row],[_Res4]],res_Name,0)),0))</f>
        <v>0</v>
      </c>
      <c r="DO201" s="45" t="n">
        <f aca="false">IF(AND(AND(Tasks[[#This Row],[_IsLeaf]]=1,Tasks[[#This Row],[_LeafTotalWork]]&gt;0),Tasks[[#This Row],[_Res4Work]]&gt;0),Tasks[[#This Row],[_Res4Work]]/(Tasks[[#This Row],[_FinishWorkday]]-Tasks[[#This Row],[_StartWorkday]]+1),0)</f>
        <v>0</v>
      </c>
      <c r="DP201" s="45" t="n">
        <f aca="false">Tasks[[#This Row],[_Res4WorkPerWD]]*MAX(0,Tasks[[#This Row],[_StartWorkday]]-1)</f>
        <v>0</v>
      </c>
      <c r="DQ201" s="45" t="n">
        <f aca="false">Tasks[[#This Row],[_Res4Work]]*Tasks[[#This Row],[_LeafProgress]]</f>
        <v>0</v>
      </c>
      <c r="DR201" s="45" t="n">
        <f aca="false">IF(Tasks[[#This Row],[_LeafTotalCost]]=0,0,Tasks[[#This Row],[_LeafAC]]*Tasks[[#This Row],[_Res4Cost]]/Tasks[[#This Row],[_LeafTotalCost]])</f>
        <v>0</v>
      </c>
      <c r="DS201" s="45" t="n">
        <f aca="false">IF(ISNUMBER(Tasks[[#This Row],[% Complete]]),Tasks[[#This Row],[% Complete]],IF(Tasks[[#This Row],[Stage]]="",0,IFERROR(INDEX(stg_Pct,MATCH(Tasks[[#This Row],[Stage]],stg_Name,0)),0)))</f>
        <v>0</v>
      </c>
      <c r="DT201" s="45" t="n">
        <f aca="false">IF(NOT(Tasks[[#This Row],[_IsLeaf]]=1),0,IF(N(Tasks[[#This Row],[Actual Finish]])&gt;0,1,MIN(1,Tasks[[#This Row],[_Pct]])))</f>
        <v>0</v>
      </c>
      <c r="DU201" s="45" t="n">
        <f aca="false">IF(OR(NOT(Tasks[[#This Row],[_IsLeaf]]=1),Tasks[[#This Row],[_Resource1]]=""),0,IF(ISNA(MATCH(Tasks[[#This Row],[_Resource1]],res_Name,0)),0,N(Tasks[[#This Row],[Duration]])*HoursPerDay*IF(Tasks[[#This Row],[_Units1]]="",DefaultUnits,Tasks[[#This Row],[_Units1]])))</f>
        <v>0</v>
      </c>
      <c r="DV201" s="45" t="n">
        <f aca="false">IF(Tasks[[#This Row],[_LeafWork]]=0,0,Tasks[[#This Row],[_LeafWork]]*IFERROR(INDEX(res_Rate,MATCH(Tasks[[#This Row],[_Resource1]],res_Name,0)),0))</f>
        <v>0</v>
      </c>
      <c r="DW201" s="45" t="n">
        <f aca="false">Tasks[[#This Row],[_LeafWork]]+Tasks[[#This Row],[_Res2Work]]+Tasks[[#This Row],[_Res3Work]]+Tasks[[#This Row],[_Res4Work]]</f>
        <v>0</v>
      </c>
      <c r="DX201" s="45" t="n">
        <f aca="false">Tasks[[#This Row],[_LeafCost]]+Tasks[[#This Row],[_Res2Cost]]+Tasks[[#This Row],[_Res3Cost]]+Tasks[[#This Row],[_Res4Cost]]</f>
        <v>0</v>
      </c>
      <c r="DY201" s="45" t="n">
        <f aca="false">IF(Tasks[[#This Row],[_LeafTotalCost]]=0,Tasks[[#This Row],[_LeafAC]],Tasks[[#This Row],[_LeafAC]]*Tasks[[#This Row],[_LeafCost]]/Tasks[[#This Row],[_LeafTotalCost]])</f>
        <v>0</v>
      </c>
      <c r="DZ201"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201"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201"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201"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20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20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20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20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201" s="45" t="n">
        <f aca="false">IF(NOT(Tasks[[#This Row],[_IsLeaf]]=1),0,MAX(_xlfn.MAXIFS(Tasks[_Row],Tasks[_Pred1UID],Tasks[[#This Row],[UID]]),_xlfn.MAXIFS(Tasks[_Row],Tasks[_Pred2UID],Tasks[[#This Row],[UID]]),_xlfn.MAXIFS(Tasks[_Row],Tasks[_Pred3UID],Tasks[[#This Row],[UID]]),_xlfn.MAXIFS(Tasks[_Row],Tasks[_Pred4UID],Tasks[[#This Row],[UID]])))</f>
        <v>0</v>
      </c>
      <c r="EI201"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201"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201" s="74" t="str">
        <f aca="false">IF(NOT(Tasks[[#This Row],[_IsLeaf]]=1),"",IF(N(Tasks[[#This Row],[Duration]])&lt;=0,Tasks[[#This Row],[_LeafLateFinish]],WORKDAY.INTL(Tasks[[#This Row],[_LeafLateFinish]],-(Tasks[[#This Row],[Duration]]-1),WorkWeek,Holidays)))</f>
        <v/>
      </c>
      <c r="EL20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201" s="73" t="b">
        <f aca="false">AND(Tasks[[#This Row],[_IsLeaf]]=1,Tasks[[#This Row],[_LeafProgress]]&lt;1,N(Tasks[[#This Row],[_LeafTotalSlack]])&lt;=CriticalSlackDays)</f>
        <v>0</v>
      </c>
      <c r="EN201" s="45" t="n">
        <f aca="false">IF(AND(Tasks[[#This Row],[_IsLeaf]]=1,Tasks[[#This Row],[_ConstraintCode]]=1,Tasks[[#This Row],[Mode]]&lt;&gt;"Manual",N(Tasks[[#This Row],[Actual Start]])=0),MAX(0,N(Tasks[[#This Row],[Free Slack]])),0)</f>
        <v>0</v>
      </c>
      <c r="EO201" s="74" t="str">
        <f aca="false">IF(NOT(Tasks[[#This Row],[_IsLeaf]]=1),"",IF(Tasks[[#This Row],[_AlapShift]]=0,Tasks[[#This Row],[_LeafCalcStart]],WORKDAY.INTL(Tasks[[#This Row],[_LeafCalcStart]],Tasks[[#This Row],[_AlapShift]],WorkWeek,Holidays)))</f>
        <v/>
      </c>
      <c r="EP201" s="74" t="str">
        <f aca="false">IF(NOT(Tasks[[#This Row],[_IsLeaf]]=1),"",IF(Tasks[[#This Row],[_AlapShift]]=0,Tasks[[#This Row],[_LeafCalcFinish]],WORKDAY.INTL(Tasks[[#This Row],[_LeafCalcFinish]],Tasks[[#This Row],[_AlapShift]],WorkWeek,Holidays)))</f>
        <v/>
      </c>
      <c r="EQ201" s="74" t="str">
        <f aca="false">IF(NOT(Tasks[[#This Row],[_IsLeaf]]=1),"",IF(Tasks[[#This Row],[_AlapShift]]=0,Tasks[[#This Row],[_LeafFcstStart]],WORKDAY.INTL(Tasks[[#This Row],[_LeafFcstStart]],Tasks[[#This Row],[_AlapShift]],WorkWeek,Holidays)))</f>
        <v/>
      </c>
      <c r="ER201" s="74" t="str">
        <f aca="false">IF(NOT(Tasks[[#This Row],[_IsLeaf]]=1),"",IF(Tasks[[#This Row],[_AlapShift]]=0,Tasks[[#This Row],[_LeafFcstFinish]],WORKDAY.INTL(Tasks[[#This Row],[_LeafFcstFinish]],Tasks[[#This Row],[_AlapShift]],WorkWeek,Holidays)))</f>
        <v/>
      </c>
      <c r="ES201" s="74" t="str">
        <f aca="false">IF(Tasks[[#This Row],[Task Name]]="","",IF(Tasks[[#This Row],[_IsSummary]],MIN(INDEX(Tasks[_ShownCalcStart],Tasks[[#This Row],[_Row]]+1):INDEX(Tasks[_ShownCalcStart],Tasks[[#This Row],[_Row]]+Tasks[[#This Row],[_Descendants]])),Tasks[[#This Row],[_ShownCalcStart]]))</f>
        <v/>
      </c>
      <c r="ET201" s="74" t="str">
        <f aca="false">IF(Tasks[[#This Row],[Task Name]]="","",IF(Tasks[[#This Row],[_IsSummary]],MAX(INDEX(Tasks[_ShownCalcFinish],Tasks[[#This Row],[_Row]]+1):INDEX(Tasks[_ShownCalcFinish],Tasks[[#This Row],[_Row]]+Tasks[[#This Row],[_Descendants]])),Tasks[[#This Row],[_ShownCalcFinish]]))</f>
        <v/>
      </c>
      <c r="EU20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20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20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20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201"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201"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201"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201"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201"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201"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201"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201"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201" s="45" t="n">
        <f aca="false">IF(AND(Tasks[[#This Row],[_IsLeaf]]=1,Tasks[[#This Row],[_LeafTotalWork]]&gt;0),NETWORKDAYS.INTL(ProjectStart,Tasks[[#This Row],[_ShownFcstStart]],WorkWeek,Holidays),0)</f>
        <v>0</v>
      </c>
      <c r="FH201" s="45" t="n">
        <f aca="false">IF(AND(Tasks[[#This Row],[_IsLeaf]]=1,Tasks[[#This Row],[_LeafTotalWork]]&gt;0),MAX(Tasks[[#This Row],[_StartWorkday]],NETWORKDAYS.INTL(ProjectStart,Tasks[[#This Row],[_ShownFcstFinish]],WorkWeek,Holidays)),0)</f>
        <v>0</v>
      </c>
      <c r="FI201" s="45" t="n">
        <f aca="false">IF(AND(Tasks[[#This Row],[_IsLeaf]]=1,Tasks[[#This Row],[_LeafTotalWork]]&gt;0),Tasks[[#This Row],[_LeafWork]]/(Tasks[[#This Row],[_FinishWorkday]]-Tasks[[#This Row],[_StartWorkday]]+1),0)</f>
        <v>0</v>
      </c>
      <c r="FJ201" s="45" t="n">
        <f aca="false">Tasks[[#This Row],[_WorkPerWorkday]]*(Tasks[[#This Row],[_StartWorkday]]-1)</f>
        <v>-0</v>
      </c>
      <c r="FK201" s="45" t="n">
        <f aca="false">IF(Tasks[[#This Row],[_IsLeaf]]=1,MAX(N(Tasks[[#This Row],[Duration]]),0.1),0)</f>
        <v>0</v>
      </c>
      <c r="FL201" s="45" t="n">
        <f aca="false">Tasks[[#This Row],[_WeightDur]]*Tasks[[#This Row],[_LeafProgress]]</f>
        <v>0</v>
      </c>
      <c r="FM20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201" s="45" t="str">
        <f aca="false">IF(AND(Tasks[[#This Row],[_IsLeaf]]=1,N(Tasks[[#This Row],[Duration]])=0,Tasks[[#This Row],[_LeafProgress]]&lt;1),Tasks[[#This Row],[_ShownFcstFinish]]+Tasks[[#This Row],[_Row]]/100000,"")</f>
        <v/>
      </c>
      <c r="FO20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201" s="45" t="n">
        <f aca="false">IF(NOT(Tasks[[#This Row],[_IsLeaf]]=1),0,IF(Tasks[[#This Row],[Baseline Cost]]="",Tasks[[#This Row],[_LeafTotalCost]],N(Tasks[[#This Row],[Baseline Cost]])))</f>
        <v>0</v>
      </c>
      <c r="FQ201" s="45" t="n">
        <f aca="false">Tasks[[#This Row],[_LeafBudget]]*Tasks[[#This Row],[_PlannedPct]]</f>
        <v>0</v>
      </c>
      <c r="FR201" s="45" t="n">
        <f aca="false">Tasks[[#This Row],[_LeafBudget]]*Tasks[[#This Row],[_LeafProgress]]</f>
        <v>0</v>
      </c>
      <c r="FS201" s="45" t="n">
        <f aca="false">IF(NOT(Tasks[[#This Row],[_IsLeaf]]=1),0,IF(Tasks[[#This Row],[Actual Cost]]="",Tasks[[#This Row],[_LeafTotalCost]]*Tasks[[#This Row],[_LeafProgress]],N(Tasks[[#This Row],[Actual Cost]])))</f>
        <v>0</v>
      </c>
      <c r="FT201" s="45" t="str">
        <f aca="false">IF(Tasks[[#This Row],[Task Name]]="","",LEFT(Tasks[[#This Row],[WBS]],FIND(".",Tasks[[#This Row],[WBS]]&amp;".")-1))</f>
        <v/>
      </c>
      <c r="FU201" s="45" t="str">
        <f aca="false">IF(AND(Tasks[[#This Row],[Task Name]]&lt;&gt;"",Tasks[[#This Row],[_Level]]=1),Tasks[[#This Row],[_Row]],"")</f>
        <v/>
      </c>
      <c r="FV201" s="45" t="str">
        <f aca="false">IF(AND(Tasks[[#This Row],[_IsLeaf]]=1,N(Tasks[[#This Row],[Duration]])=0),Tasks[[#This Row],[Planned Finish]]+Tasks[[#This Row],[_Row]]/100000,"")</f>
        <v/>
      </c>
      <c r="FW201" s="45" t="str">
        <f aca="false">IF(AND(Tasks[[#This Row],[_IsLeaf]]=1,Tasks[[#This Row],[_LeafProgress]]&lt;1,OR(N(Tasks[[#This Row],[Finish Var]])&gt;0,Tasks[[#This Row],[Status]]="Late Start")),MAX(0,Tasks[[#This Row],[Finish Var]])+1-Tasks[[#This Row],[_Row]]/1000000,"")</f>
        <v/>
      </c>
      <c r="FX201" s="45" t="str">
        <f aca="false">IF(AND(Tasks[[#This Row],[_IsLeaf]]=1,N(Tasks[[#This Row],[Actual Start]])=0,Tasks[[#This Row],[_ShownFcstStart]]&gt;=StatusDate,Tasks[[#This Row],[_ShownFcstStart]]&lt;=LookaheadEnd),Tasks[[#This Row],[_ShownFcstStart]]+Tasks[[#This Row],[_Row]]/100000,"")</f>
        <v/>
      </c>
      <c r="FY201" s="45" t="str">
        <f aca="false">IF(AND(Tasks[[#This Row],[_IsLeaf]]=1,Tasks[[#This Row],[_LeafProgress]]&lt;1,Tasks[[#This Row],[_ShownFcstFinish]]&gt;=StatusDate,Tasks[[#This Row],[_ShownFcstFinish]]&lt;=LookaheadEnd),Tasks[[#This Row],[_ShownFcstFinish]]+Tasks[[#This Row],[_Row]]/100000,"")</f>
        <v/>
      </c>
      <c r="FZ201" s="45" t="str">
        <f aca="false">IF(Tasks[[#This Row],[_LeafCritical]],Tasks[[#This Row],[_ShownFcstStart]]+Tasks[[#This Row],[_Row]]/100000,"")</f>
        <v/>
      </c>
      <c r="GA201" s="45" t="n">
        <f aca="false">Tasks[[#This Row],[_LeafWork]]*Tasks[[#This Row],[_LeafProgress]]</f>
        <v>0</v>
      </c>
      <c r="GB201" s="74" t="str">
        <f aca="false">IF(AND(Tasks[[#This Row],[_IsLeaf]]=1,Tasks[[#This Row],[_LeafProgress]]&gt;=1),IF(N(Tasks[[#This Row],[Actual Finish]])&gt;0,Tasks[[#This Row],[Actual Finish]],Tasks[[#This Row],[_ShownFcstFinish]]),"")</f>
        <v/>
      </c>
    </row>
    <row r="202" customFormat="false" ht="15" hidden="false" customHeight="false" outlineLevel="0" collapsed="false">
      <c r="A202" s="67" t="str">
        <f aca="false">IF(Tasks[[#This Row],[Task Name]]="","",COUNTA(Tasks[[#Headers],[Task Name]]:Tasks[[#This Row],[Task Name]])-1)</f>
        <v/>
      </c>
      <c r="B202" s="21" t="n">
        <v>197</v>
      </c>
      <c r="C202"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21"/>
      <c r="E202" s="22"/>
      <c r="F202" s="21"/>
      <c r="G202" s="22"/>
      <c r="H202" s="22"/>
      <c r="I202" s="22"/>
      <c r="J202" s="7"/>
      <c r="K202" s="7"/>
      <c r="L202" s="22"/>
      <c r="M202" s="58" t="str">
        <f aca="false">IF(Tasks[[#This Row],[Task Name]]="","",IF(Tasks[[#This Row],[_IsSummary]],MIN(INDEX(Tasks[_ShownFcstStart],Tasks[[#This Row],[_Row]]+1):INDEX(Tasks[_ShownFcstStart],Tasks[[#This Row],[_Row]]+Tasks[[#This Row],[_Descendants]])),Tasks[[#This Row],[_ShownFcstStart]]))</f>
        <v/>
      </c>
      <c r="N202" s="58" t="str">
        <f aca="false">IF(Tasks[[#This Row],[Task Name]]="","",IF(Tasks[[#This Row],[_IsSummary]],MAX(INDEX(Tasks[_ShownFcstFinish],Tasks[[#This Row],[_Row]]+1):INDEX(Tasks[_ShownFcstFinish],Tasks[[#This Row],[_Row]]+Tasks[[#This Row],[_Descendants]])),Tasks[[#This Row],[_ShownFcstFinish]]))</f>
        <v/>
      </c>
      <c r="O202" s="20" t="str">
        <f aca="false">IF(Tasks[[#This Row],[Task Name]]="","",IF(Tasks[[#This Row],[Progress]]&gt;=1,"Complete",IF(OR(N(Tasks[[#This Row],[Actual Start]])&gt;0,Tasks[[#This Row],[Progress]]&gt;0),IF(Tasks[[#This Row],[Finish Var]]&gt;0,"Behind","In Progress"),IF(Tasks[[#This Row],[Planned Start]]&lt;StatusDate,"Late Start","Not Started"))))</f>
        <v/>
      </c>
      <c r="P202" s="20" t="str">
        <f aca="false">IF(Tasks[[#This Row],[Task Name]]="","",IF(IF(Tasks[[#This Row],[_IsSummary]],COUNTIF(INDEX(Tasks[_LeafCritical],Tasks[[#This Row],[_Row]]+1):INDEX(Tasks[_LeafCritical],Tasks[[#This Row],[_Row]]+Tasks[[#This Row],[_Descendants]]),TRUE())&gt;0,Tasks[[#This Row],[_LeafCritical]]),"Yes",""))</f>
        <v/>
      </c>
      <c r="Q202"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202" s="67" t="str">
        <f aca="false">IF(Tasks[[#This Row],[Task Name]]="","",IF(Tasks[[#This Row],[_Level]]&lt;=OutlineShowLevel,"Yes","No"))</f>
        <v/>
      </c>
      <c r="S202" s="7"/>
      <c r="T202" s="21"/>
      <c r="U202" s="22"/>
      <c r="V202" s="7"/>
      <c r="W202" s="67" t="str">
        <f aca="false">IF(Tasks[[#This Row],[Task Name]]="","",IF(Tasks[[#This Row],[Finish]]&gt;=Tasks[[#This Row],[Planned Finish]],NETWORKDAYS.INTL(Tasks[[#This Row],[Planned Finish]],Tasks[[#This Row],[Finish]],WorkWeek,Holidays)-1,1-NETWORKDAYS.INTL(Tasks[[#This Row],[Finish]],Tasks[[#This Row],[Planned Finish]],WorkWeek,Holidays)))</f>
        <v/>
      </c>
      <c r="X202" s="58" t="str">
        <f aca="false">IF(Tasks[[#This Row],[Task Name]]="","",IF(N(Tasks[[#This Row],[Baseline Start]])&gt;0,Tasks[[#This Row],[Baseline Start]],Tasks[[#This Row],[_CalcStart]]))</f>
        <v/>
      </c>
      <c r="Y202" s="58" t="str">
        <f aca="false">IF(Tasks[[#This Row],[Task Name]]="","",IF(N(Tasks[[#This Row],[Baseline Finish]])&gt;0,Tasks[[#This Row],[Baseline Finish]],Tasks[[#This Row],[_CalcFinish]]))</f>
        <v/>
      </c>
      <c r="Z202" s="67" t="str">
        <f aca="false">IF(Tasks[[#This Row],[Task Name]]="","",IF(Tasks[[#This Row],[Start]]&gt;=Tasks[[#This Row],[Planned Start]],NETWORKDAYS.INTL(Tasks[[#This Row],[Planned Start]],Tasks[[#This Row],[Start]],WorkWeek,Holidays)-1,1-NETWORKDAYS.INTL(Tasks[[#This Row],[Start]],Tasks[[#This Row],[Planned Start]],WorkWeek,Holidays)))</f>
        <v/>
      </c>
      <c r="AA202" s="58" t="str">
        <f aca="false">IF(Tasks[[#This Row],[Task Name]]="","",IF(Tasks[[#This Row],[_IsSummary]],MIN(INDEX(Tasks[_LeafLateStart],Tasks[[#This Row],[_Row]]+1):INDEX(Tasks[_LeafLateStart],Tasks[[#This Row],[_Row]]+Tasks[[#This Row],[_Descendants]])),Tasks[[#This Row],[_LeafLateStart]]))</f>
        <v/>
      </c>
      <c r="AB202" s="58" t="str">
        <f aca="false">IF(Tasks[[#This Row],[Task Name]]="","",IF(Tasks[[#This Row],[_IsSummary]],MAX(INDEX(Tasks[_LeafLateFinish],Tasks[[#This Row],[_Row]]+1):INDEX(Tasks[_LeafLateFinish],Tasks[[#This Row],[_Row]]+Tasks[[#This Row],[_Descendants]])),Tasks[[#This Row],[_LeafLateFinish]]))</f>
        <v/>
      </c>
      <c r="AC202" s="67" t="str">
        <f aca="false">IF(Tasks[[#This Row],[Task Name]]="","",IF(Tasks[[#This Row],[_IsSummary]],MIN(INDEX(Tasks[_LeafTotalSlack],Tasks[[#This Row],[_Row]]+1):INDEX(Tasks[_LeafTotalSlack],Tasks[[#This Row],[_Row]]+Tasks[[#This Row],[_Descendants]])),Tasks[[#This Row],[_LeafTotalSlack]]))</f>
        <v/>
      </c>
      <c r="AD202"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202"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202"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202" s="60"/>
      <c r="AH202"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202"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202" s="69" t="str">
        <f aca="false">IF(Tasks[[#This Row],[Task Name]]="","",IF(Tasks[[#This Row],[_IsSummary]],SUM(INDEX(Tasks[_LeafTotalWork],Tasks[[#This Row],[_Row]]+1):INDEX(Tasks[_LeafTotalWork],Tasks[[#This Row],[_Row]]+Tasks[[#This Row],[_Descendants]])),Tasks[[#This Row],[_LeafTotalWork]]))</f>
        <v/>
      </c>
      <c r="AK202"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202" s="70" t="str">
        <f aca="false">IF(Tasks[[#This Row],[Task Name]]="","",IF(Tasks[[#This Row],[_IsSummary]],SUM(INDEX(Tasks[_LeafTotalCost],Tasks[[#This Row],[_Row]]+1):INDEX(Tasks[_LeafTotalCost],Tasks[[#This Row],[_Row]]+Tasks[[#This Row],[_Descendants]])),Tasks[[#This Row],[_LeafTotalCost]]))</f>
        <v/>
      </c>
      <c r="AM202" s="71"/>
      <c r="AN202" s="20" t="str">
        <f aca="false">IF(OR(Tasks[[#This Row],[Task Name]]="",Tasks[[#This Row],[Baseline Duration]]=""),"",Tasks[[#This Row],[BL Source Duration]]-N(Tasks[[#This Row],[Baseline Duration]]))</f>
        <v/>
      </c>
      <c r="AO202" s="69" t="str">
        <f aca="false">IF(OR(Tasks[[#This Row],[Task Name]]="",Tasks[[#This Row],[Baseline Work]]=""),"",Tasks[[#This Row],[Work]]-N(Tasks[[#This Row],[Baseline Work]]))</f>
        <v/>
      </c>
      <c r="AP202" s="70" t="str">
        <f aca="false">IF(OR(Tasks[[#This Row],[Task Name]]="",Tasks[[#This Row],[Baseline Cost]]=""),"",Tasks[[#This Row],[Cost]]-N(Tasks[[#This Row],[Baseline Cost]]))</f>
        <v/>
      </c>
      <c r="AQ202" s="58" t="str">
        <f aca="false">IF(Tasks[[#This Row],[Task Name]]="","",Tasks[[#This Row],[Start]])</f>
        <v/>
      </c>
      <c r="AR202" s="58" t="str">
        <f aca="false">IF(Tasks[[#This Row],[Task Name]]="","",Tasks[[#This Row],[Finish]])</f>
        <v/>
      </c>
      <c r="AS202" s="67" t="str">
        <f aca="false">IF(Tasks[[#This Row],[Task Name]]="","",IF(Tasks[[#This Row],[_IsSummary]],NETWORKDAYS.INTL(Tasks[[#This Row],[Start]],Tasks[[#This Row],[Finish]],WorkWeek,Holidays),N(Tasks[[#This Row],[Duration]])))</f>
        <v/>
      </c>
      <c r="AT202" s="69" t="str">
        <f aca="false">IF(Tasks[[#This Row],[Task Name]]="","",Tasks[[#This Row],[Work]])</f>
        <v/>
      </c>
      <c r="AU202" s="70" t="str">
        <f aca="false">IF(Tasks[[#This Row],[Task Name]]="","",Tasks[[#This Row],[Cost]])</f>
        <v/>
      </c>
      <c r="AV202" s="7"/>
      <c r="AW202" s="7"/>
      <c r="AX202" s="21"/>
      <c r="AY202" s="72"/>
      <c r="AZ202" s="71"/>
      <c r="BA202" s="70" t="str">
        <f aca="false">IF(Tasks[[#This Row],[Task Name]]="","",IF(Tasks[[#This Row],[_IsSummary]],SUM(INDEX(Tasks[_LeafEV],Tasks[[#This Row],[_Row]]+1):INDEX(Tasks[_LeafEV],Tasks[[#This Row],[_Row]]+Tasks[[#This Row],[_Descendants]])),Tasks[[#This Row],[_LeafEV]]))</f>
        <v/>
      </c>
      <c r="BB202" s="70" t="str">
        <f aca="false">IF(Tasks[[#This Row],[Task Name]]="","",IF(Tasks[[#This Row],[_IsSummary]],SUM(INDEX(Tasks[_LeafBudget],Tasks[[#This Row],[_Row]]+1):INDEX(Tasks[_LeafBudget],Tasks[[#This Row],[_Row]]+Tasks[[#This Row],[_Descendants]])),Tasks[[#This Row],[_LeafBudget]]))</f>
        <v/>
      </c>
      <c r="BC202" s="70" t="str">
        <f aca="false">IF(Tasks[[#This Row],[Task Name]]="","",IF(Tasks[[#This Row],[_IsSummary]],SUM(INDEX(Tasks[_LeafPV],Tasks[[#This Row],[_Row]]+1):INDEX(Tasks[_LeafPV],Tasks[[#This Row],[_Row]]+Tasks[[#This Row],[_Descendants]])),Tasks[[#This Row],[_LeafPV]]))</f>
        <v/>
      </c>
      <c r="BD202" s="70" t="str">
        <f aca="false">IF(Tasks[[#This Row],[Task Name]]="","",IF(Tasks[[#This Row],[_IsSummary]],SUM(INDEX(Tasks[_LeafAC],Tasks[[#This Row],[_Row]]+1):INDEX(Tasks[_LeafAC],Tasks[[#This Row],[_Row]]+Tasks[[#This Row],[_Descendants]])),Tasks[[#This Row],[_LeafAC]]))</f>
        <v/>
      </c>
      <c r="BE202" s="45" t="str">
        <f aca="false">IF(Tasks[[#This Row],[Task Name]]="","",MAX(1,N(Tasks[[#This Row],[Level]])))</f>
        <v/>
      </c>
      <c r="BF202" s="45" t="n">
        <f aca="false">ROW()-ROW(Tasks[[#Headers],[ID]])</f>
        <v>197</v>
      </c>
      <c r="BG202" s="45" t="n">
        <f aca="false">IF(OR(Tasks[[#This Row],[Task Name]]="",Tasks[[#This Row],[_Level]]&lt;=1),0,IFERROR(LOOKUP(2,1/(Tasks[[#Headers],[_Level]]:Tasks[[#This Row],[_Level]]=Tasks[[#This Row],[_Level]]-1),ROW(Tasks[[#Headers],[_Level]]:Tasks[[#This Row],[_Level]])),0))</f>
        <v>0</v>
      </c>
      <c r="BH202" s="45" t="n">
        <f aca="false">IFERROR(N(INDEX(Tasks[_Level],Tasks[[#This Row],[_Row]]+1)),0)</f>
        <v>0</v>
      </c>
      <c r="BI202" s="73" t="b">
        <f aca="false">AND(Tasks[[#This Row],[Task Name]]&lt;&gt;"",Tasks[[#This Row],[_NextLevel]]&gt;Tasks[[#This Row],[_Level]])</f>
        <v>0</v>
      </c>
      <c r="BJ202" s="45" t="n">
        <f aca="false">IF(Tasks[[#This Row],[_IsSummary]],COUNTIF(Tasks[WBS],Tasks[[#This Row],[WBS]]&amp;".*"),0)</f>
        <v>0</v>
      </c>
      <c r="BK202" s="45" t="n">
        <f aca="false">IF(AND(Tasks[[#This Row],[Task Name]]&lt;&gt;"",NOT(Tasks[[#This Row],[_IsSummary]])),1,0)</f>
        <v>0</v>
      </c>
      <c r="BL202" s="45" t="n">
        <f aca="false">IF(N(Tasks[[#This Row],[_Pred1UID]])=0,0,IFERROR(MATCH(Tasks[[#This Row],[_Pred1UID]],Tasks[UID],0),-1))</f>
        <v>0</v>
      </c>
      <c r="BM202" s="45" t="n">
        <f aca="false">IF(N(Tasks[[#This Row],[_Pred2UID]])=0,0,IFERROR(MATCH(Tasks[[#This Row],[_Pred2UID]],Tasks[UID],0),-1))</f>
        <v>0</v>
      </c>
      <c r="BN202" s="45" t="n">
        <f aca="false">IF(N(Tasks[[#This Row],[_Pred3UID]])=0,0,IFERROR(MATCH(Tasks[[#This Row],[_Pred3UID]],Tasks[UID],0),-1))</f>
        <v>0</v>
      </c>
      <c r="BO202" s="45" t="n">
        <f aca="false">IF(N(Tasks[[#This Row],[_Pred4UID]])=0,0,IFERROR(MATCH(Tasks[[#This Row],[_Pred4UID]],Tasks[UID],0),-1))</f>
        <v>0</v>
      </c>
      <c r="BP20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202"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202" s="74" t="n">
        <f aca="false">IF(OR(Tasks[[#This Row],[_ConstraintCode]]=2,Tasks[[#This Row],[_ConstraintCode]]=3,Tasks[[#This Row],[_ConstraintCode]]=4,Tasks[[#This Row],[_ConstraintCode]]=6),Tasks[[#This Row],[_ConstraintStart]],0)</f>
        <v>0</v>
      </c>
      <c r="BS202" s="74" t="n">
        <f aca="false">IF(OR(Tasks[[#This Row],[_ConstraintCode]]=2,Tasks[[#This Row],[_ConstraintCode]]=3,Tasks[[#This Row],[_ConstraintCode]]=5,Tasks[[#This Row],[_ConstraintCode]]=7),Tasks[[#This Row],[_ConstraintStart]],2958465)</f>
        <v>2958465</v>
      </c>
      <c r="BT202"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202" s="74" t="str">
        <f aca="false">IF(NOT(Tasks[[#This Row],[_IsLeaf]]=1),"",IF(N(Tasks[[#This Row],[Duration]])&lt;=0,Tasks[[#This Row],[_LeafCalcStart]],WORKDAY.INTL(Tasks[[#This Row],[_LeafCalcStart]],Tasks[[#This Row],[Duration]]-1,WorkWeek,Holidays)))</f>
        <v/>
      </c>
      <c r="BV202"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202"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202" s="45" t="str">
        <f aca="false">IF(Tasks[[#This Row],[Predecessors]]="","",TRIM(MID(SUBSTITUTE(SUBSTITUTE(SUBSTITUTE(UPPER(Tasks[[#This Row],[Predecessors]]),";",",")," ",""),",",REPT(" ",99)),1,99)))</f>
        <v/>
      </c>
      <c r="BY202" s="45" t="str">
        <f aca="false">IF(Tasks[[#This Row],[_Pred1Text]]="","",IFERROR(VALUE(LEFT(Tasks[[#This Row],[_Pred1Text]],MIN(FIND("F",Tasks[[#This Row],[_Pred1Text]]&amp;"F"),FIND("S",Tasks[[#This Row],[_Pred1Text]]&amp;"S"),FIND("+",Tasks[[#This Row],[_Pred1Text]]&amp;"+"),FIND("-",Tasks[[#This Row],[_Pred1Text]]&amp;"-"))-1)),""))</f>
        <v/>
      </c>
      <c r="BZ20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20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202" s="45" t="str">
        <f aca="false">IF(Tasks[[#This Row],[_Pred1Text]]="","",TRIM(MID(SUBSTITUTE(SUBSTITUTE(SUBSTITUTE(UPPER(Tasks[[#This Row],[Predecessors]]),";",",")," ",""),",",REPT(" ",99)),100,99)))</f>
        <v/>
      </c>
      <c r="CC202" s="45" t="str">
        <f aca="false">IF(Tasks[[#This Row],[_Pred2Text]]="","",IFERROR(VALUE(LEFT(Tasks[[#This Row],[_Pred2Text]],MIN(FIND("F",Tasks[[#This Row],[_Pred2Text]]&amp;"F"),FIND("S",Tasks[[#This Row],[_Pred2Text]]&amp;"S"),FIND("+",Tasks[[#This Row],[_Pred2Text]]&amp;"+"),FIND("-",Tasks[[#This Row],[_Pred2Text]]&amp;"-"))-1)),""))</f>
        <v/>
      </c>
      <c r="CD20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20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202" s="45" t="str">
        <f aca="false">IF(Tasks[[#This Row],[_Pred2Text]]="","",TRIM(MID(SUBSTITUTE(SUBSTITUTE(SUBSTITUTE(UPPER(Tasks[[#This Row],[Predecessors]]),";",",")," ",""),",",REPT(" ",99)),199,99)))</f>
        <v/>
      </c>
      <c r="CG202" s="45" t="str">
        <f aca="false">IF(Tasks[[#This Row],[_Pred3Text]]="","",IFERROR(VALUE(LEFT(Tasks[[#This Row],[_Pred3Text]],MIN(FIND("F",Tasks[[#This Row],[_Pred3Text]]&amp;"F"),FIND("S",Tasks[[#This Row],[_Pred3Text]]&amp;"S"),FIND("+",Tasks[[#This Row],[_Pred3Text]]&amp;"+"),FIND("-",Tasks[[#This Row],[_Pred3Text]]&amp;"-"))-1)),""))</f>
        <v/>
      </c>
      <c r="CH20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20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202" s="45" t="str">
        <f aca="false">IF(Tasks[[#This Row],[_Pred3Text]]="","",TRIM(MID(SUBSTITUTE(SUBSTITUTE(SUBSTITUTE(UPPER(Tasks[[#This Row],[Predecessors]]),";",",")," ",""),",",REPT(" ",99)),298,99)))</f>
        <v/>
      </c>
      <c r="CK202" s="45" t="str">
        <f aca="false">IF(Tasks[[#This Row],[_Pred4Text]]="","",IFERROR(VALUE(LEFT(Tasks[[#This Row],[_Pred4Text]],MIN(FIND("F",Tasks[[#This Row],[_Pred4Text]]&amp;"F"),FIND("S",Tasks[[#This Row],[_Pred4Text]]&amp;"S"),FIND("+",Tasks[[#This Row],[_Pred4Text]]&amp;"+"),FIND("-",Tasks[[#This Row],[_Pred4Text]]&amp;"-"))-1)),""))</f>
        <v/>
      </c>
      <c r="CL20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20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202" s="45" t="str">
        <f aca="false">IF(OR(Tasks[[#This Row],[Task Name]]="",Tasks[[#This Row],[Resources]]=""),"",TRIM(MID(SUBSTITUTE(Tasks[[#This Row],[Resources]],",",REPT(" ",99)),1,99)))</f>
        <v/>
      </c>
      <c r="CO202" s="45" t="str">
        <f aca="false">IF(Tasks[[#This Row],[_Res1Text]]="","",TRIM(MID(SUBSTITUTE(Tasks[[#This Row],[Resources]],",",REPT(" ",99)),100,99)))</f>
        <v/>
      </c>
      <c r="CP202" s="45" t="str">
        <f aca="false">IF(Tasks[[#This Row],[_Res2Text]]="","",TRIM(MID(SUBSTITUTE(Tasks[[#This Row],[Resources]],",",REPT(" ",99)),199,99)))</f>
        <v/>
      </c>
      <c r="CQ202" s="45" t="str">
        <f aca="false">IF(Tasks[[#This Row],[_Res3Text]]="","",TRIM(MID(SUBSTITUTE(Tasks[[#This Row],[Resources]],",",REPT(" ",99)),298,99)))</f>
        <v/>
      </c>
      <c r="CR202"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20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2" s="45" t="n">
        <f aca="false">IF(NOT(Tasks[[#This Row],[_IsLeaf]]=1),0,(Tasks[[#This Row],[_Resource1]]&lt;&gt;"")+(Tasks[[#This Row],[_Res2]]&lt;&gt;"")+(Tasks[[#This Row],[_Res3]]&lt;&gt;"")+(Tasks[[#This Row],[_Res4]]&lt;&gt;""))</f>
        <v>0</v>
      </c>
      <c r="CU202"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20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2" s="45" t="n">
        <f aca="false">IF(OR(NOT(Tasks[[#This Row],[_IsLeaf]]=1),Tasks[[#This Row],[_Res2]]=""),0,IF(ISNA(MATCH(Tasks[[#This Row],[_Res2]],res_Name,0)),0,N(Tasks[[#This Row],[Duration]])*HoursPerDay*IF(Tasks[[#This Row],[_Res2Units]]="",DefaultUnits,Tasks[[#This Row],[_Res2Units]])))</f>
        <v>0</v>
      </c>
      <c r="CX202" s="45" t="n">
        <f aca="false">IF(Tasks[[#This Row],[_Res2Work]]=0,0,Tasks[[#This Row],[_Res2Work]]*IFERROR(INDEX(res_Rate,MATCH(Tasks[[#This Row],[_Res2]],res_Name,0)),0))</f>
        <v>0</v>
      </c>
      <c r="CY202" s="45" t="n">
        <f aca="false">IF(AND(AND(Tasks[[#This Row],[_IsLeaf]]=1,Tasks[[#This Row],[_LeafTotalWork]]&gt;0),Tasks[[#This Row],[_Res2Work]]&gt;0),Tasks[[#This Row],[_Res2Work]]/(Tasks[[#This Row],[_FinishWorkday]]-Tasks[[#This Row],[_StartWorkday]]+1),0)</f>
        <v>0</v>
      </c>
      <c r="CZ202" s="45" t="n">
        <f aca="false">Tasks[[#This Row],[_Res2WorkPerWD]]*MAX(0,Tasks[[#This Row],[_StartWorkday]]-1)</f>
        <v>0</v>
      </c>
      <c r="DA202" s="45" t="n">
        <f aca="false">Tasks[[#This Row],[_Res2Work]]*Tasks[[#This Row],[_LeafProgress]]</f>
        <v>0</v>
      </c>
      <c r="DB202" s="45" t="n">
        <f aca="false">IF(Tasks[[#This Row],[_LeafTotalCost]]=0,0,Tasks[[#This Row],[_LeafAC]]*Tasks[[#This Row],[_Res2Cost]]/Tasks[[#This Row],[_LeafTotalCost]])</f>
        <v>0</v>
      </c>
      <c r="DC202"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20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202" s="45" t="n">
        <f aca="false">IF(OR(NOT(Tasks[[#This Row],[_IsLeaf]]=1),Tasks[[#This Row],[_Res3]]=""),0,IF(ISNA(MATCH(Tasks[[#This Row],[_Res3]],res_Name,0)),0,N(Tasks[[#This Row],[Duration]])*HoursPerDay*IF(Tasks[[#This Row],[_Res3Units]]="",DefaultUnits,Tasks[[#This Row],[_Res3Units]])))</f>
        <v>0</v>
      </c>
      <c r="DF202" s="45" t="n">
        <f aca="false">IF(Tasks[[#This Row],[_Res3Work]]=0,0,Tasks[[#This Row],[_Res3Work]]*IFERROR(INDEX(res_Rate,MATCH(Tasks[[#This Row],[_Res3]],res_Name,0)),0))</f>
        <v>0</v>
      </c>
      <c r="DG202" s="45" t="n">
        <f aca="false">IF(AND(AND(Tasks[[#This Row],[_IsLeaf]]=1,Tasks[[#This Row],[_LeafTotalWork]]&gt;0),Tasks[[#This Row],[_Res3Work]]&gt;0),Tasks[[#This Row],[_Res3Work]]/(Tasks[[#This Row],[_FinishWorkday]]-Tasks[[#This Row],[_StartWorkday]]+1),0)</f>
        <v>0</v>
      </c>
      <c r="DH202" s="45" t="n">
        <f aca="false">Tasks[[#This Row],[_Res3WorkPerWD]]*MAX(0,Tasks[[#This Row],[_StartWorkday]]-1)</f>
        <v>0</v>
      </c>
      <c r="DI202" s="45" t="n">
        <f aca="false">Tasks[[#This Row],[_Res3Work]]*Tasks[[#This Row],[_LeafProgress]]</f>
        <v>0</v>
      </c>
      <c r="DJ202" s="45" t="n">
        <f aca="false">IF(Tasks[[#This Row],[_LeafTotalCost]]=0,0,Tasks[[#This Row],[_LeafAC]]*Tasks[[#This Row],[_Res3Cost]]/Tasks[[#This Row],[_LeafTotalCost]])</f>
        <v>0</v>
      </c>
      <c r="DK202"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20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202" s="45" t="n">
        <f aca="false">IF(OR(NOT(Tasks[[#This Row],[_IsLeaf]]=1),Tasks[[#This Row],[_Res4]]=""),0,IF(ISNA(MATCH(Tasks[[#This Row],[_Res4]],res_Name,0)),0,N(Tasks[[#This Row],[Duration]])*HoursPerDay*IF(Tasks[[#This Row],[_Res4Units]]="",DefaultUnits,Tasks[[#This Row],[_Res4Units]])))</f>
        <v>0</v>
      </c>
      <c r="DN202" s="45" t="n">
        <f aca="false">IF(Tasks[[#This Row],[_Res4Work]]=0,0,Tasks[[#This Row],[_Res4Work]]*IFERROR(INDEX(res_Rate,MATCH(Tasks[[#This Row],[_Res4]],res_Name,0)),0))</f>
        <v>0</v>
      </c>
      <c r="DO202" s="45" t="n">
        <f aca="false">IF(AND(AND(Tasks[[#This Row],[_IsLeaf]]=1,Tasks[[#This Row],[_LeafTotalWork]]&gt;0),Tasks[[#This Row],[_Res4Work]]&gt;0),Tasks[[#This Row],[_Res4Work]]/(Tasks[[#This Row],[_FinishWorkday]]-Tasks[[#This Row],[_StartWorkday]]+1),0)</f>
        <v>0</v>
      </c>
      <c r="DP202" s="45" t="n">
        <f aca="false">Tasks[[#This Row],[_Res4WorkPerWD]]*MAX(0,Tasks[[#This Row],[_StartWorkday]]-1)</f>
        <v>0</v>
      </c>
      <c r="DQ202" s="45" t="n">
        <f aca="false">Tasks[[#This Row],[_Res4Work]]*Tasks[[#This Row],[_LeafProgress]]</f>
        <v>0</v>
      </c>
      <c r="DR202" s="45" t="n">
        <f aca="false">IF(Tasks[[#This Row],[_LeafTotalCost]]=0,0,Tasks[[#This Row],[_LeafAC]]*Tasks[[#This Row],[_Res4Cost]]/Tasks[[#This Row],[_LeafTotalCost]])</f>
        <v>0</v>
      </c>
      <c r="DS202" s="45" t="n">
        <f aca="false">IF(ISNUMBER(Tasks[[#This Row],[% Complete]]),Tasks[[#This Row],[% Complete]],IF(Tasks[[#This Row],[Stage]]="",0,IFERROR(INDEX(stg_Pct,MATCH(Tasks[[#This Row],[Stage]],stg_Name,0)),0)))</f>
        <v>0</v>
      </c>
      <c r="DT202" s="45" t="n">
        <f aca="false">IF(NOT(Tasks[[#This Row],[_IsLeaf]]=1),0,IF(N(Tasks[[#This Row],[Actual Finish]])&gt;0,1,MIN(1,Tasks[[#This Row],[_Pct]])))</f>
        <v>0</v>
      </c>
      <c r="DU202" s="45" t="n">
        <f aca="false">IF(OR(NOT(Tasks[[#This Row],[_IsLeaf]]=1),Tasks[[#This Row],[_Resource1]]=""),0,IF(ISNA(MATCH(Tasks[[#This Row],[_Resource1]],res_Name,0)),0,N(Tasks[[#This Row],[Duration]])*HoursPerDay*IF(Tasks[[#This Row],[_Units1]]="",DefaultUnits,Tasks[[#This Row],[_Units1]])))</f>
        <v>0</v>
      </c>
      <c r="DV202" s="45" t="n">
        <f aca="false">IF(Tasks[[#This Row],[_LeafWork]]=0,0,Tasks[[#This Row],[_LeafWork]]*IFERROR(INDEX(res_Rate,MATCH(Tasks[[#This Row],[_Resource1]],res_Name,0)),0))</f>
        <v>0</v>
      </c>
      <c r="DW202" s="45" t="n">
        <f aca="false">Tasks[[#This Row],[_LeafWork]]+Tasks[[#This Row],[_Res2Work]]+Tasks[[#This Row],[_Res3Work]]+Tasks[[#This Row],[_Res4Work]]</f>
        <v>0</v>
      </c>
      <c r="DX202" s="45" t="n">
        <f aca="false">Tasks[[#This Row],[_LeafCost]]+Tasks[[#This Row],[_Res2Cost]]+Tasks[[#This Row],[_Res3Cost]]+Tasks[[#This Row],[_Res4Cost]]</f>
        <v>0</v>
      </c>
      <c r="DY202" s="45" t="n">
        <f aca="false">IF(Tasks[[#This Row],[_LeafTotalCost]]=0,Tasks[[#This Row],[_LeafAC]],Tasks[[#This Row],[_LeafAC]]*Tasks[[#This Row],[_LeafCost]]/Tasks[[#This Row],[_LeafTotalCost]])</f>
        <v>0</v>
      </c>
      <c r="DZ202"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202"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202"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202"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20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20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20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20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202" s="45" t="n">
        <f aca="false">IF(NOT(Tasks[[#This Row],[_IsLeaf]]=1),0,MAX(_xlfn.MAXIFS(Tasks[_Row],Tasks[_Pred1UID],Tasks[[#This Row],[UID]]),_xlfn.MAXIFS(Tasks[_Row],Tasks[_Pred2UID],Tasks[[#This Row],[UID]]),_xlfn.MAXIFS(Tasks[_Row],Tasks[_Pred3UID],Tasks[[#This Row],[UID]]),_xlfn.MAXIFS(Tasks[_Row],Tasks[_Pred4UID],Tasks[[#This Row],[UID]])))</f>
        <v>0</v>
      </c>
      <c r="EI202"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202"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202" s="74" t="str">
        <f aca="false">IF(NOT(Tasks[[#This Row],[_IsLeaf]]=1),"",IF(N(Tasks[[#This Row],[Duration]])&lt;=0,Tasks[[#This Row],[_LeafLateFinish]],WORKDAY.INTL(Tasks[[#This Row],[_LeafLateFinish]],-(Tasks[[#This Row],[Duration]]-1),WorkWeek,Holidays)))</f>
        <v/>
      </c>
      <c r="EL20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202" s="73" t="b">
        <f aca="false">AND(Tasks[[#This Row],[_IsLeaf]]=1,Tasks[[#This Row],[_LeafProgress]]&lt;1,N(Tasks[[#This Row],[_LeafTotalSlack]])&lt;=CriticalSlackDays)</f>
        <v>0</v>
      </c>
      <c r="EN202" s="45" t="n">
        <f aca="false">IF(AND(Tasks[[#This Row],[_IsLeaf]]=1,Tasks[[#This Row],[_ConstraintCode]]=1,Tasks[[#This Row],[Mode]]&lt;&gt;"Manual",N(Tasks[[#This Row],[Actual Start]])=0),MAX(0,N(Tasks[[#This Row],[Free Slack]])),0)</f>
        <v>0</v>
      </c>
      <c r="EO202" s="74" t="str">
        <f aca="false">IF(NOT(Tasks[[#This Row],[_IsLeaf]]=1),"",IF(Tasks[[#This Row],[_AlapShift]]=0,Tasks[[#This Row],[_LeafCalcStart]],WORKDAY.INTL(Tasks[[#This Row],[_LeafCalcStart]],Tasks[[#This Row],[_AlapShift]],WorkWeek,Holidays)))</f>
        <v/>
      </c>
      <c r="EP202" s="74" t="str">
        <f aca="false">IF(NOT(Tasks[[#This Row],[_IsLeaf]]=1),"",IF(Tasks[[#This Row],[_AlapShift]]=0,Tasks[[#This Row],[_LeafCalcFinish]],WORKDAY.INTL(Tasks[[#This Row],[_LeafCalcFinish]],Tasks[[#This Row],[_AlapShift]],WorkWeek,Holidays)))</f>
        <v/>
      </c>
      <c r="EQ202" s="74" t="str">
        <f aca="false">IF(NOT(Tasks[[#This Row],[_IsLeaf]]=1),"",IF(Tasks[[#This Row],[_AlapShift]]=0,Tasks[[#This Row],[_LeafFcstStart]],WORKDAY.INTL(Tasks[[#This Row],[_LeafFcstStart]],Tasks[[#This Row],[_AlapShift]],WorkWeek,Holidays)))</f>
        <v/>
      </c>
      <c r="ER202" s="74" t="str">
        <f aca="false">IF(NOT(Tasks[[#This Row],[_IsLeaf]]=1),"",IF(Tasks[[#This Row],[_AlapShift]]=0,Tasks[[#This Row],[_LeafFcstFinish]],WORKDAY.INTL(Tasks[[#This Row],[_LeafFcstFinish]],Tasks[[#This Row],[_AlapShift]],WorkWeek,Holidays)))</f>
        <v/>
      </c>
      <c r="ES202" s="74" t="str">
        <f aca="false">IF(Tasks[[#This Row],[Task Name]]="","",IF(Tasks[[#This Row],[_IsSummary]],MIN(INDEX(Tasks[_ShownCalcStart],Tasks[[#This Row],[_Row]]+1):INDEX(Tasks[_ShownCalcStart],Tasks[[#This Row],[_Row]]+Tasks[[#This Row],[_Descendants]])),Tasks[[#This Row],[_ShownCalcStart]]))</f>
        <v/>
      </c>
      <c r="ET202" s="74" t="str">
        <f aca="false">IF(Tasks[[#This Row],[Task Name]]="","",IF(Tasks[[#This Row],[_IsSummary]],MAX(INDEX(Tasks[_ShownCalcFinish],Tasks[[#This Row],[_Row]]+1):INDEX(Tasks[_ShownCalcFinish],Tasks[[#This Row],[_Row]]+Tasks[[#This Row],[_Descendants]])),Tasks[[#This Row],[_ShownCalcFinish]]))</f>
        <v/>
      </c>
      <c r="EU20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20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20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20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202"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202"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202"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202"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202"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202"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202"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202"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202" s="45" t="n">
        <f aca="false">IF(AND(Tasks[[#This Row],[_IsLeaf]]=1,Tasks[[#This Row],[_LeafTotalWork]]&gt;0),NETWORKDAYS.INTL(ProjectStart,Tasks[[#This Row],[_ShownFcstStart]],WorkWeek,Holidays),0)</f>
        <v>0</v>
      </c>
      <c r="FH202" s="45" t="n">
        <f aca="false">IF(AND(Tasks[[#This Row],[_IsLeaf]]=1,Tasks[[#This Row],[_LeafTotalWork]]&gt;0),MAX(Tasks[[#This Row],[_StartWorkday]],NETWORKDAYS.INTL(ProjectStart,Tasks[[#This Row],[_ShownFcstFinish]],WorkWeek,Holidays)),0)</f>
        <v>0</v>
      </c>
      <c r="FI202" s="45" t="n">
        <f aca="false">IF(AND(Tasks[[#This Row],[_IsLeaf]]=1,Tasks[[#This Row],[_LeafTotalWork]]&gt;0),Tasks[[#This Row],[_LeafWork]]/(Tasks[[#This Row],[_FinishWorkday]]-Tasks[[#This Row],[_StartWorkday]]+1),0)</f>
        <v>0</v>
      </c>
      <c r="FJ202" s="45" t="n">
        <f aca="false">Tasks[[#This Row],[_WorkPerWorkday]]*(Tasks[[#This Row],[_StartWorkday]]-1)</f>
        <v>-0</v>
      </c>
      <c r="FK202" s="45" t="n">
        <f aca="false">IF(Tasks[[#This Row],[_IsLeaf]]=1,MAX(N(Tasks[[#This Row],[Duration]]),0.1),0)</f>
        <v>0</v>
      </c>
      <c r="FL202" s="45" t="n">
        <f aca="false">Tasks[[#This Row],[_WeightDur]]*Tasks[[#This Row],[_LeafProgress]]</f>
        <v>0</v>
      </c>
      <c r="FM20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202" s="45" t="str">
        <f aca="false">IF(AND(Tasks[[#This Row],[_IsLeaf]]=1,N(Tasks[[#This Row],[Duration]])=0,Tasks[[#This Row],[_LeafProgress]]&lt;1),Tasks[[#This Row],[_ShownFcstFinish]]+Tasks[[#This Row],[_Row]]/100000,"")</f>
        <v/>
      </c>
      <c r="FO20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202" s="45" t="n">
        <f aca="false">IF(NOT(Tasks[[#This Row],[_IsLeaf]]=1),0,IF(Tasks[[#This Row],[Baseline Cost]]="",Tasks[[#This Row],[_LeafTotalCost]],N(Tasks[[#This Row],[Baseline Cost]])))</f>
        <v>0</v>
      </c>
      <c r="FQ202" s="45" t="n">
        <f aca="false">Tasks[[#This Row],[_LeafBudget]]*Tasks[[#This Row],[_PlannedPct]]</f>
        <v>0</v>
      </c>
      <c r="FR202" s="45" t="n">
        <f aca="false">Tasks[[#This Row],[_LeafBudget]]*Tasks[[#This Row],[_LeafProgress]]</f>
        <v>0</v>
      </c>
      <c r="FS202" s="45" t="n">
        <f aca="false">IF(NOT(Tasks[[#This Row],[_IsLeaf]]=1),0,IF(Tasks[[#This Row],[Actual Cost]]="",Tasks[[#This Row],[_LeafTotalCost]]*Tasks[[#This Row],[_LeafProgress]],N(Tasks[[#This Row],[Actual Cost]])))</f>
        <v>0</v>
      </c>
      <c r="FT202" s="45" t="str">
        <f aca="false">IF(Tasks[[#This Row],[Task Name]]="","",LEFT(Tasks[[#This Row],[WBS]],FIND(".",Tasks[[#This Row],[WBS]]&amp;".")-1))</f>
        <v/>
      </c>
      <c r="FU202" s="45" t="str">
        <f aca="false">IF(AND(Tasks[[#This Row],[Task Name]]&lt;&gt;"",Tasks[[#This Row],[_Level]]=1),Tasks[[#This Row],[_Row]],"")</f>
        <v/>
      </c>
      <c r="FV202" s="45" t="str">
        <f aca="false">IF(AND(Tasks[[#This Row],[_IsLeaf]]=1,N(Tasks[[#This Row],[Duration]])=0),Tasks[[#This Row],[Planned Finish]]+Tasks[[#This Row],[_Row]]/100000,"")</f>
        <v/>
      </c>
      <c r="FW202" s="45" t="str">
        <f aca="false">IF(AND(Tasks[[#This Row],[_IsLeaf]]=1,Tasks[[#This Row],[_LeafProgress]]&lt;1,OR(N(Tasks[[#This Row],[Finish Var]])&gt;0,Tasks[[#This Row],[Status]]="Late Start")),MAX(0,Tasks[[#This Row],[Finish Var]])+1-Tasks[[#This Row],[_Row]]/1000000,"")</f>
        <v/>
      </c>
      <c r="FX202" s="45" t="str">
        <f aca="false">IF(AND(Tasks[[#This Row],[_IsLeaf]]=1,N(Tasks[[#This Row],[Actual Start]])=0,Tasks[[#This Row],[_ShownFcstStart]]&gt;=StatusDate,Tasks[[#This Row],[_ShownFcstStart]]&lt;=LookaheadEnd),Tasks[[#This Row],[_ShownFcstStart]]+Tasks[[#This Row],[_Row]]/100000,"")</f>
        <v/>
      </c>
      <c r="FY202" s="45" t="str">
        <f aca="false">IF(AND(Tasks[[#This Row],[_IsLeaf]]=1,Tasks[[#This Row],[_LeafProgress]]&lt;1,Tasks[[#This Row],[_ShownFcstFinish]]&gt;=StatusDate,Tasks[[#This Row],[_ShownFcstFinish]]&lt;=LookaheadEnd),Tasks[[#This Row],[_ShownFcstFinish]]+Tasks[[#This Row],[_Row]]/100000,"")</f>
        <v/>
      </c>
      <c r="FZ202" s="45" t="str">
        <f aca="false">IF(Tasks[[#This Row],[_LeafCritical]],Tasks[[#This Row],[_ShownFcstStart]]+Tasks[[#This Row],[_Row]]/100000,"")</f>
        <v/>
      </c>
      <c r="GA202" s="45" t="n">
        <f aca="false">Tasks[[#This Row],[_LeafWork]]*Tasks[[#This Row],[_LeafProgress]]</f>
        <v>0</v>
      </c>
      <c r="GB202" s="74" t="str">
        <f aca="false">IF(AND(Tasks[[#This Row],[_IsLeaf]]=1,Tasks[[#This Row],[_LeafProgress]]&gt;=1),IF(N(Tasks[[#This Row],[Actual Finish]])&gt;0,Tasks[[#This Row],[Actual Finish]],Tasks[[#This Row],[_ShownFcstFinish]]),"")</f>
        <v/>
      </c>
    </row>
    <row r="203" customFormat="false" ht="15" hidden="false" customHeight="false" outlineLevel="0" collapsed="false">
      <c r="A203" s="67" t="str">
        <f aca="false">IF(Tasks[[#This Row],[Task Name]]="","",COUNTA(Tasks[[#Headers],[Task Name]]:Tasks[[#This Row],[Task Name]])-1)</f>
        <v/>
      </c>
      <c r="B203" s="21" t="n">
        <v>198</v>
      </c>
      <c r="C203"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21"/>
      <c r="E203" s="22"/>
      <c r="F203" s="21"/>
      <c r="G203" s="22"/>
      <c r="H203" s="22"/>
      <c r="I203" s="22"/>
      <c r="J203" s="7"/>
      <c r="K203" s="7"/>
      <c r="L203" s="22"/>
      <c r="M203" s="58" t="str">
        <f aca="false">IF(Tasks[[#This Row],[Task Name]]="","",IF(Tasks[[#This Row],[_IsSummary]],MIN(INDEX(Tasks[_ShownFcstStart],Tasks[[#This Row],[_Row]]+1):INDEX(Tasks[_ShownFcstStart],Tasks[[#This Row],[_Row]]+Tasks[[#This Row],[_Descendants]])),Tasks[[#This Row],[_ShownFcstStart]]))</f>
        <v/>
      </c>
      <c r="N203" s="58" t="str">
        <f aca="false">IF(Tasks[[#This Row],[Task Name]]="","",IF(Tasks[[#This Row],[_IsSummary]],MAX(INDEX(Tasks[_ShownFcstFinish],Tasks[[#This Row],[_Row]]+1):INDEX(Tasks[_ShownFcstFinish],Tasks[[#This Row],[_Row]]+Tasks[[#This Row],[_Descendants]])),Tasks[[#This Row],[_ShownFcstFinish]]))</f>
        <v/>
      </c>
      <c r="O203" s="20" t="str">
        <f aca="false">IF(Tasks[[#This Row],[Task Name]]="","",IF(Tasks[[#This Row],[Progress]]&gt;=1,"Complete",IF(OR(N(Tasks[[#This Row],[Actual Start]])&gt;0,Tasks[[#This Row],[Progress]]&gt;0),IF(Tasks[[#This Row],[Finish Var]]&gt;0,"Behind","In Progress"),IF(Tasks[[#This Row],[Planned Start]]&lt;StatusDate,"Late Start","Not Started"))))</f>
        <v/>
      </c>
      <c r="P203" s="20" t="str">
        <f aca="false">IF(Tasks[[#This Row],[Task Name]]="","",IF(IF(Tasks[[#This Row],[_IsSummary]],COUNTIF(INDEX(Tasks[_LeafCritical],Tasks[[#This Row],[_Row]]+1):INDEX(Tasks[_LeafCritical],Tasks[[#This Row],[_Row]]+Tasks[[#This Row],[_Descendants]]),TRUE())&gt;0,Tasks[[#This Row],[_LeafCritical]]),"Yes",""))</f>
        <v/>
      </c>
      <c r="Q203"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203" s="67" t="str">
        <f aca="false">IF(Tasks[[#This Row],[Task Name]]="","",IF(Tasks[[#This Row],[_Level]]&lt;=OutlineShowLevel,"Yes","No"))</f>
        <v/>
      </c>
      <c r="S203" s="7"/>
      <c r="T203" s="21"/>
      <c r="U203" s="22"/>
      <c r="V203" s="7"/>
      <c r="W203" s="67" t="str">
        <f aca="false">IF(Tasks[[#This Row],[Task Name]]="","",IF(Tasks[[#This Row],[Finish]]&gt;=Tasks[[#This Row],[Planned Finish]],NETWORKDAYS.INTL(Tasks[[#This Row],[Planned Finish]],Tasks[[#This Row],[Finish]],WorkWeek,Holidays)-1,1-NETWORKDAYS.INTL(Tasks[[#This Row],[Finish]],Tasks[[#This Row],[Planned Finish]],WorkWeek,Holidays)))</f>
        <v/>
      </c>
      <c r="X203" s="58" t="str">
        <f aca="false">IF(Tasks[[#This Row],[Task Name]]="","",IF(N(Tasks[[#This Row],[Baseline Start]])&gt;0,Tasks[[#This Row],[Baseline Start]],Tasks[[#This Row],[_CalcStart]]))</f>
        <v/>
      </c>
      <c r="Y203" s="58" t="str">
        <f aca="false">IF(Tasks[[#This Row],[Task Name]]="","",IF(N(Tasks[[#This Row],[Baseline Finish]])&gt;0,Tasks[[#This Row],[Baseline Finish]],Tasks[[#This Row],[_CalcFinish]]))</f>
        <v/>
      </c>
      <c r="Z203" s="67" t="str">
        <f aca="false">IF(Tasks[[#This Row],[Task Name]]="","",IF(Tasks[[#This Row],[Start]]&gt;=Tasks[[#This Row],[Planned Start]],NETWORKDAYS.INTL(Tasks[[#This Row],[Planned Start]],Tasks[[#This Row],[Start]],WorkWeek,Holidays)-1,1-NETWORKDAYS.INTL(Tasks[[#This Row],[Start]],Tasks[[#This Row],[Planned Start]],WorkWeek,Holidays)))</f>
        <v/>
      </c>
      <c r="AA203" s="58" t="str">
        <f aca="false">IF(Tasks[[#This Row],[Task Name]]="","",IF(Tasks[[#This Row],[_IsSummary]],MIN(INDEX(Tasks[_LeafLateStart],Tasks[[#This Row],[_Row]]+1):INDEX(Tasks[_LeafLateStart],Tasks[[#This Row],[_Row]]+Tasks[[#This Row],[_Descendants]])),Tasks[[#This Row],[_LeafLateStart]]))</f>
        <v/>
      </c>
      <c r="AB203" s="58" t="str">
        <f aca="false">IF(Tasks[[#This Row],[Task Name]]="","",IF(Tasks[[#This Row],[_IsSummary]],MAX(INDEX(Tasks[_LeafLateFinish],Tasks[[#This Row],[_Row]]+1):INDEX(Tasks[_LeafLateFinish],Tasks[[#This Row],[_Row]]+Tasks[[#This Row],[_Descendants]])),Tasks[[#This Row],[_LeafLateFinish]]))</f>
        <v/>
      </c>
      <c r="AC203" s="67" t="str">
        <f aca="false">IF(Tasks[[#This Row],[Task Name]]="","",IF(Tasks[[#This Row],[_IsSummary]],MIN(INDEX(Tasks[_LeafTotalSlack],Tasks[[#This Row],[_Row]]+1):INDEX(Tasks[_LeafTotalSlack],Tasks[[#This Row],[_Row]]+Tasks[[#This Row],[_Descendants]])),Tasks[[#This Row],[_LeafTotalSlack]]))</f>
        <v/>
      </c>
      <c r="AD203"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203"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203"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203" s="60"/>
      <c r="AH203"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203"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203" s="69" t="str">
        <f aca="false">IF(Tasks[[#This Row],[Task Name]]="","",IF(Tasks[[#This Row],[_IsSummary]],SUM(INDEX(Tasks[_LeafTotalWork],Tasks[[#This Row],[_Row]]+1):INDEX(Tasks[_LeafTotalWork],Tasks[[#This Row],[_Row]]+Tasks[[#This Row],[_Descendants]])),Tasks[[#This Row],[_LeafTotalWork]]))</f>
        <v/>
      </c>
      <c r="AK203"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203" s="70" t="str">
        <f aca="false">IF(Tasks[[#This Row],[Task Name]]="","",IF(Tasks[[#This Row],[_IsSummary]],SUM(INDEX(Tasks[_LeafTotalCost],Tasks[[#This Row],[_Row]]+1):INDEX(Tasks[_LeafTotalCost],Tasks[[#This Row],[_Row]]+Tasks[[#This Row],[_Descendants]])),Tasks[[#This Row],[_LeafTotalCost]]))</f>
        <v/>
      </c>
      <c r="AM203" s="71"/>
      <c r="AN203" s="20" t="str">
        <f aca="false">IF(OR(Tasks[[#This Row],[Task Name]]="",Tasks[[#This Row],[Baseline Duration]]=""),"",Tasks[[#This Row],[BL Source Duration]]-N(Tasks[[#This Row],[Baseline Duration]]))</f>
        <v/>
      </c>
      <c r="AO203" s="69" t="str">
        <f aca="false">IF(OR(Tasks[[#This Row],[Task Name]]="",Tasks[[#This Row],[Baseline Work]]=""),"",Tasks[[#This Row],[Work]]-N(Tasks[[#This Row],[Baseline Work]]))</f>
        <v/>
      </c>
      <c r="AP203" s="70" t="str">
        <f aca="false">IF(OR(Tasks[[#This Row],[Task Name]]="",Tasks[[#This Row],[Baseline Cost]]=""),"",Tasks[[#This Row],[Cost]]-N(Tasks[[#This Row],[Baseline Cost]]))</f>
        <v/>
      </c>
      <c r="AQ203" s="58" t="str">
        <f aca="false">IF(Tasks[[#This Row],[Task Name]]="","",Tasks[[#This Row],[Start]])</f>
        <v/>
      </c>
      <c r="AR203" s="58" t="str">
        <f aca="false">IF(Tasks[[#This Row],[Task Name]]="","",Tasks[[#This Row],[Finish]])</f>
        <v/>
      </c>
      <c r="AS203" s="67" t="str">
        <f aca="false">IF(Tasks[[#This Row],[Task Name]]="","",IF(Tasks[[#This Row],[_IsSummary]],NETWORKDAYS.INTL(Tasks[[#This Row],[Start]],Tasks[[#This Row],[Finish]],WorkWeek,Holidays),N(Tasks[[#This Row],[Duration]])))</f>
        <v/>
      </c>
      <c r="AT203" s="69" t="str">
        <f aca="false">IF(Tasks[[#This Row],[Task Name]]="","",Tasks[[#This Row],[Work]])</f>
        <v/>
      </c>
      <c r="AU203" s="70" t="str">
        <f aca="false">IF(Tasks[[#This Row],[Task Name]]="","",Tasks[[#This Row],[Cost]])</f>
        <v/>
      </c>
      <c r="AV203" s="7"/>
      <c r="AW203" s="7"/>
      <c r="AX203" s="21"/>
      <c r="AY203" s="72"/>
      <c r="AZ203" s="71"/>
      <c r="BA203" s="70" t="str">
        <f aca="false">IF(Tasks[[#This Row],[Task Name]]="","",IF(Tasks[[#This Row],[_IsSummary]],SUM(INDEX(Tasks[_LeafEV],Tasks[[#This Row],[_Row]]+1):INDEX(Tasks[_LeafEV],Tasks[[#This Row],[_Row]]+Tasks[[#This Row],[_Descendants]])),Tasks[[#This Row],[_LeafEV]]))</f>
        <v/>
      </c>
      <c r="BB203" s="70" t="str">
        <f aca="false">IF(Tasks[[#This Row],[Task Name]]="","",IF(Tasks[[#This Row],[_IsSummary]],SUM(INDEX(Tasks[_LeafBudget],Tasks[[#This Row],[_Row]]+1):INDEX(Tasks[_LeafBudget],Tasks[[#This Row],[_Row]]+Tasks[[#This Row],[_Descendants]])),Tasks[[#This Row],[_LeafBudget]]))</f>
        <v/>
      </c>
      <c r="BC203" s="70" t="str">
        <f aca="false">IF(Tasks[[#This Row],[Task Name]]="","",IF(Tasks[[#This Row],[_IsSummary]],SUM(INDEX(Tasks[_LeafPV],Tasks[[#This Row],[_Row]]+1):INDEX(Tasks[_LeafPV],Tasks[[#This Row],[_Row]]+Tasks[[#This Row],[_Descendants]])),Tasks[[#This Row],[_LeafPV]]))</f>
        <v/>
      </c>
      <c r="BD203" s="70" t="str">
        <f aca="false">IF(Tasks[[#This Row],[Task Name]]="","",IF(Tasks[[#This Row],[_IsSummary]],SUM(INDEX(Tasks[_LeafAC],Tasks[[#This Row],[_Row]]+1):INDEX(Tasks[_LeafAC],Tasks[[#This Row],[_Row]]+Tasks[[#This Row],[_Descendants]])),Tasks[[#This Row],[_LeafAC]]))</f>
        <v/>
      </c>
      <c r="BE203" s="45" t="str">
        <f aca="false">IF(Tasks[[#This Row],[Task Name]]="","",MAX(1,N(Tasks[[#This Row],[Level]])))</f>
        <v/>
      </c>
      <c r="BF203" s="45" t="n">
        <f aca="false">ROW()-ROW(Tasks[[#Headers],[ID]])</f>
        <v>198</v>
      </c>
      <c r="BG203" s="45" t="n">
        <f aca="false">IF(OR(Tasks[[#This Row],[Task Name]]="",Tasks[[#This Row],[_Level]]&lt;=1),0,IFERROR(LOOKUP(2,1/(Tasks[[#Headers],[_Level]]:Tasks[[#This Row],[_Level]]=Tasks[[#This Row],[_Level]]-1),ROW(Tasks[[#Headers],[_Level]]:Tasks[[#This Row],[_Level]])),0))</f>
        <v>0</v>
      </c>
      <c r="BH203" s="45" t="n">
        <f aca="false">IFERROR(N(INDEX(Tasks[_Level],Tasks[[#This Row],[_Row]]+1)),0)</f>
        <v>0</v>
      </c>
      <c r="BI203" s="73" t="b">
        <f aca="false">AND(Tasks[[#This Row],[Task Name]]&lt;&gt;"",Tasks[[#This Row],[_NextLevel]]&gt;Tasks[[#This Row],[_Level]])</f>
        <v>0</v>
      </c>
      <c r="BJ203" s="45" t="n">
        <f aca="false">IF(Tasks[[#This Row],[_IsSummary]],COUNTIF(Tasks[WBS],Tasks[[#This Row],[WBS]]&amp;".*"),0)</f>
        <v>0</v>
      </c>
      <c r="BK203" s="45" t="n">
        <f aca="false">IF(AND(Tasks[[#This Row],[Task Name]]&lt;&gt;"",NOT(Tasks[[#This Row],[_IsSummary]])),1,0)</f>
        <v>0</v>
      </c>
      <c r="BL203" s="45" t="n">
        <f aca="false">IF(N(Tasks[[#This Row],[_Pred1UID]])=0,0,IFERROR(MATCH(Tasks[[#This Row],[_Pred1UID]],Tasks[UID],0),-1))</f>
        <v>0</v>
      </c>
      <c r="BM203" s="45" t="n">
        <f aca="false">IF(N(Tasks[[#This Row],[_Pred2UID]])=0,0,IFERROR(MATCH(Tasks[[#This Row],[_Pred2UID]],Tasks[UID],0),-1))</f>
        <v>0</v>
      </c>
      <c r="BN203" s="45" t="n">
        <f aca="false">IF(N(Tasks[[#This Row],[_Pred3UID]])=0,0,IFERROR(MATCH(Tasks[[#This Row],[_Pred3UID]],Tasks[UID],0),-1))</f>
        <v>0</v>
      </c>
      <c r="BO203" s="45" t="n">
        <f aca="false">IF(N(Tasks[[#This Row],[_Pred4UID]])=0,0,IFERROR(MATCH(Tasks[[#This Row],[_Pred4UID]],Tasks[UID],0),-1))</f>
        <v>0</v>
      </c>
      <c r="BP20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203"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203" s="74" t="n">
        <f aca="false">IF(OR(Tasks[[#This Row],[_ConstraintCode]]=2,Tasks[[#This Row],[_ConstraintCode]]=3,Tasks[[#This Row],[_ConstraintCode]]=4,Tasks[[#This Row],[_ConstraintCode]]=6),Tasks[[#This Row],[_ConstraintStart]],0)</f>
        <v>0</v>
      </c>
      <c r="BS203" s="74" t="n">
        <f aca="false">IF(OR(Tasks[[#This Row],[_ConstraintCode]]=2,Tasks[[#This Row],[_ConstraintCode]]=3,Tasks[[#This Row],[_ConstraintCode]]=5,Tasks[[#This Row],[_ConstraintCode]]=7),Tasks[[#This Row],[_ConstraintStart]],2958465)</f>
        <v>2958465</v>
      </c>
      <c r="BT203"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203" s="74" t="str">
        <f aca="false">IF(NOT(Tasks[[#This Row],[_IsLeaf]]=1),"",IF(N(Tasks[[#This Row],[Duration]])&lt;=0,Tasks[[#This Row],[_LeafCalcStart]],WORKDAY.INTL(Tasks[[#This Row],[_LeafCalcStart]],Tasks[[#This Row],[Duration]]-1,WorkWeek,Holidays)))</f>
        <v/>
      </c>
      <c r="BV203"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203"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203" s="45" t="str">
        <f aca="false">IF(Tasks[[#This Row],[Predecessors]]="","",TRIM(MID(SUBSTITUTE(SUBSTITUTE(SUBSTITUTE(UPPER(Tasks[[#This Row],[Predecessors]]),";",",")," ",""),",",REPT(" ",99)),1,99)))</f>
        <v/>
      </c>
      <c r="BY203" s="45" t="str">
        <f aca="false">IF(Tasks[[#This Row],[_Pred1Text]]="","",IFERROR(VALUE(LEFT(Tasks[[#This Row],[_Pred1Text]],MIN(FIND("F",Tasks[[#This Row],[_Pred1Text]]&amp;"F"),FIND("S",Tasks[[#This Row],[_Pred1Text]]&amp;"S"),FIND("+",Tasks[[#This Row],[_Pred1Text]]&amp;"+"),FIND("-",Tasks[[#This Row],[_Pred1Text]]&amp;"-"))-1)),""))</f>
        <v/>
      </c>
      <c r="BZ20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20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203" s="45" t="str">
        <f aca="false">IF(Tasks[[#This Row],[_Pred1Text]]="","",TRIM(MID(SUBSTITUTE(SUBSTITUTE(SUBSTITUTE(UPPER(Tasks[[#This Row],[Predecessors]]),";",",")," ",""),",",REPT(" ",99)),100,99)))</f>
        <v/>
      </c>
      <c r="CC203" s="45" t="str">
        <f aca="false">IF(Tasks[[#This Row],[_Pred2Text]]="","",IFERROR(VALUE(LEFT(Tasks[[#This Row],[_Pred2Text]],MIN(FIND("F",Tasks[[#This Row],[_Pred2Text]]&amp;"F"),FIND("S",Tasks[[#This Row],[_Pred2Text]]&amp;"S"),FIND("+",Tasks[[#This Row],[_Pred2Text]]&amp;"+"),FIND("-",Tasks[[#This Row],[_Pred2Text]]&amp;"-"))-1)),""))</f>
        <v/>
      </c>
      <c r="CD20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20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203" s="45" t="str">
        <f aca="false">IF(Tasks[[#This Row],[_Pred2Text]]="","",TRIM(MID(SUBSTITUTE(SUBSTITUTE(SUBSTITUTE(UPPER(Tasks[[#This Row],[Predecessors]]),";",",")," ",""),",",REPT(" ",99)),199,99)))</f>
        <v/>
      </c>
      <c r="CG203" s="45" t="str">
        <f aca="false">IF(Tasks[[#This Row],[_Pred3Text]]="","",IFERROR(VALUE(LEFT(Tasks[[#This Row],[_Pred3Text]],MIN(FIND("F",Tasks[[#This Row],[_Pred3Text]]&amp;"F"),FIND("S",Tasks[[#This Row],[_Pred3Text]]&amp;"S"),FIND("+",Tasks[[#This Row],[_Pred3Text]]&amp;"+"),FIND("-",Tasks[[#This Row],[_Pred3Text]]&amp;"-"))-1)),""))</f>
        <v/>
      </c>
      <c r="CH20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20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203" s="45" t="str">
        <f aca="false">IF(Tasks[[#This Row],[_Pred3Text]]="","",TRIM(MID(SUBSTITUTE(SUBSTITUTE(SUBSTITUTE(UPPER(Tasks[[#This Row],[Predecessors]]),";",",")," ",""),",",REPT(" ",99)),298,99)))</f>
        <v/>
      </c>
      <c r="CK203" s="45" t="str">
        <f aca="false">IF(Tasks[[#This Row],[_Pred4Text]]="","",IFERROR(VALUE(LEFT(Tasks[[#This Row],[_Pred4Text]],MIN(FIND("F",Tasks[[#This Row],[_Pred4Text]]&amp;"F"),FIND("S",Tasks[[#This Row],[_Pred4Text]]&amp;"S"),FIND("+",Tasks[[#This Row],[_Pred4Text]]&amp;"+"),FIND("-",Tasks[[#This Row],[_Pred4Text]]&amp;"-"))-1)),""))</f>
        <v/>
      </c>
      <c r="CL20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20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203" s="45" t="str">
        <f aca="false">IF(OR(Tasks[[#This Row],[Task Name]]="",Tasks[[#This Row],[Resources]]=""),"",TRIM(MID(SUBSTITUTE(Tasks[[#This Row],[Resources]],",",REPT(" ",99)),1,99)))</f>
        <v/>
      </c>
      <c r="CO203" s="45" t="str">
        <f aca="false">IF(Tasks[[#This Row],[_Res1Text]]="","",TRIM(MID(SUBSTITUTE(Tasks[[#This Row],[Resources]],",",REPT(" ",99)),100,99)))</f>
        <v/>
      </c>
      <c r="CP203" s="45" t="str">
        <f aca="false">IF(Tasks[[#This Row],[_Res2Text]]="","",TRIM(MID(SUBSTITUTE(Tasks[[#This Row],[Resources]],",",REPT(" ",99)),199,99)))</f>
        <v/>
      </c>
      <c r="CQ203" s="45" t="str">
        <f aca="false">IF(Tasks[[#This Row],[_Res3Text]]="","",TRIM(MID(SUBSTITUTE(Tasks[[#This Row],[Resources]],",",REPT(" ",99)),298,99)))</f>
        <v/>
      </c>
      <c r="CR203"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20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3" s="45" t="n">
        <f aca="false">IF(NOT(Tasks[[#This Row],[_IsLeaf]]=1),0,(Tasks[[#This Row],[_Resource1]]&lt;&gt;"")+(Tasks[[#This Row],[_Res2]]&lt;&gt;"")+(Tasks[[#This Row],[_Res3]]&lt;&gt;"")+(Tasks[[#This Row],[_Res4]]&lt;&gt;""))</f>
        <v>0</v>
      </c>
      <c r="CU203"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20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3" s="45" t="n">
        <f aca="false">IF(OR(NOT(Tasks[[#This Row],[_IsLeaf]]=1),Tasks[[#This Row],[_Res2]]=""),0,IF(ISNA(MATCH(Tasks[[#This Row],[_Res2]],res_Name,0)),0,N(Tasks[[#This Row],[Duration]])*HoursPerDay*IF(Tasks[[#This Row],[_Res2Units]]="",DefaultUnits,Tasks[[#This Row],[_Res2Units]])))</f>
        <v>0</v>
      </c>
      <c r="CX203" s="45" t="n">
        <f aca="false">IF(Tasks[[#This Row],[_Res2Work]]=0,0,Tasks[[#This Row],[_Res2Work]]*IFERROR(INDEX(res_Rate,MATCH(Tasks[[#This Row],[_Res2]],res_Name,0)),0))</f>
        <v>0</v>
      </c>
      <c r="CY203" s="45" t="n">
        <f aca="false">IF(AND(AND(Tasks[[#This Row],[_IsLeaf]]=1,Tasks[[#This Row],[_LeafTotalWork]]&gt;0),Tasks[[#This Row],[_Res2Work]]&gt;0),Tasks[[#This Row],[_Res2Work]]/(Tasks[[#This Row],[_FinishWorkday]]-Tasks[[#This Row],[_StartWorkday]]+1),0)</f>
        <v>0</v>
      </c>
      <c r="CZ203" s="45" t="n">
        <f aca="false">Tasks[[#This Row],[_Res2WorkPerWD]]*MAX(0,Tasks[[#This Row],[_StartWorkday]]-1)</f>
        <v>0</v>
      </c>
      <c r="DA203" s="45" t="n">
        <f aca="false">Tasks[[#This Row],[_Res2Work]]*Tasks[[#This Row],[_LeafProgress]]</f>
        <v>0</v>
      </c>
      <c r="DB203" s="45" t="n">
        <f aca="false">IF(Tasks[[#This Row],[_LeafTotalCost]]=0,0,Tasks[[#This Row],[_LeafAC]]*Tasks[[#This Row],[_Res2Cost]]/Tasks[[#This Row],[_LeafTotalCost]])</f>
        <v>0</v>
      </c>
      <c r="DC203"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20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203" s="45" t="n">
        <f aca="false">IF(OR(NOT(Tasks[[#This Row],[_IsLeaf]]=1),Tasks[[#This Row],[_Res3]]=""),0,IF(ISNA(MATCH(Tasks[[#This Row],[_Res3]],res_Name,0)),0,N(Tasks[[#This Row],[Duration]])*HoursPerDay*IF(Tasks[[#This Row],[_Res3Units]]="",DefaultUnits,Tasks[[#This Row],[_Res3Units]])))</f>
        <v>0</v>
      </c>
      <c r="DF203" s="45" t="n">
        <f aca="false">IF(Tasks[[#This Row],[_Res3Work]]=0,0,Tasks[[#This Row],[_Res3Work]]*IFERROR(INDEX(res_Rate,MATCH(Tasks[[#This Row],[_Res3]],res_Name,0)),0))</f>
        <v>0</v>
      </c>
      <c r="DG203" s="45" t="n">
        <f aca="false">IF(AND(AND(Tasks[[#This Row],[_IsLeaf]]=1,Tasks[[#This Row],[_LeafTotalWork]]&gt;0),Tasks[[#This Row],[_Res3Work]]&gt;0),Tasks[[#This Row],[_Res3Work]]/(Tasks[[#This Row],[_FinishWorkday]]-Tasks[[#This Row],[_StartWorkday]]+1),0)</f>
        <v>0</v>
      </c>
      <c r="DH203" s="45" t="n">
        <f aca="false">Tasks[[#This Row],[_Res3WorkPerWD]]*MAX(0,Tasks[[#This Row],[_StartWorkday]]-1)</f>
        <v>0</v>
      </c>
      <c r="DI203" s="45" t="n">
        <f aca="false">Tasks[[#This Row],[_Res3Work]]*Tasks[[#This Row],[_LeafProgress]]</f>
        <v>0</v>
      </c>
      <c r="DJ203" s="45" t="n">
        <f aca="false">IF(Tasks[[#This Row],[_LeafTotalCost]]=0,0,Tasks[[#This Row],[_LeafAC]]*Tasks[[#This Row],[_Res3Cost]]/Tasks[[#This Row],[_LeafTotalCost]])</f>
        <v>0</v>
      </c>
      <c r="DK203"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20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203" s="45" t="n">
        <f aca="false">IF(OR(NOT(Tasks[[#This Row],[_IsLeaf]]=1),Tasks[[#This Row],[_Res4]]=""),0,IF(ISNA(MATCH(Tasks[[#This Row],[_Res4]],res_Name,0)),0,N(Tasks[[#This Row],[Duration]])*HoursPerDay*IF(Tasks[[#This Row],[_Res4Units]]="",DefaultUnits,Tasks[[#This Row],[_Res4Units]])))</f>
        <v>0</v>
      </c>
      <c r="DN203" s="45" t="n">
        <f aca="false">IF(Tasks[[#This Row],[_Res4Work]]=0,0,Tasks[[#This Row],[_Res4Work]]*IFERROR(INDEX(res_Rate,MATCH(Tasks[[#This Row],[_Res4]],res_Name,0)),0))</f>
        <v>0</v>
      </c>
      <c r="DO203" s="45" t="n">
        <f aca="false">IF(AND(AND(Tasks[[#This Row],[_IsLeaf]]=1,Tasks[[#This Row],[_LeafTotalWork]]&gt;0),Tasks[[#This Row],[_Res4Work]]&gt;0),Tasks[[#This Row],[_Res4Work]]/(Tasks[[#This Row],[_FinishWorkday]]-Tasks[[#This Row],[_StartWorkday]]+1),0)</f>
        <v>0</v>
      </c>
      <c r="DP203" s="45" t="n">
        <f aca="false">Tasks[[#This Row],[_Res4WorkPerWD]]*MAX(0,Tasks[[#This Row],[_StartWorkday]]-1)</f>
        <v>0</v>
      </c>
      <c r="DQ203" s="45" t="n">
        <f aca="false">Tasks[[#This Row],[_Res4Work]]*Tasks[[#This Row],[_LeafProgress]]</f>
        <v>0</v>
      </c>
      <c r="DR203" s="45" t="n">
        <f aca="false">IF(Tasks[[#This Row],[_LeafTotalCost]]=0,0,Tasks[[#This Row],[_LeafAC]]*Tasks[[#This Row],[_Res4Cost]]/Tasks[[#This Row],[_LeafTotalCost]])</f>
        <v>0</v>
      </c>
      <c r="DS203" s="45" t="n">
        <f aca="false">IF(ISNUMBER(Tasks[[#This Row],[% Complete]]),Tasks[[#This Row],[% Complete]],IF(Tasks[[#This Row],[Stage]]="",0,IFERROR(INDEX(stg_Pct,MATCH(Tasks[[#This Row],[Stage]],stg_Name,0)),0)))</f>
        <v>0</v>
      </c>
      <c r="DT203" s="45" t="n">
        <f aca="false">IF(NOT(Tasks[[#This Row],[_IsLeaf]]=1),0,IF(N(Tasks[[#This Row],[Actual Finish]])&gt;0,1,MIN(1,Tasks[[#This Row],[_Pct]])))</f>
        <v>0</v>
      </c>
      <c r="DU203" s="45" t="n">
        <f aca="false">IF(OR(NOT(Tasks[[#This Row],[_IsLeaf]]=1),Tasks[[#This Row],[_Resource1]]=""),0,IF(ISNA(MATCH(Tasks[[#This Row],[_Resource1]],res_Name,0)),0,N(Tasks[[#This Row],[Duration]])*HoursPerDay*IF(Tasks[[#This Row],[_Units1]]="",DefaultUnits,Tasks[[#This Row],[_Units1]])))</f>
        <v>0</v>
      </c>
      <c r="DV203" s="45" t="n">
        <f aca="false">IF(Tasks[[#This Row],[_LeafWork]]=0,0,Tasks[[#This Row],[_LeafWork]]*IFERROR(INDEX(res_Rate,MATCH(Tasks[[#This Row],[_Resource1]],res_Name,0)),0))</f>
        <v>0</v>
      </c>
      <c r="DW203" s="45" t="n">
        <f aca="false">Tasks[[#This Row],[_LeafWork]]+Tasks[[#This Row],[_Res2Work]]+Tasks[[#This Row],[_Res3Work]]+Tasks[[#This Row],[_Res4Work]]</f>
        <v>0</v>
      </c>
      <c r="DX203" s="45" t="n">
        <f aca="false">Tasks[[#This Row],[_LeafCost]]+Tasks[[#This Row],[_Res2Cost]]+Tasks[[#This Row],[_Res3Cost]]+Tasks[[#This Row],[_Res4Cost]]</f>
        <v>0</v>
      </c>
      <c r="DY203" s="45" t="n">
        <f aca="false">IF(Tasks[[#This Row],[_LeafTotalCost]]=0,Tasks[[#This Row],[_LeafAC]],Tasks[[#This Row],[_LeafAC]]*Tasks[[#This Row],[_LeafCost]]/Tasks[[#This Row],[_LeafTotalCost]])</f>
        <v>0</v>
      </c>
      <c r="DZ203"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203"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203"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203"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20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20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20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20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203" s="45" t="n">
        <f aca="false">IF(NOT(Tasks[[#This Row],[_IsLeaf]]=1),0,MAX(_xlfn.MAXIFS(Tasks[_Row],Tasks[_Pred1UID],Tasks[[#This Row],[UID]]),_xlfn.MAXIFS(Tasks[_Row],Tasks[_Pred2UID],Tasks[[#This Row],[UID]]),_xlfn.MAXIFS(Tasks[_Row],Tasks[_Pred3UID],Tasks[[#This Row],[UID]]),_xlfn.MAXIFS(Tasks[_Row],Tasks[_Pred4UID],Tasks[[#This Row],[UID]])))</f>
        <v>0</v>
      </c>
      <c r="EI203"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203"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203" s="74" t="str">
        <f aca="false">IF(NOT(Tasks[[#This Row],[_IsLeaf]]=1),"",IF(N(Tasks[[#This Row],[Duration]])&lt;=0,Tasks[[#This Row],[_LeafLateFinish]],WORKDAY.INTL(Tasks[[#This Row],[_LeafLateFinish]],-(Tasks[[#This Row],[Duration]]-1),WorkWeek,Holidays)))</f>
        <v/>
      </c>
      <c r="EL20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203" s="73" t="b">
        <f aca="false">AND(Tasks[[#This Row],[_IsLeaf]]=1,Tasks[[#This Row],[_LeafProgress]]&lt;1,N(Tasks[[#This Row],[_LeafTotalSlack]])&lt;=CriticalSlackDays)</f>
        <v>0</v>
      </c>
      <c r="EN203" s="45" t="n">
        <f aca="false">IF(AND(Tasks[[#This Row],[_IsLeaf]]=1,Tasks[[#This Row],[_ConstraintCode]]=1,Tasks[[#This Row],[Mode]]&lt;&gt;"Manual",N(Tasks[[#This Row],[Actual Start]])=0),MAX(0,N(Tasks[[#This Row],[Free Slack]])),0)</f>
        <v>0</v>
      </c>
      <c r="EO203" s="74" t="str">
        <f aca="false">IF(NOT(Tasks[[#This Row],[_IsLeaf]]=1),"",IF(Tasks[[#This Row],[_AlapShift]]=0,Tasks[[#This Row],[_LeafCalcStart]],WORKDAY.INTL(Tasks[[#This Row],[_LeafCalcStart]],Tasks[[#This Row],[_AlapShift]],WorkWeek,Holidays)))</f>
        <v/>
      </c>
      <c r="EP203" s="74" t="str">
        <f aca="false">IF(NOT(Tasks[[#This Row],[_IsLeaf]]=1),"",IF(Tasks[[#This Row],[_AlapShift]]=0,Tasks[[#This Row],[_LeafCalcFinish]],WORKDAY.INTL(Tasks[[#This Row],[_LeafCalcFinish]],Tasks[[#This Row],[_AlapShift]],WorkWeek,Holidays)))</f>
        <v/>
      </c>
      <c r="EQ203" s="74" t="str">
        <f aca="false">IF(NOT(Tasks[[#This Row],[_IsLeaf]]=1),"",IF(Tasks[[#This Row],[_AlapShift]]=0,Tasks[[#This Row],[_LeafFcstStart]],WORKDAY.INTL(Tasks[[#This Row],[_LeafFcstStart]],Tasks[[#This Row],[_AlapShift]],WorkWeek,Holidays)))</f>
        <v/>
      </c>
      <c r="ER203" s="74" t="str">
        <f aca="false">IF(NOT(Tasks[[#This Row],[_IsLeaf]]=1),"",IF(Tasks[[#This Row],[_AlapShift]]=0,Tasks[[#This Row],[_LeafFcstFinish]],WORKDAY.INTL(Tasks[[#This Row],[_LeafFcstFinish]],Tasks[[#This Row],[_AlapShift]],WorkWeek,Holidays)))</f>
        <v/>
      </c>
      <c r="ES203" s="74" t="str">
        <f aca="false">IF(Tasks[[#This Row],[Task Name]]="","",IF(Tasks[[#This Row],[_IsSummary]],MIN(INDEX(Tasks[_ShownCalcStart],Tasks[[#This Row],[_Row]]+1):INDEX(Tasks[_ShownCalcStart],Tasks[[#This Row],[_Row]]+Tasks[[#This Row],[_Descendants]])),Tasks[[#This Row],[_ShownCalcStart]]))</f>
        <v/>
      </c>
      <c r="ET203" s="74" t="str">
        <f aca="false">IF(Tasks[[#This Row],[Task Name]]="","",IF(Tasks[[#This Row],[_IsSummary]],MAX(INDEX(Tasks[_ShownCalcFinish],Tasks[[#This Row],[_Row]]+1):INDEX(Tasks[_ShownCalcFinish],Tasks[[#This Row],[_Row]]+Tasks[[#This Row],[_Descendants]])),Tasks[[#This Row],[_ShownCalcFinish]]))</f>
        <v/>
      </c>
      <c r="EU20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20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20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20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203"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203"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203"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203"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203"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203"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203"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203"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203" s="45" t="n">
        <f aca="false">IF(AND(Tasks[[#This Row],[_IsLeaf]]=1,Tasks[[#This Row],[_LeafTotalWork]]&gt;0),NETWORKDAYS.INTL(ProjectStart,Tasks[[#This Row],[_ShownFcstStart]],WorkWeek,Holidays),0)</f>
        <v>0</v>
      </c>
      <c r="FH203" s="45" t="n">
        <f aca="false">IF(AND(Tasks[[#This Row],[_IsLeaf]]=1,Tasks[[#This Row],[_LeafTotalWork]]&gt;0),MAX(Tasks[[#This Row],[_StartWorkday]],NETWORKDAYS.INTL(ProjectStart,Tasks[[#This Row],[_ShownFcstFinish]],WorkWeek,Holidays)),0)</f>
        <v>0</v>
      </c>
      <c r="FI203" s="45" t="n">
        <f aca="false">IF(AND(Tasks[[#This Row],[_IsLeaf]]=1,Tasks[[#This Row],[_LeafTotalWork]]&gt;0),Tasks[[#This Row],[_LeafWork]]/(Tasks[[#This Row],[_FinishWorkday]]-Tasks[[#This Row],[_StartWorkday]]+1),0)</f>
        <v>0</v>
      </c>
      <c r="FJ203" s="45" t="n">
        <f aca="false">Tasks[[#This Row],[_WorkPerWorkday]]*(Tasks[[#This Row],[_StartWorkday]]-1)</f>
        <v>-0</v>
      </c>
      <c r="FK203" s="45" t="n">
        <f aca="false">IF(Tasks[[#This Row],[_IsLeaf]]=1,MAX(N(Tasks[[#This Row],[Duration]]),0.1),0)</f>
        <v>0</v>
      </c>
      <c r="FL203" s="45" t="n">
        <f aca="false">Tasks[[#This Row],[_WeightDur]]*Tasks[[#This Row],[_LeafProgress]]</f>
        <v>0</v>
      </c>
      <c r="FM20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203" s="45" t="str">
        <f aca="false">IF(AND(Tasks[[#This Row],[_IsLeaf]]=1,N(Tasks[[#This Row],[Duration]])=0,Tasks[[#This Row],[_LeafProgress]]&lt;1),Tasks[[#This Row],[_ShownFcstFinish]]+Tasks[[#This Row],[_Row]]/100000,"")</f>
        <v/>
      </c>
      <c r="FO20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203" s="45" t="n">
        <f aca="false">IF(NOT(Tasks[[#This Row],[_IsLeaf]]=1),0,IF(Tasks[[#This Row],[Baseline Cost]]="",Tasks[[#This Row],[_LeafTotalCost]],N(Tasks[[#This Row],[Baseline Cost]])))</f>
        <v>0</v>
      </c>
      <c r="FQ203" s="45" t="n">
        <f aca="false">Tasks[[#This Row],[_LeafBudget]]*Tasks[[#This Row],[_PlannedPct]]</f>
        <v>0</v>
      </c>
      <c r="FR203" s="45" t="n">
        <f aca="false">Tasks[[#This Row],[_LeafBudget]]*Tasks[[#This Row],[_LeafProgress]]</f>
        <v>0</v>
      </c>
      <c r="FS203" s="45" t="n">
        <f aca="false">IF(NOT(Tasks[[#This Row],[_IsLeaf]]=1),0,IF(Tasks[[#This Row],[Actual Cost]]="",Tasks[[#This Row],[_LeafTotalCost]]*Tasks[[#This Row],[_LeafProgress]],N(Tasks[[#This Row],[Actual Cost]])))</f>
        <v>0</v>
      </c>
      <c r="FT203" s="45" t="str">
        <f aca="false">IF(Tasks[[#This Row],[Task Name]]="","",LEFT(Tasks[[#This Row],[WBS]],FIND(".",Tasks[[#This Row],[WBS]]&amp;".")-1))</f>
        <v/>
      </c>
      <c r="FU203" s="45" t="str">
        <f aca="false">IF(AND(Tasks[[#This Row],[Task Name]]&lt;&gt;"",Tasks[[#This Row],[_Level]]=1),Tasks[[#This Row],[_Row]],"")</f>
        <v/>
      </c>
      <c r="FV203" s="45" t="str">
        <f aca="false">IF(AND(Tasks[[#This Row],[_IsLeaf]]=1,N(Tasks[[#This Row],[Duration]])=0),Tasks[[#This Row],[Planned Finish]]+Tasks[[#This Row],[_Row]]/100000,"")</f>
        <v/>
      </c>
      <c r="FW203" s="45" t="str">
        <f aca="false">IF(AND(Tasks[[#This Row],[_IsLeaf]]=1,Tasks[[#This Row],[_LeafProgress]]&lt;1,OR(N(Tasks[[#This Row],[Finish Var]])&gt;0,Tasks[[#This Row],[Status]]="Late Start")),MAX(0,Tasks[[#This Row],[Finish Var]])+1-Tasks[[#This Row],[_Row]]/1000000,"")</f>
        <v/>
      </c>
      <c r="FX203" s="45" t="str">
        <f aca="false">IF(AND(Tasks[[#This Row],[_IsLeaf]]=1,N(Tasks[[#This Row],[Actual Start]])=0,Tasks[[#This Row],[_ShownFcstStart]]&gt;=StatusDate,Tasks[[#This Row],[_ShownFcstStart]]&lt;=LookaheadEnd),Tasks[[#This Row],[_ShownFcstStart]]+Tasks[[#This Row],[_Row]]/100000,"")</f>
        <v/>
      </c>
      <c r="FY203" s="45" t="str">
        <f aca="false">IF(AND(Tasks[[#This Row],[_IsLeaf]]=1,Tasks[[#This Row],[_LeafProgress]]&lt;1,Tasks[[#This Row],[_ShownFcstFinish]]&gt;=StatusDate,Tasks[[#This Row],[_ShownFcstFinish]]&lt;=LookaheadEnd),Tasks[[#This Row],[_ShownFcstFinish]]+Tasks[[#This Row],[_Row]]/100000,"")</f>
        <v/>
      </c>
      <c r="FZ203" s="45" t="str">
        <f aca="false">IF(Tasks[[#This Row],[_LeafCritical]],Tasks[[#This Row],[_ShownFcstStart]]+Tasks[[#This Row],[_Row]]/100000,"")</f>
        <v/>
      </c>
      <c r="GA203" s="45" t="n">
        <f aca="false">Tasks[[#This Row],[_LeafWork]]*Tasks[[#This Row],[_LeafProgress]]</f>
        <v>0</v>
      </c>
      <c r="GB203" s="74" t="str">
        <f aca="false">IF(AND(Tasks[[#This Row],[_IsLeaf]]=1,Tasks[[#This Row],[_LeafProgress]]&gt;=1),IF(N(Tasks[[#This Row],[Actual Finish]])&gt;0,Tasks[[#This Row],[Actual Finish]],Tasks[[#This Row],[_ShownFcstFinish]]),"")</f>
        <v/>
      </c>
    </row>
    <row r="204" customFormat="false" ht="15" hidden="false" customHeight="false" outlineLevel="0" collapsed="false">
      <c r="A204" s="67" t="str">
        <f aca="false">IF(Tasks[[#This Row],[Task Name]]="","",COUNTA(Tasks[[#Headers],[Task Name]]:Tasks[[#This Row],[Task Name]])-1)</f>
        <v/>
      </c>
      <c r="B204" s="21" t="n">
        <v>199</v>
      </c>
      <c r="C204"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21"/>
      <c r="E204" s="22"/>
      <c r="F204" s="21"/>
      <c r="G204" s="22"/>
      <c r="H204" s="22"/>
      <c r="I204" s="22"/>
      <c r="J204" s="7"/>
      <c r="K204" s="7"/>
      <c r="L204" s="22"/>
      <c r="M204" s="58" t="str">
        <f aca="false">IF(Tasks[[#This Row],[Task Name]]="","",IF(Tasks[[#This Row],[_IsSummary]],MIN(INDEX(Tasks[_ShownFcstStart],Tasks[[#This Row],[_Row]]+1):INDEX(Tasks[_ShownFcstStart],Tasks[[#This Row],[_Row]]+Tasks[[#This Row],[_Descendants]])),Tasks[[#This Row],[_ShownFcstStart]]))</f>
        <v/>
      </c>
      <c r="N204" s="58" t="str">
        <f aca="false">IF(Tasks[[#This Row],[Task Name]]="","",IF(Tasks[[#This Row],[_IsSummary]],MAX(INDEX(Tasks[_ShownFcstFinish],Tasks[[#This Row],[_Row]]+1):INDEX(Tasks[_ShownFcstFinish],Tasks[[#This Row],[_Row]]+Tasks[[#This Row],[_Descendants]])),Tasks[[#This Row],[_ShownFcstFinish]]))</f>
        <v/>
      </c>
      <c r="O204" s="20" t="str">
        <f aca="false">IF(Tasks[[#This Row],[Task Name]]="","",IF(Tasks[[#This Row],[Progress]]&gt;=1,"Complete",IF(OR(N(Tasks[[#This Row],[Actual Start]])&gt;0,Tasks[[#This Row],[Progress]]&gt;0),IF(Tasks[[#This Row],[Finish Var]]&gt;0,"Behind","In Progress"),IF(Tasks[[#This Row],[Planned Start]]&lt;StatusDate,"Late Start","Not Started"))))</f>
        <v/>
      </c>
      <c r="P204" s="20" t="str">
        <f aca="false">IF(Tasks[[#This Row],[Task Name]]="","",IF(IF(Tasks[[#This Row],[_IsSummary]],COUNTIF(INDEX(Tasks[_LeafCritical],Tasks[[#This Row],[_Row]]+1):INDEX(Tasks[_LeafCritical],Tasks[[#This Row],[_Row]]+Tasks[[#This Row],[_Descendants]]),TRUE())&gt;0,Tasks[[#This Row],[_LeafCritical]]),"Yes",""))</f>
        <v/>
      </c>
      <c r="Q204"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204" s="67" t="str">
        <f aca="false">IF(Tasks[[#This Row],[Task Name]]="","",IF(Tasks[[#This Row],[_Level]]&lt;=OutlineShowLevel,"Yes","No"))</f>
        <v/>
      </c>
      <c r="S204" s="7"/>
      <c r="T204" s="21"/>
      <c r="U204" s="22"/>
      <c r="V204" s="7"/>
      <c r="W204" s="67" t="str">
        <f aca="false">IF(Tasks[[#This Row],[Task Name]]="","",IF(Tasks[[#This Row],[Finish]]&gt;=Tasks[[#This Row],[Planned Finish]],NETWORKDAYS.INTL(Tasks[[#This Row],[Planned Finish]],Tasks[[#This Row],[Finish]],WorkWeek,Holidays)-1,1-NETWORKDAYS.INTL(Tasks[[#This Row],[Finish]],Tasks[[#This Row],[Planned Finish]],WorkWeek,Holidays)))</f>
        <v/>
      </c>
      <c r="X204" s="58" t="str">
        <f aca="false">IF(Tasks[[#This Row],[Task Name]]="","",IF(N(Tasks[[#This Row],[Baseline Start]])&gt;0,Tasks[[#This Row],[Baseline Start]],Tasks[[#This Row],[_CalcStart]]))</f>
        <v/>
      </c>
      <c r="Y204" s="58" t="str">
        <f aca="false">IF(Tasks[[#This Row],[Task Name]]="","",IF(N(Tasks[[#This Row],[Baseline Finish]])&gt;0,Tasks[[#This Row],[Baseline Finish]],Tasks[[#This Row],[_CalcFinish]]))</f>
        <v/>
      </c>
      <c r="Z204" s="67" t="str">
        <f aca="false">IF(Tasks[[#This Row],[Task Name]]="","",IF(Tasks[[#This Row],[Start]]&gt;=Tasks[[#This Row],[Planned Start]],NETWORKDAYS.INTL(Tasks[[#This Row],[Planned Start]],Tasks[[#This Row],[Start]],WorkWeek,Holidays)-1,1-NETWORKDAYS.INTL(Tasks[[#This Row],[Start]],Tasks[[#This Row],[Planned Start]],WorkWeek,Holidays)))</f>
        <v/>
      </c>
      <c r="AA204" s="58" t="str">
        <f aca="false">IF(Tasks[[#This Row],[Task Name]]="","",IF(Tasks[[#This Row],[_IsSummary]],MIN(INDEX(Tasks[_LeafLateStart],Tasks[[#This Row],[_Row]]+1):INDEX(Tasks[_LeafLateStart],Tasks[[#This Row],[_Row]]+Tasks[[#This Row],[_Descendants]])),Tasks[[#This Row],[_LeafLateStart]]))</f>
        <v/>
      </c>
      <c r="AB204" s="58" t="str">
        <f aca="false">IF(Tasks[[#This Row],[Task Name]]="","",IF(Tasks[[#This Row],[_IsSummary]],MAX(INDEX(Tasks[_LeafLateFinish],Tasks[[#This Row],[_Row]]+1):INDEX(Tasks[_LeafLateFinish],Tasks[[#This Row],[_Row]]+Tasks[[#This Row],[_Descendants]])),Tasks[[#This Row],[_LeafLateFinish]]))</f>
        <v/>
      </c>
      <c r="AC204" s="67" t="str">
        <f aca="false">IF(Tasks[[#This Row],[Task Name]]="","",IF(Tasks[[#This Row],[_IsSummary]],MIN(INDEX(Tasks[_LeafTotalSlack],Tasks[[#This Row],[_Row]]+1):INDEX(Tasks[_LeafTotalSlack],Tasks[[#This Row],[_Row]]+Tasks[[#This Row],[_Descendants]])),Tasks[[#This Row],[_LeafTotalSlack]]))</f>
        <v/>
      </c>
      <c r="AD204"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204"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204"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204" s="60"/>
      <c r="AH204"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204"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204" s="69" t="str">
        <f aca="false">IF(Tasks[[#This Row],[Task Name]]="","",IF(Tasks[[#This Row],[_IsSummary]],SUM(INDEX(Tasks[_LeafTotalWork],Tasks[[#This Row],[_Row]]+1):INDEX(Tasks[_LeafTotalWork],Tasks[[#This Row],[_Row]]+Tasks[[#This Row],[_Descendants]])),Tasks[[#This Row],[_LeafTotalWork]]))</f>
        <v/>
      </c>
      <c r="AK204"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204" s="70" t="str">
        <f aca="false">IF(Tasks[[#This Row],[Task Name]]="","",IF(Tasks[[#This Row],[_IsSummary]],SUM(INDEX(Tasks[_LeafTotalCost],Tasks[[#This Row],[_Row]]+1):INDEX(Tasks[_LeafTotalCost],Tasks[[#This Row],[_Row]]+Tasks[[#This Row],[_Descendants]])),Tasks[[#This Row],[_LeafTotalCost]]))</f>
        <v/>
      </c>
      <c r="AM204" s="71"/>
      <c r="AN204" s="20" t="str">
        <f aca="false">IF(OR(Tasks[[#This Row],[Task Name]]="",Tasks[[#This Row],[Baseline Duration]]=""),"",Tasks[[#This Row],[BL Source Duration]]-N(Tasks[[#This Row],[Baseline Duration]]))</f>
        <v/>
      </c>
      <c r="AO204" s="69" t="str">
        <f aca="false">IF(OR(Tasks[[#This Row],[Task Name]]="",Tasks[[#This Row],[Baseline Work]]=""),"",Tasks[[#This Row],[Work]]-N(Tasks[[#This Row],[Baseline Work]]))</f>
        <v/>
      </c>
      <c r="AP204" s="70" t="str">
        <f aca="false">IF(OR(Tasks[[#This Row],[Task Name]]="",Tasks[[#This Row],[Baseline Cost]]=""),"",Tasks[[#This Row],[Cost]]-N(Tasks[[#This Row],[Baseline Cost]]))</f>
        <v/>
      </c>
      <c r="AQ204" s="58" t="str">
        <f aca="false">IF(Tasks[[#This Row],[Task Name]]="","",Tasks[[#This Row],[Start]])</f>
        <v/>
      </c>
      <c r="AR204" s="58" t="str">
        <f aca="false">IF(Tasks[[#This Row],[Task Name]]="","",Tasks[[#This Row],[Finish]])</f>
        <v/>
      </c>
      <c r="AS204" s="67" t="str">
        <f aca="false">IF(Tasks[[#This Row],[Task Name]]="","",IF(Tasks[[#This Row],[_IsSummary]],NETWORKDAYS.INTL(Tasks[[#This Row],[Start]],Tasks[[#This Row],[Finish]],WorkWeek,Holidays),N(Tasks[[#This Row],[Duration]])))</f>
        <v/>
      </c>
      <c r="AT204" s="69" t="str">
        <f aca="false">IF(Tasks[[#This Row],[Task Name]]="","",Tasks[[#This Row],[Work]])</f>
        <v/>
      </c>
      <c r="AU204" s="70" t="str">
        <f aca="false">IF(Tasks[[#This Row],[Task Name]]="","",Tasks[[#This Row],[Cost]])</f>
        <v/>
      </c>
      <c r="AV204" s="7"/>
      <c r="AW204" s="7"/>
      <c r="AX204" s="21"/>
      <c r="AY204" s="72"/>
      <c r="AZ204" s="71"/>
      <c r="BA204" s="70" t="str">
        <f aca="false">IF(Tasks[[#This Row],[Task Name]]="","",IF(Tasks[[#This Row],[_IsSummary]],SUM(INDEX(Tasks[_LeafEV],Tasks[[#This Row],[_Row]]+1):INDEX(Tasks[_LeafEV],Tasks[[#This Row],[_Row]]+Tasks[[#This Row],[_Descendants]])),Tasks[[#This Row],[_LeafEV]]))</f>
        <v/>
      </c>
      <c r="BB204" s="70" t="str">
        <f aca="false">IF(Tasks[[#This Row],[Task Name]]="","",IF(Tasks[[#This Row],[_IsSummary]],SUM(INDEX(Tasks[_LeafBudget],Tasks[[#This Row],[_Row]]+1):INDEX(Tasks[_LeafBudget],Tasks[[#This Row],[_Row]]+Tasks[[#This Row],[_Descendants]])),Tasks[[#This Row],[_LeafBudget]]))</f>
        <v/>
      </c>
      <c r="BC204" s="70" t="str">
        <f aca="false">IF(Tasks[[#This Row],[Task Name]]="","",IF(Tasks[[#This Row],[_IsSummary]],SUM(INDEX(Tasks[_LeafPV],Tasks[[#This Row],[_Row]]+1):INDEX(Tasks[_LeafPV],Tasks[[#This Row],[_Row]]+Tasks[[#This Row],[_Descendants]])),Tasks[[#This Row],[_LeafPV]]))</f>
        <v/>
      </c>
      <c r="BD204" s="70" t="str">
        <f aca="false">IF(Tasks[[#This Row],[Task Name]]="","",IF(Tasks[[#This Row],[_IsSummary]],SUM(INDEX(Tasks[_LeafAC],Tasks[[#This Row],[_Row]]+1):INDEX(Tasks[_LeafAC],Tasks[[#This Row],[_Row]]+Tasks[[#This Row],[_Descendants]])),Tasks[[#This Row],[_LeafAC]]))</f>
        <v/>
      </c>
      <c r="BE204" s="45" t="str">
        <f aca="false">IF(Tasks[[#This Row],[Task Name]]="","",MAX(1,N(Tasks[[#This Row],[Level]])))</f>
        <v/>
      </c>
      <c r="BF204" s="45" t="n">
        <f aca="false">ROW()-ROW(Tasks[[#Headers],[ID]])</f>
        <v>199</v>
      </c>
      <c r="BG204" s="45" t="n">
        <f aca="false">IF(OR(Tasks[[#This Row],[Task Name]]="",Tasks[[#This Row],[_Level]]&lt;=1),0,IFERROR(LOOKUP(2,1/(Tasks[[#Headers],[_Level]]:Tasks[[#This Row],[_Level]]=Tasks[[#This Row],[_Level]]-1),ROW(Tasks[[#Headers],[_Level]]:Tasks[[#This Row],[_Level]])),0))</f>
        <v>0</v>
      </c>
      <c r="BH204" s="45" t="n">
        <f aca="false">IFERROR(N(INDEX(Tasks[_Level],Tasks[[#This Row],[_Row]]+1)),0)</f>
        <v>0</v>
      </c>
      <c r="BI204" s="73" t="b">
        <f aca="false">AND(Tasks[[#This Row],[Task Name]]&lt;&gt;"",Tasks[[#This Row],[_NextLevel]]&gt;Tasks[[#This Row],[_Level]])</f>
        <v>0</v>
      </c>
      <c r="BJ204" s="45" t="n">
        <f aca="false">IF(Tasks[[#This Row],[_IsSummary]],COUNTIF(Tasks[WBS],Tasks[[#This Row],[WBS]]&amp;".*"),0)</f>
        <v>0</v>
      </c>
      <c r="BK204" s="45" t="n">
        <f aca="false">IF(AND(Tasks[[#This Row],[Task Name]]&lt;&gt;"",NOT(Tasks[[#This Row],[_IsSummary]])),1,0)</f>
        <v>0</v>
      </c>
      <c r="BL204" s="45" t="n">
        <f aca="false">IF(N(Tasks[[#This Row],[_Pred1UID]])=0,0,IFERROR(MATCH(Tasks[[#This Row],[_Pred1UID]],Tasks[UID],0),-1))</f>
        <v>0</v>
      </c>
      <c r="BM204" s="45" t="n">
        <f aca="false">IF(N(Tasks[[#This Row],[_Pred2UID]])=0,0,IFERROR(MATCH(Tasks[[#This Row],[_Pred2UID]],Tasks[UID],0),-1))</f>
        <v>0</v>
      </c>
      <c r="BN204" s="45" t="n">
        <f aca="false">IF(N(Tasks[[#This Row],[_Pred3UID]])=0,0,IFERROR(MATCH(Tasks[[#This Row],[_Pred3UID]],Tasks[UID],0),-1))</f>
        <v>0</v>
      </c>
      <c r="BO204" s="45" t="n">
        <f aca="false">IF(N(Tasks[[#This Row],[_Pred4UID]])=0,0,IFERROR(MATCH(Tasks[[#This Row],[_Pred4UID]],Tasks[UID],0),-1))</f>
        <v>0</v>
      </c>
      <c r="BP20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204"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204" s="74" t="n">
        <f aca="false">IF(OR(Tasks[[#This Row],[_ConstraintCode]]=2,Tasks[[#This Row],[_ConstraintCode]]=3,Tasks[[#This Row],[_ConstraintCode]]=4,Tasks[[#This Row],[_ConstraintCode]]=6),Tasks[[#This Row],[_ConstraintStart]],0)</f>
        <v>0</v>
      </c>
      <c r="BS204" s="74" t="n">
        <f aca="false">IF(OR(Tasks[[#This Row],[_ConstraintCode]]=2,Tasks[[#This Row],[_ConstraintCode]]=3,Tasks[[#This Row],[_ConstraintCode]]=5,Tasks[[#This Row],[_ConstraintCode]]=7),Tasks[[#This Row],[_ConstraintStart]],2958465)</f>
        <v>2958465</v>
      </c>
      <c r="BT204"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204" s="74" t="str">
        <f aca="false">IF(NOT(Tasks[[#This Row],[_IsLeaf]]=1),"",IF(N(Tasks[[#This Row],[Duration]])&lt;=0,Tasks[[#This Row],[_LeafCalcStart]],WORKDAY.INTL(Tasks[[#This Row],[_LeafCalcStart]],Tasks[[#This Row],[Duration]]-1,WorkWeek,Holidays)))</f>
        <v/>
      </c>
      <c r="BV204"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204"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204" s="45" t="str">
        <f aca="false">IF(Tasks[[#This Row],[Predecessors]]="","",TRIM(MID(SUBSTITUTE(SUBSTITUTE(SUBSTITUTE(UPPER(Tasks[[#This Row],[Predecessors]]),";",",")," ",""),",",REPT(" ",99)),1,99)))</f>
        <v/>
      </c>
      <c r="BY204" s="45" t="str">
        <f aca="false">IF(Tasks[[#This Row],[_Pred1Text]]="","",IFERROR(VALUE(LEFT(Tasks[[#This Row],[_Pred1Text]],MIN(FIND("F",Tasks[[#This Row],[_Pred1Text]]&amp;"F"),FIND("S",Tasks[[#This Row],[_Pred1Text]]&amp;"S"),FIND("+",Tasks[[#This Row],[_Pred1Text]]&amp;"+"),FIND("-",Tasks[[#This Row],[_Pred1Text]]&amp;"-"))-1)),""))</f>
        <v/>
      </c>
      <c r="BZ20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20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204" s="45" t="str">
        <f aca="false">IF(Tasks[[#This Row],[_Pred1Text]]="","",TRIM(MID(SUBSTITUTE(SUBSTITUTE(SUBSTITUTE(UPPER(Tasks[[#This Row],[Predecessors]]),";",",")," ",""),",",REPT(" ",99)),100,99)))</f>
        <v/>
      </c>
      <c r="CC204" s="45" t="str">
        <f aca="false">IF(Tasks[[#This Row],[_Pred2Text]]="","",IFERROR(VALUE(LEFT(Tasks[[#This Row],[_Pred2Text]],MIN(FIND("F",Tasks[[#This Row],[_Pred2Text]]&amp;"F"),FIND("S",Tasks[[#This Row],[_Pred2Text]]&amp;"S"),FIND("+",Tasks[[#This Row],[_Pred2Text]]&amp;"+"),FIND("-",Tasks[[#This Row],[_Pred2Text]]&amp;"-"))-1)),""))</f>
        <v/>
      </c>
      <c r="CD20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20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204" s="45" t="str">
        <f aca="false">IF(Tasks[[#This Row],[_Pred2Text]]="","",TRIM(MID(SUBSTITUTE(SUBSTITUTE(SUBSTITUTE(UPPER(Tasks[[#This Row],[Predecessors]]),";",",")," ",""),",",REPT(" ",99)),199,99)))</f>
        <v/>
      </c>
      <c r="CG204" s="45" t="str">
        <f aca="false">IF(Tasks[[#This Row],[_Pred3Text]]="","",IFERROR(VALUE(LEFT(Tasks[[#This Row],[_Pred3Text]],MIN(FIND("F",Tasks[[#This Row],[_Pred3Text]]&amp;"F"),FIND("S",Tasks[[#This Row],[_Pred3Text]]&amp;"S"),FIND("+",Tasks[[#This Row],[_Pred3Text]]&amp;"+"),FIND("-",Tasks[[#This Row],[_Pred3Text]]&amp;"-"))-1)),""))</f>
        <v/>
      </c>
      <c r="CH20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20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204" s="45" t="str">
        <f aca="false">IF(Tasks[[#This Row],[_Pred3Text]]="","",TRIM(MID(SUBSTITUTE(SUBSTITUTE(SUBSTITUTE(UPPER(Tasks[[#This Row],[Predecessors]]),";",",")," ",""),",",REPT(" ",99)),298,99)))</f>
        <v/>
      </c>
      <c r="CK204" s="45" t="str">
        <f aca="false">IF(Tasks[[#This Row],[_Pred4Text]]="","",IFERROR(VALUE(LEFT(Tasks[[#This Row],[_Pred4Text]],MIN(FIND("F",Tasks[[#This Row],[_Pred4Text]]&amp;"F"),FIND("S",Tasks[[#This Row],[_Pred4Text]]&amp;"S"),FIND("+",Tasks[[#This Row],[_Pred4Text]]&amp;"+"),FIND("-",Tasks[[#This Row],[_Pred4Text]]&amp;"-"))-1)),""))</f>
        <v/>
      </c>
      <c r="CL20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20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204" s="45" t="str">
        <f aca="false">IF(OR(Tasks[[#This Row],[Task Name]]="",Tasks[[#This Row],[Resources]]=""),"",TRIM(MID(SUBSTITUTE(Tasks[[#This Row],[Resources]],",",REPT(" ",99)),1,99)))</f>
        <v/>
      </c>
      <c r="CO204" s="45" t="str">
        <f aca="false">IF(Tasks[[#This Row],[_Res1Text]]="","",TRIM(MID(SUBSTITUTE(Tasks[[#This Row],[Resources]],",",REPT(" ",99)),100,99)))</f>
        <v/>
      </c>
      <c r="CP204" s="45" t="str">
        <f aca="false">IF(Tasks[[#This Row],[_Res2Text]]="","",TRIM(MID(SUBSTITUTE(Tasks[[#This Row],[Resources]],",",REPT(" ",99)),199,99)))</f>
        <v/>
      </c>
      <c r="CQ204" s="45" t="str">
        <f aca="false">IF(Tasks[[#This Row],[_Res3Text]]="","",TRIM(MID(SUBSTITUTE(Tasks[[#This Row],[Resources]],",",REPT(" ",99)),298,99)))</f>
        <v/>
      </c>
      <c r="CR204"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20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4" s="45" t="n">
        <f aca="false">IF(NOT(Tasks[[#This Row],[_IsLeaf]]=1),0,(Tasks[[#This Row],[_Resource1]]&lt;&gt;"")+(Tasks[[#This Row],[_Res2]]&lt;&gt;"")+(Tasks[[#This Row],[_Res3]]&lt;&gt;"")+(Tasks[[#This Row],[_Res4]]&lt;&gt;""))</f>
        <v>0</v>
      </c>
      <c r="CU204"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20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4" s="45" t="n">
        <f aca="false">IF(OR(NOT(Tasks[[#This Row],[_IsLeaf]]=1),Tasks[[#This Row],[_Res2]]=""),0,IF(ISNA(MATCH(Tasks[[#This Row],[_Res2]],res_Name,0)),0,N(Tasks[[#This Row],[Duration]])*HoursPerDay*IF(Tasks[[#This Row],[_Res2Units]]="",DefaultUnits,Tasks[[#This Row],[_Res2Units]])))</f>
        <v>0</v>
      </c>
      <c r="CX204" s="45" t="n">
        <f aca="false">IF(Tasks[[#This Row],[_Res2Work]]=0,0,Tasks[[#This Row],[_Res2Work]]*IFERROR(INDEX(res_Rate,MATCH(Tasks[[#This Row],[_Res2]],res_Name,0)),0))</f>
        <v>0</v>
      </c>
      <c r="CY204" s="45" t="n">
        <f aca="false">IF(AND(AND(Tasks[[#This Row],[_IsLeaf]]=1,Tasks[[#This Row],[_LeafTotalWork]]&gt;0),Tasks[[#This Row],[_Res2Work]]&gt;0),Tasks[[#This Row],[_Res2Work]]/(Tasks[[#This Row],[_FinishWorkday]]-Tasks[[#This Row],[_StartWorkday]]+1),0)</f>
        <v>0</v>
      </c>
      <c r="CZ204" s="45" t="n">
        <f aca="false">Tasks[[#This Row],[_Res2WorkPerWD]]*MAX(0,Tasks[[#This Row],[_StartWorkday]]-1)</f>
        <v>0</v>
      </c>
      <c r="DA204" s="45" t="n">
        <f aca="false">Tasks[[#This Row],[_Res2Work]]*Tasks[[#This Row],[_LeafProgress]]</f>
        <v>0</v>
      </c>
      <c r="DB204" s="45" t="n">
        <f aca="false">IF(Tasks[[#This Row],[_LeafTotalCost]]=0,0,Tasks[[#This Row],[_LeafAC]]*Tasks[[#This Row],[_Res2Cost]]/Tasks[[#This Row],[_LeafTotalCost]])</f>
        <v>0</v>
      </c>
      <c r="DC204"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20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204" s="45" t="n">
        <f aca="false">IF(OR(NOT(Tasks[[#This Row],[_IsLeaf]]=1),Tasks[[#This Row],[_Res3]]=""),0,IF(ISNA(MATCH(Tasks[[#This Row],[_Res3]],res_Name,0)),0,N(Tasks[[#This Row],[Duration]])*HoursPerDay*IF(Tasks[[#This Row],[_Res3Units]]="",DefaultUnits,Tasks[[#This Row],[_Res3Units]])))</f>
        <v>0</v>
      </c>
      <c r="DF204" s="45" t="n">
        <f aca="false">IF(Tasks[[#This Row],[_Res3Work]]=0,0,Tasks[[#This Row],[_Res3Work]]*IFERROR(INDEX(res_Rate,MATCH(Tasks[[#This Row],[_Res3]],res_Name,0)),0))</f>
        <v>0</v>
      </c>
      <c r="DG204" s="45" t="n">
        <f aca="false">IF(AND(AND(Tasks[[#This Row],[_IsLeaf]]=1,Tasks[[#This Row],[_LeafTotalWork]]&gt;0),Tasks[[#This Row],[_Res3Work]]&gt;0),Tasks[[#This Row],[_Res3Work]]/(Tasks[[#This Row],[_FinishWorkday]]-Tasks[[#This Row],[_StartWorkday]]+1),0)</f>
        <v>0</v>
      </c>
      <c r="DH204" s="45" t="n">
        <f aca="false">Tasks[[#This Row],[_Res3WorkPerWD]]*MAX(0,Tasks[[#This Row],[_StartWorkday]]-1)</f>
        <v>0</v>
      </c>
      <c r="DI204" s="45" t="n">
        <f aca="false">Tasks[[#This Row],[_Res3Work]]*Tasks[[#This Row],[_LeafProgress]]</f>
        <v>0</v>
      </c>
      <c r="DJ204" s="45" t="n">
        <f aca="false">IF(Tasks[[#This Row],[_LeafTotalCost]]=0,0,Tasks[[#This Row],[_LeafAC]]*Tasks[[#This Row],[_Res3Cost]]/Tasks[[#This Row],[_LeafTotalCost]])</f>
        <v>0</v>
      </c>
      <c r="DK204"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20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204" s="45" t="n">
        <f aca="false">IF(OR(NOT(Tasks[[#This Row],[_IsLeaf]]=1),Tasks[[#This Row],[_Res4]]=""),0,IF(ISNA(MATCH(Tasks[[#This Row],[_Res4]],res_Name,0)),0,N(Tasks[[#This Row],[Duration]])*HoursPerDay*IF(Tasks[[#This Row],[_Res4Units]]="",DefaultUnits,Tasks[[#This Row],[_Res4Units]])))</f>
        <v>0</v>
      </c>
      <c r="DN204" s="45" t="n">
        <f aca="false">IF(Tasks[[#This Row],[_Res4Work]]=0,0,Tasks[[#This Row],[_Res4Work]]*IFERROR(INDEX(res_Rate,MATCH(Tasks[[#This Row],[_Res4]],res_Name,0)),0))</f>
        <v>0</v>
      </c>
      <c r="DO204" s="45" t="n">
        <f aca="false">IF(AND(AND(Tasks[[#This Row],[_IsLeaf]]=1,Tasks[[#This Row],[_LeafTotalWork]]&gt;0),Tasks[[#This Row],[_Res4Work]]&gt;0),Tasks[[#This Row],[_Res4Work]]/(Tasks[[#This Row],[_FinishWorkday]]-Tasks[[#This Row],[_StartWorkday]]+1),0)</f>
        <v>0</v>
      </c>
      <c r="DP204" s="45" t="n">
        <f aca="false">Tasks[[#This Row],[_Res4WorkPerWD]]*MAX(0,Tasks[[#This Row],[_StartWorkday]]-1)</f>
        <v>0</v>
      </c>
      <c r="DQ204" s="45" t="n">
        <f aca="false">Tasks[[#This Row],[_Res4Work]]*Tasks[[#This Row],[_LeafProgress]]</f>
        <v>0</v>
      </c>
      <c r="DR204" s="45" t="n">
        <f aca="false">IF(Tasks[[#This Row],[_LeafTotalCost]]=0,0,Tasks[[#This Row],[_LeafAC]]*Tasks[[#This Row],[_Res4Cost]]/Tasks[[#This Row],[_LeafTotalCost]])</f>
        <v>0</v>
      </c>
      <c r="DS204" s="45" t="n">
        <f aca="false">IF(ISNUMBER(Tasks[[#This Row],[% Complete]]),Tasks[[#This Row],[% Complete]],IF(Tasks[[#This Row],[Stage]]="",0,IFERROR(INDEX(stg_Pct,MATCH(Tasks[[#This Row],[Stage]],stg_Name,0)),0)))</f>
        <v>0</v>
      </c>
      <c r="DT204" s="45" t="n">
        <f aca="false">IF(NOT(Tasks[[#This Row],[_IsLeaf]]=1),0,IF(N(Tasks[[#This Row],[Actual Finish]])&gt;0,1,MIN(1,Tasks[[#This Row],[_Pct]])))</f>
        <v>0</v>
      </c>
      <c r="DU204" s="45" t="n">
        <f aca="false">IF(OR(NOT(Tasks[[#This Row],[_IsLeaf]]=1),Tasks[[#This Row],[_Resource1]]=""),0,IF(ISNA(MATCH(Tasks[[#This Row],[_Resource1]],res_Name,0)),0,N(Tasks[[#This Row],[Duration]])*HoursPerDay*IF(Tasks[[#This Row],[_Units1]]="",DefaultUnits,Tasks[[#This Row],[_Units1]])))</f>
        <v>0</v>
      </c>
      <c r="DV204" s="45" t="n">
        <f aca="false">IF(Tasks[[#This Row],[_LeafWork]]=0,0,Tasks[[#This Row],[_LeafWork]]*IFERROR(INDEX(res_Rate,MATCH(Tasks[[#This Row],[_Resource1]],res_Name,0)),0))</f>
        <v>0</v>
      </c>
      <c r="DW204" s="45" t="n">
        <f aca="false">Tasks[[#This Row],[_LeafWork]]+Tasks[[#This Row],[_Res2Work]]+Tasks[[#This Row],[_Res3Work]]+Tasks[[#This Row],[_Res4Work]]</f>
        <v>0</v>
      </c>
      <c r="DX204" s="45" t="n">
        <f aca="false">Tasks[[#This Row],[_LeafCost]]+Tasks[[#This Row],[_Res2Cost]]+Tasks[[#This Row],[_Res3Cost]]+Tasks[[#This Row],[_Res4Cost]]</f>
        <v>0</v>
      </c>
      <c r="DY204" s="45" t="n">
        <f aca="false">IF(Tasks[[#This Row],[_LeafTotalCost]]=0,Tasks[[#This Row],[_LeafAC]],Tasks[[#This Row],[_LeafAC]]*Tasks[[#This Row],[_LeafCost]]/Tasks[[#This Row],[_LeafTotalCost]])</f>
        <v>0</v>
      </c>
      <c r="DZ204"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204"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204"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204"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20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20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20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20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204" s="45" t="n">
        <f aca="false">IF(NOT(Tasks[[#This Row],[_IsLeaf]]=1),0,MAX(_xlfn.MAXIFS(Tasks[_Row],Tasks[_Pred1UID],Tasks[[#This Row],[UID]]),_xlfn.MAXIFS(Tasks[_Row],Tasks[_Pred2UID],Tasks[[#This Row],[UID]]),_xlfn.MAXIFS(Tasks[_Row],Tasks[_Pred3UID],Tasks[[#This Row],[UID]]),_xlfn.MAXIFS(Tasks[_Row],Tasks[_Pred4UID],Tasks[[#This Row],[UID]])))</f>
        <v>0</v>
      </c>
      <c r="EI204"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204"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204" s="74" t="str">
        <f aca="false">IF(NOT(Tasks[[#This Row],[_IsLeaf]]=1),"",IF(N(Tasks[[#This Row],[Duration]])&lt;=0,Tasks[[#This Row],[_LeafLateFinish]],WORKDAY.INTL(Tasks[[#This Row],[_LeafLateFinish]],-(Tasks[[#This Row],[Duration]]-1),WorkWeek,Holidays)))</f>
        <v/>
      </c>
      <c r="EL20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204" s="73" t="b">
        <f aca="false">AND(Tasks[[#This Row],[_IsLeaf]]=1,Tasks[[#This Row],[_LeafProgress]]&lt;1,N(Tasks[[#This Row],[_LeafTotalSlack]])&lt;=CriticalSlackDays)</f>
        <v>0</v>
      </c>
      <c r="EN204" s="45" t="n">
        <f aca="false">IF(AND(Tasks[[#This Row],[_IsLeaf]]=1,Tasks[[#This Row],[_ConstraintCode]]=1,Tasks[[#This Row],[Mode]]&lt;&gt;"Manual",N(Tasks[[#This Row],[Actual Start]])=0),MAX(0,N(Tasks[[#This Row],[Free Slack]])),0)</f>
        <v>0</v>
      </c>
      <c r="EO204" s="74" t="str">
        <f aca="false">IF(NOT(Tasks[[#This Row],[_IsLeaf]]=1),"",IF(Tasks[[#This Row],[_AlapShift]]=0,Tasks[[#This Row],[_LeafCalcStart]],WORKDAY.INTL(Tasks[[#This Row],[_LeafCalcStart]],Tasks[[#This Row],[_AlapShift]],WorkWeek,Holidays)))</f>
        <v/>
      </c>
      <c r="EP204" s="74" t="str">
        <f aca="false">IF(NOT(Tasks[[#This Row],[_IsLeaf]]=1),"",IF(Tasks[[#This Row],[_AlapShift]]=0,Tasks[[#This Row],[_LeafCalcFinish]],WORKDAY.INTL(Tasks[[#This Row],[_LeafCalcFinish]],Tasks[[#This Row],[_AlapShift]],WorkWeek,Holidays)))</f>
        <v/>
      </c>
      <c r="EQ204" s="74" t="str">
        <f aca="false">IF(NOT(Tasks[[#This Row],[_IsLeaf]]=1),"",IF(Tasks[[#This Row],[_AlapShift]]=0,Tasks[[#This Row],[_LeafFcstStart]],WORKDAY.INTL(Tasks[[#This Row],[_LeafFcstStart]],Tasks[[#This Row],[_AlapShift]],WorkWeek,Holidays)))</f>
        <v/>
      </c>
      <c r="ER204" s="74" t="str">
        <f aca="false">IF(NOT(Tasks[[#This Row],[_IsLeaf]]=1),"",IF(Tasks[[#This Row],[_AlapShift]]=0,Tasks[[#This Row],[_LeafFcstFinish]],WORKDAY.INTL(Tasks[[#This Row],[_LeafFcstFinish]],Tasks[[#This Row],[_AlapShift]],WorkWeek,Holidays)))</f>
        <v/>
      </c>
      <c r="ES204" s="74" t="str">
        <f aca="false">IF(Tasks[[#This Row],[Task Name]]="","",IF(Tasks[[#This Row],[_IsSummary]],MIN(INDEX(Tasks[_ShownCalcStart],Tasks[[#This Row],[_Row]]+1):INDEX(Tasks[_ShownCalcStart],Tasks[[#This Row],[_Row]]+Tasks[[#This Row],[_Descendants]])),Tasks[[#This Row],[_ShownCalcStart]]))</f>
        <v/>
      </c>
      <c r="ET204" s="74" t="str">
        <f aca="false">IF(Tasks[[#This Row],[Task Name]]="","",IF(Tasks[[#This Row],[_IsSummary]],MAX(INDEX(Tasks[_ShownCalcFinish],Tasks[[#This Row],[_Row]]+1):INDEX(Tasks[_ShownCalcFinish],Tasks[[#This Row],[_Row]]+Tasks[[#This Row],[_Descendants]])),Tasks[[#This Row],[_ShownCalcFinish]]))</f>
        <v/>
      </c>
      <c r="EU20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20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20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20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204"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204"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204"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204"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204"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204"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204"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204"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204" s="45" t="n">
        <f aca="false">IF(AND(Tasks[[#This Row],[_IsLeaf]]=1,Tasks[[#This Row],[_LeafTotalWork]]&gt;0),NETWORKDAYS.INTL(ProjectStart,Tasks[[#This Row],[_ShownFcstStart]],WorkWeek,Holidays),0)</f>
        <v>0</v>
      </c>
      <c r="FH204" s="45" t="n">
        <f aca="false">IF(AND(Tasks[[#This Row],[_IsLeaf]]=1,Tasks[[#This Row],[_LeafTotalWork]]&gt;0),MAX(Tasks[[#This Row],[_StartWorkday]],NETWORKDAYS.INTL(ProjectStart,Tasks[[#This Row],[_ShownFcstFinish]],WorkWeek,Holidays)),0)</f>
        <v>0</v>
      </c>
      <c r="FI204" s="45" t="n">
        <f aca="false">IF(AND(Tasks[[#This Row],[_IsLeaf]]=1,Tasks[[#This Row],[_LeafTotalWork]]&gt;0),Tasks[[#This Row],[_LeafWork]]/(Tasks[[#This Row],[_FinishWorkday]]-Tasks[[#This Row],[_StartWorkday]]+1),0)</f>
        <v>0</v>
      </c>
      <c r="FJ204" s="45" t="n">
        <f aca="false">Tasks[[#This Row],[_WorkPerWorkday]]*(Tasks[[#This Row],[_StartWorkday]]-1)</f>
        <v>-0</v>
      </c>
      <c r="FK204" s="45" t="n">
        <f aca="false">IF(Tasks[[#This Row],[_IsLeaf]]=1,MAX(N(Tasks[[#This Row],[Duration]]),0.1),0)</f>
        <v>0</v>
      </c>
      <c r="FL204" s="45" t="n">
        <f aca="false">Tasks[[#This Row],[_WeightDur]]*Tasks[[#This Row],[_LeafProgress]]</f>
        <v>0</v>
      </c>
      <c r="FM20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204" s="45" t="str">
        <f aca="false">IF(AND(Tasks[[#This Row],[_IsLeaf]]=1,N(Tasks[[#This Row],[Duration]])=0,Tasks[[#This Row],[_LeafProgress]]&lt;1),Tasks[[#This Row],[_ShownFcstFinish]]+Tasks[[#This Row],[_Row]]/100000,"")</f>
        <v/>
      </c>
      <c r="FO20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204" s="45" t="n">
        <f aca="false">IF(NOT(Tasks[[#This Row],[_IsLeaf]]=1),0,IF(Tasks[[#This Row],[Baseline Cost]]="",Tasks[[#This Row],[_LeafTotalCost]],N(Tasks[[#This Row],[Baseline Cost]])))</f>
        <v>0</v>
      </c>
      <c r="FQ204" s="45" t="n">
        <f aca="false">Tasks[[#This Row],[_LeafBudget]]*Tasks[[#This Row],[_PlannedPct]]</f>
        <v>0</v>
      </c>
      <c r="FR204" s="45" t="n">
        <f aca="false">Tasks[[#This Row],[_LeafBudget]]*Tasks[[#This Row],[_LeafProgress]]</f>
        <v>0</v>
      </c>
      <c r="FS204" s="45" t="n">
        <f aca="false">IF(NOT(Tasks[[#This Row],[_IsLeaf]]=1),0,IF(Tasks[[#This Row],[Actual Cost]]="",Tasks[[#This Row],[_LeafTotalCost]]*Tasks[[#This Row],[_LeafProgress]],N(Tasks[[#This Row],[Actual Cost]])))</f>
        <v>0</v>
      </c>
      <c r="FT204" s="45" t="str">
        <f aca="false">IF(Tasks[[#This Row],[Task Name]]="","",LEFT(Tasks[[#This Row],[WBS]],FIND(".",Tasks[[#This Row],[WBS]]&amp;".")-1))</f>
        <v/>
      </c>
      <c r="FU204" s="45" t="str">
        <f aca="false">IF(AND(Tasks[[#This Row],[Task Name]]&lt;&gt;"",Tasks[[#This Row],[_Level]]=1),Tasks[[#This Row],[_Row]],"")</f>
        <v/>
      </c>
      <c r="FV204" s="45" t="str">
        <f aca="false">IF(AND(Tasks[[#This Row],[_IsLeaf]]=1,N(Tasks[[#This Row],[Duration]])=0),Tasks[[#This Row],[Planned Finish]]+Tasks[[#This Row],[_Row]]/100000,"")</f>
        <v/>
      </c>
      <c r="FW204" s="45" t="str">
        <f aca="false">IF(AND(Tasks[[#This Row],[_IsLeaf]]=1,Tasks[[#This Row],[_LeafProgress]]&lt;1,OR(N(Tasks[[#This Row],[Finish Var]])&gt;0,Tasks[[#This Row],[Status]]="Late Start")),MAX(0,Tasks[[#This Row],[Finish Var]])+1-Tasks[[#This Row],[_Row]]/1000000,"")</f>
        <v/>
      </c>
      <c r="FX204" s="45" t="str">
        <f aca="false">IF(AND(Tasks[[#This Row],[_IsLeaf]]=1,N(Tasks[[#This Row],[Actual Start]])=0,Tasks[[#This Row],[_ShownFcstStart]]&gt;=StatusDate,Tasks[[#This Row],[_ShownFcstStart]]&lt;=LookaheadEnd),Tasks[[#This Row],[_ShownFcstStart]]+Tasks[[#This Row],[_Row]]/100000,"")</f>
        <v/>
      </c>
      <c r="FY204" s="45" t="str">
        <f aca="false">IF(AND(Tasks[[#This Row],[_IsLeaf]]=1,Tasks[[#This Row],[_LeafProgress]]&lt;1,Tasks[[#This Row],[_ShownFcstFinish]]&gt;=StatusDate,Tasks[[#This Row],[_ShownFcstFinish]]&lt;=LookaheadEnd),Tasks[[#This Row],[_ShownFcstFinish]]+Tasks[[#This Row],[_Row]]/100000,"")</f>
        <v/>
      </c>
      <c r="FZ204" s="45" t="str">
        <f aca="false">IF(Tasks[[#This Row],[_LeafCritical]],Tasks[[#This Row],[_ShownFcstStart]]+Tasks[[#This Row],[_Row]]/100000,"")</f>
        <v/>
      </c>
      <c r="GA204" s="45" t="n">
        <f aca="false">Tasks[[#This Row],[_LeafWork]]*Tasks[[#This Row],[_LeafProgress]]</f>
        <v>0</v>
      </c>
      <c r="GB204" s="74" t="str">
        <f aca="false">IF(AND(Tasks[[#This Row],[_IsLeaf]]=1,Tasks[[#This Row],[_LeafProgress]]&gt;=1),IF(N(Tasks[[#This Row],[Actual Finish]])&gt;0,Tasks[[#This Row],[Actual Finish]],Tasks[[#This Row],[_ShownFcstFinish]]),"")</f>
        <v/>
      </c>
    </row>
    <row r="205" customFormat="false" ht="15" hidden="false" customHeight="false" outlineLevel="0" collapsed="false">
      <c r="A205" s="67" t="str">
        <f aca="false">IF(Tasks[[#This Row],[Task Name]]="","",COUNTA(Tasks[[#Headers],[Task Name]]:Tasks[[#This Row],[Task Name]])-1)</f>
        <v/>
      </c>
      <c r="B205" s="21" t="n">
        <v>200</v>
      </c>
      <c r="C205" s="20"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21"/>
      <c r="E205" s="22"/>
      <c r="F205" s="21"/>
      <c r="G205" s="22"/>
      <c r="H205" s="22"/>
      <c r="I205" s="22"/>
      <c r="J205" s="7"/>
      <c r="K205" s="7"/>
      <c r="L205" s="22"/>
      <c r="M205" s="58" t="str">
        <f aca="false">IF(Tasks[[#This Row],[Task Name]]="","",IF(Tasks[[#This Row],[_IsSummary]],MIN(INDEX(Tasks[_ShownFcstStart],Tasks[[#This Row],[_Row]]+1):INDEX(Tasks[_ShownFcstStart],Tasks[[#This Row],[_Row]]+Tasks[[#This Row],[_Descendants]])),Tasks[[#This Row],[_ShownFcstStart]]))</f>
        <v/>
      </c>
      <c r="N205" s="58" t="str">
        <f aca="false">IF(Tasks[[#This Row],[Task Name]]="","",IF(Tasks[[#This Row],[_IsSummary]],MAX(INDEX(Tasks[_ShownFcstFinish],Tasks[[#This Row],[_Row]]+1):INDEX(Tasks[_ShownFcstFinish],Tasks[[#This Row],[_Row]]+Tasks[[#This Row],[_Descendants]])),Tasks[[#This Row],[_ShownFcstFinish]]))</f>
        <v/>
      </c>
      <c r="O205" s="20" t="str">
        <f aca="false">IF(Tasks[[#This Row],[Task Name]]="","",IF(Tasks[[#This Row],[Progress]]&gt;=1,"Complete",IF(OR(N(Tasks[[#This Row],[Actual Start]])&gt;0,Tasks[[#This Row],[Progress]]&gt;0),IF(Tasks[[#This Row],[Finish Var]]&gt;0,"Behind","In Progress"),IF(Tasks[[#This Row],[Planned Start]]&lt;StatusDate,"Late Start","Not Started"))))</f>
        <v/>
      </c>
      <c r="P205" s="20" t="str">
        <f aca="false">IF(Tasks[[#This Row],[Task Name]]="","",IF(IF(Tasks[[#This Row],[_IsSummary]],COUNTIF(INDEX(Tasks[_LeafCritical],Tasks[[#This Row],[_Row]]+1):INDEX(Tasks[_LeafCritical],Tasks[[#This Row],[_Row]]+Tasks[[#This Row],[_Descendants]]),TRUE())&gt;0,Tasks[[#This Row],[_LeafCritical]]),"Yes",""))</f>
        <v/>
      </c>
      <c r="Q205" s="19"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Row],[_Resource1]]="","",IF(ISNA(MATCH(Tasks[[#This Row],[_Resource1]],res_Name,0)),Tasks[[#This Row],[_Resource1]]&amp;" is not on Resources. ",""))&amp;IF(Tasks[[#This Row],[_Res2]]="","",IF(ISNA(MATCH(Tasks[[#This Row],[_Res2]],res_Name,0)),Tasks[[#This Row],[_Res2]]&amp;" is not on Resources. ",""))&amp;IF(Tasks[[#This Row],[_Res3]]="","",IF(ISNA(MATCH(Tasks[[#This Row],[_Res3]],res_Name,0)),Tasks[[#This Row],[_Res3]]&amp;" is not on Resources. ",""))&amp;IF(Tasks[[#This Row],[_Res4]]="","",IF(ISNA(MATCH(Tasks[[#This Row],[_Res4]],res_Name,0)),Tasks[[#This Row],[_Res4]]&amp;" is not on Resources. ",""))&amp;IF(Tasks[[#This Row],[_Res4Text]]="","",IF(TRIM(MID(SUBSTITUTE(Tasks[[#This Row],[Resources]],",",REPT(" ",99)),397,99))&lt;&gt;"","Only the first 4 people in Resources are used.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R205" s="67" t="str">
        <f aca="false">IF(Tasks[[#This Row],[Task Name]]="","",IF(Tasks[[#This Row],[_Level]]&lt;=OutlineShowLevel,"Yes","No"))</f>
        <v/>
      </c>
      <c r="S205" s="7"/>
      <c r="T205" s="21"/>
      <c r="U205" s="22"/>
      <c r="V205" s="7"/>
      <c r="W205" s="67" t="str">
        <f aca="false">IF(Tasks[[#This Row],[Task Name]]="","",IF(Tasks[[#This Row],[Finish]]&gt;=Tasks[[#This Row],[Planned Finish]],NETWORKDAYS.INTL(Tasks[[#This Row],[Planned Finish]],Tasks[[#This Row],[Finish]],WorkWeek,Holidays)-1,1-NETWORKDAYS.INTL(Tasks[[#This Row],[Finish]],Tasks[[#This Row],[Planned Finish]],WorkWeek,Holidays)))</f>
        <v/>
      </c>
      <c r="X205" s="58" t="str">
        <f aca="false">IF(Tasks[[#This Row],[Task Name]]="","",IF(N(Tasks[[#This Row],[Baseline Start]])&gt;0,Tasks[[#This Row],[Baseline Start]],Tasks[[#This Row],[_CalcStart]]))</f>
        <v/>
      </c>
      <c r="Y205" s="58" t="str">
        <f aca="false">IF(Tasks[[#This Row],[Task Name]]="","",IF(N(Tasks[[#This Row],[Baseline Finish]])&gt;0,Tasks[[#This Row],[Baseline Finish]],Tasks[[#This Row],[_CalcFinish]]))</f>
        <v/>
      </c>
      <c r="Z205" s="67" t="str">
        <f aca="false">IF(Tasks[[#This Row],[Task Name]]="","",IF(Tasks[[#This Row],[Start]]&gt;=Tasks[[#This Row],[Planned Start]],NETWORKDAYS.INTL(Tasks[[#This Row],[Planned Start]],Tasks[[#This Row],[Start]],WorkWeek,Holidays)-1,1-NETWORKDAYS.INTL(Tasks[[#This Row],[Start]],Tasks[[#This Row],[Planned Start]],WorkWeek,Holidays)))</f>
        <v/>
      </c>
      <c r="AA205" s="58" t="str">
        <f aca="false">IF(Tasks[[#This Row],[Task Name]]="","",IF(Tasks[[#This Row],[_IsSummary]],MIN(INDEX(Tasks[_LeafLateStart],Tasks[[#This Row],[_Row]]+1):INDEX(Tasks[_LeafLateStart],Tasks[[#This Row],[_Row]]+Tasks[[#This Row],[_Descendants]])),Tasks[[#This Row],[_LeafLateStart]]))</f>
        <v/>
      </c>
      <c r="AB205" s="58" t="str">
        <f aca="false">IF(Tasks[[#This Row],[Task Name]]="","",IF(Tasks[[#This Row],[_IsSummary]],MAX(INDEX(Tasks[_LeafLateFinish],Tasks[[#This Row],[_Row]]+1):INDEX(Tasks[_LeafLateFinish],Tasks[[#This Row],[_Row]]+Tasks[[#This Row],[_Descendants]])),Tasks[[#This Row],[_LeafLateFinish]]))</f>
        <v/>
      </c>
      <c r="AC205" s="67" t="str">
        <f aca="false">IF(Tasks[[#This Row],[Task Name]]="","",IF(Tasks[[#This Row],[_IsSummary]],MIN(INDEX(Tasks[_LeafTotalSlack],Tasks[[#This Row],[_Row]]+1):INDEX(Tasks[_LeafTotalSlack],Tasks[[#This Row],[_Row]]+Tasks[[#This Row],[_Descendants]])),Tasks[[#This Row],[_LeafTotalSlack]]))</f>
        <v/>
      </c>
      <c r="AD205" s="20"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E205" s="20"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F205" s="19"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G205" s="60"/>
      <c r="AH205" s="68"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I205" s="19"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J205" s="69" t="str">
        <f aca="false">IF(Tasks[[#This Row],[Task Name]]="","",IF(Tasks[[#This Row],[_IsSummary]],SUM(INDEX(Tasks[_LeafTotalWork],Tasks[[#This Row],[_Row]]+1):INDEX(Tasks[_LeafTotalWork],Tasks[[#This Row],[_Row]]+Tasks[[#This Row],[_Descendants]])),Tasks[[#This Row],[_LeafTotalWork]]))</f>
        <v/>
      </c>
      <c r="AK205" s="19"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L205" s="70" t="str">
        <f aca="false">IF(Tasks[[#This Row],[Task Name]]="","",IF(Tasks[[#This Row],[_IsSummary]],SUM(INDEX(Tasks[_LeafTotalCost],Tasks[[#This Row],[_Row]]+1):INDEX(Tasks[_LeafTotalCost],Tasks[[#This Row],[_Row]]+Tasks[[#This Row],[_Descendants]])),Tasks[[#This Row],[_LeafTotalCost]]))</f>
        <v/>
      </c>
      <c r="AM205" s="71"/>
      <c r="AN205" s="20" t="str">
        <f aca="false">IF(OR(Tasks[[#This Row],[Task Name]]="",Tasks[[#This Row],[Baseline Duration]]=""),"",Tasks[[#This Row],[BL Source Duration]]-N(Tasks[[#This Row],[Baseline Duration]]))</f>
        <v/>
      </c>
      <c r="AO205" s="69" t="str">
        <f aca="false">IF(OR(Tasks[[#This Row],[Task Name]]="",Tasks[[#This Row],[Baseline Work]]=""),"",Tasks[[#This Row],[Work]]-N(Tasks[[#This Row],[Baseline Work]]))</f>
        <v/>
      </c>
      <c r="AP205" s="70" t="str">
        <f aca="false">IF(OR(Tasks[[#This Row],[Task Name]]="",Tasks[[#This Row],[Baseline Cost]]=""),"",Tasks[[#This Row],[Cost]]-N(Tasks[[#This Row],[Baseline Cost]]))</f>
        <v/>
      </c>
      <c r="AQ205" s="58" t="str">
        <f aca="false">IF(Tasks[[#This Row],[Task Name]]="","",Tasks[[#This Row],[Start]])</f>
        <v/>
      </c>
      <c r="AR205" s="58" t="str">
        <f aca="false">IF(Tasks[[#This Row],[Task Name]]="","",Tasks[[#This Row],[Finish]])</f>
        <v/>
      </c>
      <c r="AS205" s="67" t="str">
        <f aca="false">IF(Tasks[[#This Row],[Task Name]]="","",IF(Tasks[[#This Row],[_IsSummary]],NETWORKDAYS.INTL(Tasks[[#This Row],[Start]],Tasks[[#This Row],[Finish]],WorkWeek,Holidays),N(Tasks[[#This Row],[Duration]])))</f>
        <v/>
      </c>
      <c r="AT205" s="69" t="str">
        <f aca="false">IF(Tasks[[#This Row],[Task Name]]="","",Tasks[[#This Row],[Work]])</f>
        <v/>
      </c>
      <c r="AU205" s="70" t="str">
        <f aca="false">IF(Tasks[[#This Row],[Task Name]]="","",Tasks[[#This Row],[Cost]])</f>
        <v/>
      </c>
      <c r="AV205" s="7"/>
      <c r="AW205" s="7"/>
      <c r="AX205" s="21"/>
      <c r="AY205" s="72"/>
      <c r="AZ205" s="71"/>
      <c r="BA205" s="70" t="str">
        <f aca="false">IF(Tasks[[#This Row],[Task Name]]="","",IF(Tasks[[#This Row],[_IsSummary]],SUM(INDEX(Tasks[_LeafEV],Tasks[[#This Row],[_Row]]+1):INDEX(Tasks[_LeafEV],Tasks[[#This Row],[_Row]]+Tasks[[#This Row],[_Descendants]])),Tasks[[#This Row],[_LeafEV]]))</f>
        <v/>
      </c>
      <c r="BB205" s="70" t="str">
        <f aca="false">IF(Tasks[[#This Row],[Task Name]]="","",IF(Tasks[[#This Row],[_IsSummary]],SUM(INDEX(Tasks[_LeafBudget],Tasks[[#This Row],[_Row]]+1):INDEX(Tasks[_LeafBudget],Tasks[[#This Row],[_Row]]+Tasks[[#This Row],[_Descendants]])),Tasks[[#This Row],[_LeafBudget]]))</f>
        <v/>
      </c>
      <c r="BC205" s="70" t="str">
        <f aca="false">IF(Tasks[[#This Row],[Task Name]]="","",IF(Tasks[[#This Row],[_IsSummary]],SUM(INDEX(Tasks[_LeafPV],Tasks[[#This Row],[_Row]]+1):INDEX(Tasks[_LeafPV],Tasks[[#This Row],[_Row]]+Tasks[[#This Row],[_Descendants]])),Tasks[[#This Row],[_LeafPV]]))</f>
        <v/>
      </c>
      <c r="BD205" s="70" t="str">
        <f aca="false">IF(Tasks[[#This Row],[Task Name]]="","",IF(Tasks[[#This Row],[_IsSummary]],SUM(INDEX(Tasks[_LeafAC],Tasks[[#This Row],[_Row]]+1):INDEX(Tasks[_LeafAC],Tasks[[#This Row],[_Row]]+Tasks[[#This Row],[_Descendants]])),Tasks[[#This Row],[_LeafAC]]))</f>
        <v/>
      </c>
      <c r="BE205" s="45" t="str">
        <f aca="false">IF(Tasks[[#This Row],[Task Name]]="","",MAX(1,N(Tasks[[#This Row],[Level]])))</f>
        <v/>
      </c>
      <c r="BF205" s="45" t="n">
        <f aca="false">ROW()-ROW(Tasks[[#Headers],[ID]])</f>
        <v>200</v>
      </c>
      <c r="BG205" s="45" t="n">
        <f aca="false">IF(OR(Tasks[[#This Row],[Task Name]]="",Tasks[[#This Row],[_Level]]&lt;=1),0,IFERROR(LOOKUP(2,1/(Tasks[[#Headers],[_Level]]:Tasks[[#This Row],[_Level]]=Tasks[[#This Row],[_Level]]-1),ROW(Tasks[[#Headers],[_Level]]:Tasks[[#This Row],[_Level]])),0))</f>
        <v>0</v>
      </c>
      <c r="BH205" s="45" t="n">
        <f aca="false">IFERROR(N(INDEX(Tasks[_Level],Tasks[[#This Row],[_Row]]+1)),0)</f>
        <v>0</v>
      </c>
      <c r="BI205" s="73" t="b">
        <f aca="false">AND(Tasks[[#This Row],[Task Name]]&lt;&gt;"",Tasks[[#This Row],[_NextLevel]]&gt;Tasks[[#This Row],[_Level]])</f>
        <v>0</v>
      </c>
      <c r="BJ205" s="45" t="n">
        <f aca="false">IF(Tasks[[#This Row],[_IsSummary]],COUNTIF(Tasks[WBS],Tasks[[#This Row],[WBS]]&amp;".*"),0)</f>
        <v>0</v>
      </c>
      <c r="BK205" s="45" t="n">
        <f aca="false">IF(AND(Tasks[[#This Row],[Task Name]]&lt;&gt;"",NOT(Tasks[[#This Row],[_IsSummary]])),1,0)</f>
        <v>0</v>
      </c>
      <c r="BL205" s="45" t="n">
        <f aca="false">IF(N(Tasks[[#This Row],[_Pred1UID]])=0,0,IFERROR(MATCH(Tasks[[#This Row],[_Pred1UID]],Tasks[UID],0),-1))</f>
        <v>0</v>
      </c>
      <c r="BM205" s="45" t="n">
        <f aca="false">IF(N(Tasks[[#This Row],[_Pred2UID]])=0,0,IFERROR(MATCH(Tasks[[#This Row],[_Pred2UID]],Tasks[UID],0),-1))</f>
        <v>0</v>
      </c>
      <c r="BN205" s="45" t="n">
        <f aca="false">IF(N(Tasks[[#This Row],[_Pred3UID]])=0,0,IFERROR(MATCH(Tasks[[#This Row],[_Pred3UID]],Tasks[UID],0),-1))</f>
        <v>0</v>
      </c>
      <c r="BO205" s="45" t="n">
        <f aca="false">IF(N(Tasks[[#This Row],[_Pred4UID]])=0,0,IFERROR(MATCH(Tasks[[#This Row],[_Pred4UID]],Tasks[UID],0),-1))</f>
        <v>0</v>
      </c>
      <c r="BP20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Q205" s="74"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R205" s="74" t="n">
        <f aca="false">IF(OR(Tasks[[#This Row],[_ConstraintCode]]=2,Tasks[[#This Row],[_ConstraintCode]]=3,Tasks[[#This Row],[_ConstraintCode]]=4,Tasks[[#This Row],[_ConstraintCode]]=6),Tasks[[#This Row],[_ConstraintStart]],0)</f>
        <v>0</v>
      </c>
      <c r="BS205" s="74" t="n">
        <f aca="false">IF(OR(Tasks[[#This Row],[_ConstraintCode]]=2,Tasks[[#This Row],[_ConstraintCode]]=3,Tasks[[#This Row],[_ConstraintCode]]=5,Tasks[[#This Row],[_ConstraintCode]]=7),Tasks[[#This Row],[_ConstraintStart]],2958465)</f>
        <v>2958465</v>
      </c>
      <c r="BT205" s="74"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U205" s="74" t="str">
        <f aca="false">IF(NOT(Tasks[[#This Row],[_IsLeaf]]=1),"",IF(N(Tasks[[#This Row],[Duration]])&lt;=0,Tasks[[#This Row],[_LeafCalcStart]],WORKDAY.INTL(Tasks[[#This Row],[_LeafCalcStart]],Tasks[[#This Row],[Duration]]-1,WorkWeek,Holidays)))</f>
        <v/>
      </c>
      <c r="BV205" s="74"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W205" s="74"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X205" s="45" t="str">
        <f aca="false">IF(Tasks[[#This Row],[Predecessors]]="","",TRIM(MID(SUBSTITUTE(SUBSTITUTE(SUBSTITUTE(UPPER(Tasks[[#This Row],[Predecessors]]),";",",")," ",""),",",REPT(" ",99)),1,99)))</f>
        <v/>
      </c>
      <c r="BY205" s="45" t="str">
        <f aca="false">IF(Tasks[[#This Row],[_Pred1Text]]="","",IFERROR(VALUE(LEFT(Tasks[[#This Row],[_Pred1Text]],MIN(FIND("F",Tasks[[#This Row],[_Pred1Text]]&amp;"F"),FIND("S",Tasks[[#This Row],[_Pred1Text]]&amp;"S"),FIND("+",Tasks[[#This Row],[_Pred1Text]]&amp;"+"),FIND("-",Tasks[[#This Row],[_Pred1Text]]&amp;"-"))-1)),""))</f>
        <v/>
      </c>
      <c r="BZ20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A20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B205" s="45" t="str">
        <f aca="false">IF(Tasks[[#This Row],[_Pred1Text]]="","",TRIM(MID(SUBSTITUTE(SUBSTITUTE(SUBSTITUTE(UPPER(Tasks[[#This Row],[Predecessors]]),";",",")," ",""),",",REPT(" ",99)),100,99)))</f>
        <v/>
      </c>
      <c r="CC205" s="45" t="str">
        <f aca="false">IF(Tasks[[#This Row],[_Pred2Text]]="","",IFERROR(VALUE(LEFT(Tasks[[#This Row],[_Pred2Text]],MIN(FIND("F",Tasks[[#This Row],[_Pred2Text]]&amp;"F"),FIND("S",Tasks[[#This Row],[_Pred2Text]]&amp;"S"),FIND("+",Tasks[[#This Row],[_Pred2Text]]&amp;"+"),FIND("-",Tasks[[#This Row],[_Pred2Text]]&amp;"-"))-1)),""))</f>
        <v/>
      </c>
      <c r="CD20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E20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F205" s="45" t="str">
        <f aca="false">IF(Tasks[[#This Row],[_Pred2Text]]="","",TRIM(MID(SUBSTITUTE(SUBSTITUTE(SUBSTITUTE(UPPER(Tasks[[#This Row],[Predecessors]]),";",",")," ",""),",",REPT(" ",99)),199,99)))</f>
        <v/>
      </c>
      <c r="CG205" s="45" t="str">
        <f aca="false">IF(Tasks[[#This Row],[_Pred3Text]]="","",IFERROR(VALUE(LEFT(Tasks[[#This Row],[_Pred3Text]],MIN(FIND("F",Tasks[[#This Row],[_Pred3Text]]&amp;"F"),FIND("S",Tasks[[#This Row],[_Pred3Text]]&amp;"S"),FIND("+",Tasks[[#This Row],[_Pred3Text]]&amp;"+"),FIND("-",Tasks[[#This Row],[_Pred3Text]]&amp;"-"))-1)),""))</f>
        <v/>
      </c>
      <c r="CH20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I20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J205" s="45" t="str">
        <f aca="false">IF(Tasks[[#This Row],[_Pred3Text]]="","",TRIM(MID(SUBSTITUTE(SUBSTITUTE(SUBSTITUTE(UPPER(Tasks[[#This Row],[Predecessors]]),";",",")," ",""),",",REPT(" ",99)),298,99)))</f>
        <v/>
      </c>
      <c r="CK205" s="45" t="str">
        <f aca="false">IF(Tasks[[#This Row],[_Pred4Text]]="","",IFERROR(VALUE(LEFT(Tasks[[#This Row],[_Pred4Text]],MIN(FIND("F",Tasks[[#This Row],[_Pred4Text]]&amp;"F"),FIND("S",Tasks[[#This Row],[_Pred4Text]]&amp;"S"),FIND("+",Tasks[[#This Row],[_Pred4Text]]&amp;"+"),FIND("-",Tasks[[#This Row],[_Pred4Text]]&amp;"-"))-1)),""))</f>
        <v/>
      </c>
      <c r="CL20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M20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N205" s="45" t="str">
        <f aca="false">IF(OR(Tasks[[#This Row],[Task Name]]="",Tasks[[#This Row],[Resources]]=""),"",TRIM(MID(SUBSTITUTE(Tasks[[#This Row],[Resources]],",",REPT(" ",99)),1,99)))</f>
        <v/>
      </c>
      <c r="CO205" s="45" t="str">
        <f aca="false">IF(Tasks[[#This Row],[_Res1Text]]="","",TRIM(MID(SUBSTITUTE(Tasks[[#This Row],[Resources]],",",REPT(" ",99)),100,99)))</f>
        <v/>
      </c>
      <c r="CP205" s="45" t="str">
        <f aca="false">IF(Tasks[[#This Row],[_Res2Text]]="","",TRIM(MID(SUBSTITUTE(Tasks[[#This Row],[Resources]],",",REPT(" ",99)),199,99)))</f>
        <v/>
      </c>
      <c r="CQ205" s="45" t="str">
        <f aca="false">IF(Tasks[[#This Row],[_Res3Text]]="","",TRIM(MID(SUBSTITUTE(Tasks[[#This Row],[Resources]],",",REPT(" ",99)),298,99)))</f>
        <v/>
      </c>
      <c r="CR205" s="45" t="str">
        <f aca="false">IF(Tasks[[#This Row],[_Res1Text]]="","",IFERROR(INDEX(res_Name,MATCH(TRIM(LEFT(Tasks[[#This Row],[_Res1Text]],FIND("[",Tasks[[#This Row],[_Res1Text]]&amp;"[")-1)),res_Name,0)),IFERROR(INDEX(res_Name,MATCH(TRIM(LEFT(Tasks[[#This Row],[_Res1Text]],FIND("[",Tasks[[#This Row],[_Res1Text]]&amp;"[")-1)),res_Initials,0)),TRIM(LEFT(Tasks[[#This Row],[_Res1Text]],FIND("[",Tasks[[#This Row],[_Res1Text]]&amp;"[")-1)))))</f>
        <v/>
      </c>
      <c r="CS20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5" s="45" t="n">
        <f aca="false">IF(NOT(Tasks[[#This Row],[_IsLeaf]]=1),0,(Tasks[[#This Row],[_Resource1]]&lt;&gt;"")+(Tasks[[#This Row],[_Res2]]&lt;&gt;"")+(Tasks[[#This Row],[_Res3]]&lt;&gt;"")+(Tasks[[#This Row],[_Res4]]&lt;&gt;""))</f>
        <v>0</v>
      </c>
      <c r="CU205" s="45" t="str">
        <f aca="false">IF(Tasks[[#This Row],[_Res2Text]]="","",IFERROR(INDEX(res_Name,MATCH(TRIM(LEFT(Tasks[[#This Row],[_Res2Text]],FIND("[",Tasks[[#This Row],[_Res2Text]]&amp;"[")-1)),res_Name,0)),IFERROR(INDEX(res_Name,MATCH(TRIM(LEFT(Tasks[[#This Row],[_Res2Text]],FIND("[",Tasks[[#This Row],[_Res2Text]]&amp;"[")-1)),res_Initials,0)),TRIM(LEFT(Tasks[[#This Row],[_Res2Text]],FIND("[",Tasks[[#This Row],[_Res2Text]]&amp;"[")-1)))))</f>
        <v/>
      </c>
      <c r="CV20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5" s="45" t="n">
        <f aca="false">IF(OR(NOT(Tasks[[#This Row],[_IsLeaf]]=1),Tasks[[#This Row],[_Res2]]=""),0,IF(ISNA(MATCH(Tasks[[#This Row],[_Res2]],res_Name,0)),0,N(Tasks[[#This Row],[Duration]])*HoursPerDay*IF(Tasks[[#This Row],[_Res2Units]]="",DefaultUnits,Tasks[[#This Row],[_Res2Units]])))</f>
        <v>0</v>
      </c>
      <c r="CX205" s="45" t="n">
        <f aca="false">IF(Tasks[[#This Row],[_Res2Work]]=0,0,Tasks[[#This Row],[_Res2Work]]*IFERROR(INDEX(res_Rate,MATCH(Tasks[[#This Row],[_Res2]],res_Name,0)),0))</f>
        <v>0</v>
      </c>
      <c r="CY205" s="45" t="n">
        <f aca="false">IF(AND(AND(Tasks[[#This Row],[_IsLeaf]]=1,Tasks[[#This Row],[_LeafTotalWork]]&gt;0),Tasks[[#This Row],[_Res2Work]]&gt;0),Tasks[[#This Row],[_Res2Work]]/(Tasks[[#This Row],[_FinishWorkday]]-Tasks[[#This Row],[_StartWorkday]]+1),0)</f>
        <v>0</v>
      </c>
      <c r="CZ205" s="45" t="n">
        <f aca="false">Tasks[[#This Row],[_Res2WorkPerWD]]*MAX(0,Tasks[[#This Row],[_StartWorkday]]-1)</f>
        <v>0</v>
      </c>
      <c r="DA205" s="45" t="n">
        <f aca="false">Tasks[[#This Row],[_Res2Work]]*Tasks[[#This Row],[_LeafProgress]]</f>
        <v>0</v>
      </c>
      <c r="DB205" s="45" t="n">
        <f aca="false">IF(Tasks[[#This Row],[_LeafTotalCost]]=0,0,Tasks[[#This Row],[_LeafAC]]*Tasks[[#This Row],[_Res2Cost]]/Tasks[[#This Row],[_LeafTotalCost]])</f>
        <v>0</v>
      </c>
      <c r="DC205" s="45" t="str">
        <f aca="false">IF(Tasks[[#This Row],[_Res3Text]]="","",IFERROR(INDEX(res_Name,MATCH(TRIM(LEFT(Tasks[[#This Row],[_Res3Text]],FIND("[",Tasks[[#This Row],[_Res3Text]]&amp;"[")-1)),res_Name,0)),IFERROR(INDEX(res_Name,MATCH(TRIM(LEFT(Tasks[[#This Row],[_Res3Text]],FIND("[",Tasks[[#This Row],[_Res3Text]]&amp;"[")-1)),res_Initials,0)),TRIM(LEFT(Tasks[[#This Row],[_Res3Text]],FIND("[",Tasks[[#This Row],[_Res3Text]]&amp;"[")-1)))))</f>
        <v/>
      </c>
      <c r="DD20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E205" s="45" t="n">
        <f aca="false">IF(OR(NOT(Tasks[[#This Row],[_IsLeaf]]=1),Tasks[[#This Row],[_Res3]]=""),0,IF(ISNA(MATCH(Tasks[[#This Row],[_Res3]],res_Name,0)),0,N(Tasks[[#This Row],[Duration]])*HoursPerDay*IF(Tasks[[#This Row],[_Res3Units]]="",DefaultUnits,Tasks[[#This Row],[_Res3Units]])))</f>
        <v>0</v>
      </c>
      <c r="DF205" s="45" t="n">
        <f aca="false">IF(Tasks[[#This Row],[_Res3Work]]=0,0,Tasks[[#This Row],[_Res3Work]]*IFERROR(INDEX(res_Rate,MATCH(Tasks[[#This Row],[_Res3]],res_Name,0)),0))</f>
        <v>0</v>
      </c>
      <c r="DG205" s="45" t="n">
        <f aca="false">IF(AND(AND(Tasks[[#This Row],[_IsLeaf]]=1,Tasks[[#This Row],[_LeafTotalWork]]&gt;0),Tasks[[#This Row],[_Res3Work]]&gt;0),Tasks[[#This Row],[_Res3Work]]/(Tasks[[#This Row],[_FinishWorkday]]-Tasks[[#This Row],[_StartWorkday]]+1),0)</f>
        <v>0</v>
      </c>
      <c r="DH205" s="45" t="n">
        <f aca="false">Tasks[[#This Row],[_Res3WorkPerWD]]*MAX(0,Tasks[[#This Row],[_StartWorkday]]-1)</f>
        <v>0</v>
      </c>
      <c r="DI205" s="45" t="n">
        <f aca="false">Tasks[[#This Row],[_Res3Work]]*Tasks[[#This Row],[_LeafProgress]]</f>
        <v>0</v>
      </c>
      <c r="DJ205" s="45" t="n">
        <f aca="false">IF(Tasks[[#This Row],[_LeafTotalCost]]=0,0,Tasks[[#This Row],[_LeafAC]]*Tasks[[#This Row],[_Res3Cost]]/Tasks[[#This Row],[_LeafTotalCost]])</f>
        <v>0</v>
      </c>
      <c r="DK205" s="45" t="str">
        <f aca="false">IF(Tasks[[#This Row],[_Res4Text]]="","",IFERROR(INDEX(res_Name,MATCH(TRIM(LEFT(Tasks[[#This Row],[_Res4Text]],FIND("[",Tasks[[#This Row],[_Res4Text]]&amp;"[")-1)),res_Name,0)),IFERROR(INDEX(res_Name,MATCH(TRIM(LEFT(Tasks[[#This Row],[_Res4Text]],FIND("[",Tasks[[#This Row],[_Res4Text]]&amp;"[")-1)),res_Initials,0)),TRIM(LEFT(Tasks[[#This Row],[_Res4Text]],FIND("[",Tasks[[#This Row],[_Res4Text]]&amp;"[")-1)))))</f>
        <v/>
      </c>
      <c r="DL20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M205" s="45" t="n">
        <f aca="false">IF(OR(NOT(Tasks[[#This Row],[_IsLeaf]]=1),Tasks[[#This Row],[_Res4]]=""),0,IF(ISNA(MATCH(Tasks[[#This Row],[_Res4]],res_Name,0)),0,N(Tasks[[#This Row],[Duration]])*HoursPerDay*IF(Tasks[[#This Row],[_Res4Units]]="",DefaultUnits,Tasks[[#This Row],[_Res4Units]])))</f>
        <v>0</v>
      </c>
      <c r="DN205" s="45" t="n">
        <f aca="false">IF(Tasks[[#This Row],[_Res4Work]]=0,0,Tasks[[#This Row],[_Res4Work]]*IFERROR(INDEX(res_Rate,MATCH(Tasks[[#This Row],[_Res4]],res_Name,0)),0))</f>
        <v>0</v>
      </c>
      <c r="DO205" s="45" t="n">
        <f aca="false">IF(AND(AND(Tasks[[#This Row],[_IsLeaf]]=1,Tasks[[#This Row],[_LeafTotalWork]]&gt;0),Tasks[[#This Row],[_Res4Work]]&gt;0),Tasks[[#This Row],[_Res4Work]]/(Tasks[[#This Row],[_FinishWorkday]]-Tasks[[#This Row],[_StartWorkday]]+1),0)</f>
        <v>0</v>
      </c>
      <c r="DP205" s="45" t="n">
        <f aca="false">Tasks[[#This Row],[_Res4WorkPerWD]]*MAX(0,Tasks[[#This Row],[_StartWorkday]]-1)</f>
        <v>0</v>
      </c>
      <c r="DQ205" s="45" t="n">
        <f aca="false">Tasks[[#This Row],[_Res4Work]]*Tasks[[#This Row],[_LeafProgress]]</f>
        <v>0</v>
      </c>
      <c r="DR205" s="45" t="n">
        <f aca="false">IF(Tasks[[#This Row],[_LeafTotalCost]]=0,0,Tasks[[#This Row],[_LeafAC]]*Tasks[[#This Row],[_Res4Cost]]/Tasks[[#This Row],[_LeafTotalCost]])</f>
        <v>0</v>
      </c>
      <c r="DS205" s="45" t="n">
        <f aca="false">IF(ISNUMBER(Tasks[[#This Row],[% Complete]]),Tasks[[#This Row],[% Complete]],IF(Tasks[[#This Row],[Stage]]="",0,IFERROR(INDEX(stg_Pct,MATCH(Tasks[[#This Row],[Stage]],stg_Name,0)),0)))</f>
        <v>0</v>
      </c>
      <c r="DT205" s="45" t="n">
        <f aca="false">IF(NOT(Tasks[[#This Row],[_IsLeaf]]=1),0,IF(N(Tasks[[#This Row],[Actual Finish]])&gt;0,1,MIN(1,Tasks[[#This Row],[_Pct]])))</f>
        <v>0</v>
      </c>
      <c r="DU205" s="45" t="n">
        <f aca="false">IF(OR(NOT(Tasks[[#This Row],[_IsLeaf]]=1),Tasks[[#This Row],[_Resource1]]=""),0,IF(ISNA(MATCH(Tasks[[#This Row],[_Resource1]],res_Name,0)),0,N(Tasks[[#This Row],[Duration]])*HoursPerDay*IF(Tasks[[#This Row],[_Units1]]="",DefaultUnits,Tasks[[#This Row],[_Units1]])))</f>
        <v>0</v>
      </c>
      <c r="DV205" s="45" t="n">
        <f aca="false">IF(Tasks[[#This Row],[_LeafWork]]=0,0,Tasks[[#This Row],[_LeafWork]]*IFERROR(INDEX(res_Rate,MATCH(Tasks[[#This Row],[_Resource1]],res_Name,0)),0))</f>
        <v>0</v>
      </c>
      <c r="DW205" s="45" t="n">
        <f aca="false">Tasks[[#This Row],[_LeafWork]]+Tasks[[#This Row],[_Res2Work]]+Tasks[[#This Row],[_Res3Work]]+Tasks[[#This Row],[_Res4Work]]</f>
        <v>0</v>
      </c>
      <c r="DX205" s="45" t="n">
        <f aca="false">Tasks[[#This Row],[_LeafCost]]+Tasks[[#This Row],[_Res2Cost]]+Tasks[[#This Row],[_Res3Cost]]+Tasks[[#This Row],[_Res4Cost]]</f>
        <v>0</v>
      </c>
      <c r="DY205" s="45" t="n">
        <f aca="false">IF(Tasks[[#This Row],[_LeafTotalCost]]=0,Tasks[[#This Row],[_LeafAC]],Tasks[[#This Row],[_LeafAC]]*Tasks[[#This Row],[_LeafCost]]/Tasks[[#This Row],[_LeafTotalCost]])</f>
        <v>0</v>
      </c>
      <c r="DZ205" s="45"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EA205" s="45"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EB205" s="45"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EC205" s="45"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ED20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E20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F20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G20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H205" s="45" t="n">
        <f aca="false">IF(NOT(Tasks[[#This Row],[_IsLeaf]]=1),0,MAX(_xlfn.MAXIFS(Tasks[_Row],Tasks[_Pred1UID],Tasks[[#This Row],[UID]]),_xlfn.MAXIFS(Tasks[_Row],Tasks[_Pred2UID],Tasks[[#This Row],[UID]]),_xlfn.MAXIFS(Tasks[_Row],Tasks[_Pred3UID],Tasks[[#This Row],[UID]]),_xlfn.MAXIFS(Tasks[_Row],Tasks[_Pred4UID],Tasks[[#This Row],[UID]])))</f>
        <v>0</v>
      </c>
      <c r="EI205" s="74"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J205" s="74"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K205" s="74" t="str">
        <f aca="false">IF(NOT(Tasks[[#This Row],[_IsLeaf]]=1),"",IF(N(Tasks[[#This Row],[Duration]])&lt;=0,Tasks[[#This Row],[_LeafLateFinish]],WORKDAY.INTL(Tasks[[#This Row],[_LeafLateFinish]],-(Tasks[[#This Row],[Duration]]-1),WorkWeek,Holidays)))</f>
        <v/>
      </c>
      <c r="EL20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M205" s="73" t="b">
        <f aca="false">AND(Tasks[[#This Row],[_IsLeaf]]=1,Tasks[[#This Row],[_LeafProgress]]&lt;1,N(Tasks[[#This Row],[_LeafTotalSlack]])&lt;=CriticalSlackDays)</f>
        <v>0</v>
      </c>
      <c r="EN205" s="45" t="n">
        <f aca="false">IF(AND(Tasks[[#This Row],[_IsLeaf]]=1,Tasks[[#This Row],[_ConstraintCode]]=1,Tasks[[#This Row],[Mode]]&lt;&gt;"Manual",N(Tasks[[#This Row],[Actual Start]])=0),MAX(0,N(Tasks[[#This Row],[Free Slack]])),0)</f>
        <v>0</v>
      </c>
      <c r="EO205" s="74" t="str">
        <f aca="false">IF(NOT(Tasks[[#This Row],[_IsLeaf]]=1),"",IF(Tasks[[#This Row],[_AlapShift]]=0,Tasks[[#This Row],[_LeafCalcStart]],WORKDAY.INTL(Tasks[[#This Row],[_LeafCalcStart]],Tasks[[#This Row],[_AlapShift]],WorkWeek,Holidays)))</f>
        <v/>
      </c>
      <c r="EP205" s="74" t="str">
        <f aca="false">IF(NOT(Tasks[[#This Row],[_IsLeaf]]=1),"",IF(Tasks[[#This Row],[_AlapShift]]=0,Tasks[[#This Row],[_LeafCalcFinish]],WORKDAY.INTL(Tasks[[#This Row],[_LeafCalcFinish]],Tasks[[#This Row],[_AlapShift]],WorkWeek,Holidays)))</f>
        <v/>
      </c>
      <c r="EQ205" s="74" t="str">
        <f aca="false">IF(NOT(Tasks[[#This Row],[_IsLeaf]]=1),"",IF(Tasks[[#This Row],[_AlapShift]]=0,Tasks[[#This Row],[_LeafFcstStart]],WORKDAY.INTL(Tasks[[#This Row],[_LeafFcstStart]],Tasks[[#This Row],[_AlapShift]],WorkWeek,Holidays)))</f>
        <v/>
      </c>
      <c r="ER205" s="74" t="str">
        <f aca="false">IF(NOT(Tasks[[#This Row],[_IsLeaf]]=1),"",IF(Tasks[[#This Row],[_AlapShift]]=0,Tasks[[#This Row],[_LeafFcstFinish]],WORKDAY.INTL(Tasks[[#This Row],[_LeafFcstFinish]],Tasks[[#This Row],[_AlapShift]],WorkWeek,Holidays)))</f>
        <v/>
      </c>
      <c r="ES205" s="74" t="str">
        <f aca="false">IF(Tasks[[#This Row],[Task Name]]="","",IF(Tasks[[#This Row],[_IsSummary]],MIN(INDEX(Tasks[_ShownCalcStart],Tasks[[#This Row],[_Row]]+1):INDEX(Tasks[_ShownCalcStart],Tasks[[#This Row],[_Row]]+Tasks[[#This Row],[_Descendants]])),Tasks[[#This Row],[_ShownCalcStart]]))</f>
        <v/>
      </c>
      <c r="ET205" s="74" t="str">
        <f aca="false">IF(Tasks[[#This Row],[Task Name]]="","",IF(Tasks[[#This Row],[_IsSummary]],MAX(INDEX(Tasks[_ShownCalcFinish],Tasks[[#This Row],[_Row]]+1):INDEX(Tasks[_ShownCalcFinish],Tasks[[#This Row],[_Row]]+Tasks[[#This Row],[_Descendants]])),Tasks[[#This Row],[_ShownCalcFinish]]))</f>
        <v/>
      </c>
      <c r="EU20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V20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W20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X20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Y205" s="74"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Z205" s="74"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FA205" s="74"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FB205" s="74"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FC205" s="74"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FD205" s="74"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FE205" s="74"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FF205" s="74"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FG205" s="45" t="n">
        <f aca="false">IF(AND(Tasks[[#This Row],[_IsLeaf]]=1,Tasks[[#This Row],[_LeafTotalWork]]&gt;0),NETWORKDAYS.INTL(ProjectStart,Tasks[[#This Row],[_ShownFcstStart]],WorkWeek,Holidays),0)</f>
        <v>0</v>
      </c>
      <c r="FH205" s="45" t="n">
        <f aca="false">IF(AND(Tasks[[#This Row],[_IsLeaf]]=1,Tasks[[#This Row],[_LeafTotalWork]]&gt;0),MAX(Tasks[[#This Row],[_StartWorkday]],NETWORKDAYS.INTL(ProjectStart,Tasks[[#This Row],[_ShownFcstFinish]],WorkWeek,Holidays)),0)</f>
        <v>0</v>
      </c>
      <c r="FI205" s="45" t="n">
        <f aca="false">IF(AND(Tasks[[#This Row],[_IsLeaf]]=1,Tasks[[#This Row],[_LeafTotalWork]]&gt;0),Tasks[[#This Row],[_LeafWork]]/(Tasks[[#This Row],[_FinishWorkday]]-Tasks[[#This Row],[_StartWorkday]]+1),0)</f>
        <v>0</v>
      </c>
      <c r="FJ205" s="45" t="n">
        <f aca="false">Tasks[[#This Row],[_WorkPerWorkday]]*(Tasks[[#This Row],[_StartWorkday]]-1)</f>
        <v>-0</v>
      </c>
      <c r="FK205" s="45" t="n">
        <f aca="false">IF(Tasks[[#This Row],[_IsLeaf]]=1,MAX(N(Tasks[[#This Row],[Duration]]),0.1),0)</f>
        <v>0</v>
      </c>
      <c r="FL205" s="45" t="n">
        <f aca="false">Tasks[[#This Row],[_WeightDur]]*Tasks[[#This Row],[_LeafProgress]]</f>
        <v>0</v>
      </c>
      <c r="FM20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N205" s="45" t="str">
        <f aca="false">IF(AND(Tasks[[#This Row],[_IsLeaf]]=1,N(Tasks[[#This Row],[Duration]])=0,Tasks[[#This Row],[_LeafProgress]]&lt;1),Tasks[[#This Row],[_ShownFcstFinish]]+Tasks[[#This Row],[_Row]]/100000,"")</f>
        <v/>
      </c>
      <c r="FO20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P205" s="45" t="n">
        <f aca="false">IF(NOT(Tasks[[#This Row],[_IsLeaf]]=1),0,IF(Tasks[[#This Row],[Baseline Cost]]="",Tasks[[#This Row],[_LeafTotalCost]],N(Tasks[[#This Row],[Baseline Cost]])))</f>
        <v>0</v>
      </c>
      <c r="FQ205" s="45" t="n">
        <f aca="false">Tasks[[#This Row],[_LeafBudget]]*Tasks[[#This Row],[_PlannedPct]]</f>
        <v>0</v>
      </c>
      <c r="FR205" s="45" t="n">
        <f aca="false">Tasks[[#This Row],[_LeafBudget]]*Tasks[[#This Row],[_LeafProgress]]</f>
        <v>0</v>
      </c>
      <c r="FS205" s="45" t="n">
        <f aca="false">IF(NOT(Tasks[[#This Row],[_IsLeaf]]=1),0,IF(Tasks[[#This Row],[Actual Cost]]="",Tasks[[#This Row],[_LeafTotalCost]]*Tasks[[#This Row],[_LeafProgress]],N(Tasks[[#This Row],[Actual Cost]])))</f>
        <v>0</v>
      </c>
      <c r="FT205" s="45" t="str">
        <f aca="false">IF(Tasks[[#This Row],[Task Name]]="","",LEFT(Tasks[[#This Row],[WBS]],FIND(".",Tasks[[#This Row],[WBS]]&amp;".")-1))</f>
        <v/>
      </c>
      <c r="FU205" s="45" t="str">
        <f aca="false">IF(AND(Tasks[[#This Row],[Task Name]]&lt;&gt;"",Tasks[[#This Row],[_Level]]=1),Tasks[[#This Row],[_Row]],"")</f>
        <v/>
      </c>
      <c r="FV205" s="45" t="str">
        <f aca="false">IF(AND(Tasks[[#This Row],[_IsLeaf]]=1,N(Tasks[[#This Row],[Duration]])=0),Tasks[[#This Row],[Planned Finish]]+Tasks[[#This Row],[_Row]]/100000,"")</f>
        <v/>
      </c>
      <c r="FW205" s="45" t="str">
        <f aca="false">IF(AND(Tasks[[#This Row],[_IsLeaf]]=1,Tasks[[#This Row],[_LeafProgress]]&lt;1,OR(N(Tasks[[#This Row],[Finish Var]])&gt;0,Tasks[[#This Row],[Status]]="Late Start")),MAX(0,Tasks[[#This Row],[Finish Var]])+1-Tasks[[#This Row],[_Row]]/1000000,"")</f>
        <v/>
      </c>
      <c r="FX205" s="45" t="str">
        <f aca="false">IF(AND(Tasks[[#This Row],[_IsLeaf]]=1,N(Tasks[[#This Row],[Actual Start]])=0,Tasks[[#This Row],[_ShownFcstStart]]&gt;=StatusDate,Tasks[[#This Row],[_ShownFcstStart]]&lt;=LookaheadEnd),Tasks[[#This Row],[_ShownFcstStart]]+Tasks[[#This Row],[_Row]]/100000,"")</f>
        <v/>
      </c>
      <c r="FY205" s="45" t="str">
        <f aca="false">IF(AND(Tasks[[#This Row],[_IsLeaf]]=1,Tasks[[#This Row],[_LeafProgress]]&lt;1,Tasks[[#This Row],[_ShownFcstFinish]]&gt;=StatusDate,Tasks[[#This Row],[_ShownFcstFinish]]&lt;=LookaheadEnd),Tasks[[#This Row],[_ShownFcstFinish]]+Tasks[[#This Row],[_Row]]/100000,"")</f>
        <v/>
      </c>
      <c r="FZ205" s="45" t="str">
        <f aca="false">IF(Tasks[[#This Row],[_LeafCritical]],Tasks[[#This Row],[_ShownFcstStart]]+Tasks[[#This Row],[_Row]]/100000,"")</f>
        <v/>
      </c>
      <c r="GA205" s="45" t="n">
        <f aca="false">Tasks[[#This Row],[_LeafWork]]*Tasks[[#This Row],[_LeafProgress]]</f>
        <v>0</v>
      </c>
      <c r="GB205" s="74" t="str">
        <f aca="false">IF(AND(Tasks[[#This Row],[_IsLeaf]]=1,Tasks[[#This Row],[_LeafProgress]]&gt;=1),IF(N(Tasks[[#This Row],[Actual Finish]])&gt;0,Tasks[[#This Row],[Actual Finish]],Tasks[[#This Row],[_ShownFcstFinish]]),"")</f>
        <v/>
      </c>
    </row>
  </sheetData>
  <conditionalFormatting sqref="A6:BD205">
    <cfRule type="expression" priority="2" aboveAverage="0" equalAverage="0" bottom="0" percent="0" rank="0" text="" dxfId="36">
      <formula>$BI6=1</formula>
    </cfRule>
  </conditionalFormatting>
  <conditionalFormatting sqref="F6:F205">
    <cfRule type="expression" priority="3" aboveAverage="0" equalAverage="0" bottom="0" percent="0" rank="0" text="" dxfId="37">
      <formula>$BI6=1</formula>
    </cfRule>
  </conditionalFormatting>
  <conditionalFormatting sqref="G6:G205">
    <cfRule type="expression" priority="4" aboveAverage="0" equalAverage="0" bottom="0" percent="0" rank="0" text="" dxfId="37">
      <formula>$BI6=1</formula>
    </cfRule>
  </conditionalFormatting>
  <conditionalFormatting sqref="U6:U205">
    <cfRule type="expression" priority="5" aboveAverage="0" equalAverage="0" bottom="0" percent="0" rank="0" text="" dxfId="37">
      <formula>$BI6=1</formula>
    </cfRule>
  </conditionalFormatting>
  <conditionalFormatting sqref="V6:V205">
    <cfRule type="expression" priority="6" aboveAverage="0" equalAverage="0" bottom="0" percent="0" rank="0" text="" dxfId="37">
      <formula>$BI6=1</formula>
    </cfRule>
  </conditionalFormatting>
  <conditionalFormatting sqref="J6:J205">
    <cfRule type="expression" priority="7" aboveAverage="0" equalAverage="0" bottom="0" percent="0" rank="0" text="" dxfId="37">
      <formula>$BI6=1</formula>
    </cfRule>
  </conditionalFormatting>
  <conditionalFormatting sqref="K6:K205">
    <cfRule type="expression" priority="8" aboveAverage="0" equalAverage="0" bottom="0" percent="0" rank="0" text="" dxfId="37">
      <formula>$BI6=1</formula>
    </cfRule>
  </conditionalFormatting>
  <conditionalFormatting sqref="I6:I205">
    <cfRule type="expression" priority="9" aboveAverage="0" equalAverage="0" bottom="0" percent="0" rank="0" text="" dxfId="37">
      <formula>$BI6=1</formula>
    </cfRule>
  </conditionalFormatting>
  <conditionalFormatting sqref="AG6:AG205">
    <cfRule type="expression" priority="10" aboveAverage="0" equalAverage="0" bottom="0" percent="0" rank="0" text="" dxfId="37">
      <formula>$BI6=1</formula>
    </cfRule>
  </conditionalFormatting>
  <conditionalFormatting sqref="H6:H205">
    <cfRule type="expression" priority="11" aboveAverage="0" equalAverage="0" bottom="0" percent="0" rank="0" text="" dxfId="37">
      <formula>$BI6=1</formula>
    </cfRule>
  </conditionalFormatting>
  <conditionalFormatting sqref="AM6:AM205">
    <cfRule type="expression" priority="12" aboveAverage="0" equalAverage="0" bottom="0" percent="0" rank="0" text="" dxfId="37">
      <formula>$BI6=1</formula>
    </cfRule>
  </conditionalFormatting>
  <conditionalFormatting sqref="O6:O205">
    <cfRule type="expression" priority="13" aboveAverage="0" equalAverage="0" bottom="0" percent="0" rank="0" text="" dxfId="22">
      <formula>$O6="Complete"</formula>
    </cfRule>
    <cfRule type="expression" priority="14" aboveAverage="0" equalAverage="0" bottom="0" percent="0" rank="0" text="" dxfId="38">
      <formula>$O6="In Progress"</formula>
    </cfRule>
    <cfRule type="expression" priority="15" aboveAverage="0" equalAverage="0" bottom="0" percent="0" rank="0" text="" dxfId="33">
      <formula>$O6="Behind"</formula>
    </cfRule>
    <cfRule type="expression" priority="16" aboveAverage="0" equalAverage="0" bottom="0" percent="0" rank="0" text="" dxfId="39">
      <formula>$O6="Late Start"</formula>
    </cfRule>
    <cfRule type="expression" priority="17" aboveAverage="0" equalAverage="0" bottom="0" percent="0" rank="0" text="" dxfId="40">
      <formula>$O6="Not Started"</formula>
    </cfRule>
  </conditionalFormatting>
  <conditionalFormatting sqref="Z6:Z205">
    <cfRule type="expression" priority="18" aboveAverage="0" equalAverage="0" bottom="0" percent="0" rank="0" text="" dxfId="33">
      <formula>AND(ISNUMBER($Z6),$Z6&gt;0)</formula>
    </cfRule>
    <cfRule type="expression" priority="19" aboveAverage="0" equalAverage="0" bottom="0" percent="0" rank="0" text="" dxfId="22">
      <formula>AND(ISNUMBER($Z6),$Z6&lt;0)</formula>
    </cfRule>
  </conditionalFormatting>
  <conditionalFormatting sqref="W6:W205">
    <cfRule type="expression" priority="20" aboveAverage="0" equalAverage="0" bottom="0" percent="0" rank="0" text="" dxfId="33">
      <formula>AND(ISNUMBER($W6),$W6&gt;0)</formula>
    </cfRule>
    <cfRule type="expression" priority="21" aboveAverage="0" equalAverage="0" bottom="0" percent="0" rank="0" text="" dxfId="22">
      <formula>AND(ISNUMBER($W6),$W6&lt;0)</formula>
    </cfRule>
  </conditionalFormatting>
  <conditionalFormatting sqref="AN6:AN205">
    <cfRule type="expression" priority="22" aboveAverage="0" equalAverage="0" bottom="0" percent="0" rank="0" text="" dxfId="33">
      <formula>AND(ISNUMBER($AN6),$AN6&gt;0)</formula>
    </cfRule>
    <cfRule type="expression" priority="23" aboveAverage="0" equalAverage="0" bottom="0" percent="0" rank="0" text="" dxfId="22">
      <formula>AND(ISNUMBER($AN6),$AN6&lt;0)</formula>
    </cfRule>
  </conditionalFormatting>
  <conditionalFormatting sqref="AO6:AO205">
    <cfRule type="expression" priority="24" aboveAverage="0" equalAverage="0" bottom="0" percent="0" rank="0" text="" dxfId="33">
      <formula>AND(ISNUMBER($AO6),$AO6&gt;0)</formula>
    </cfRule>
    <cfRule type="expression" priority="25" aboveAverage="0" equalAverage="0" bottom="0" percent="0" rank="0" text="" dxfId="22">
      <formula>AND(ISNUMBER($AO6),$AO6&lt;0)</formula>
    </cfRule>
  </conditionalFormatting>
  <conditionalFormatting sqref="AP6:AP205">
    <cfRule type="expression" priority="26" aboveAverage="0" equalAverage="0" bottom="0" percent="0" rank="0" text="" dxfId="33">
      <formula>AND(ISNUMBER($AP6),$AP6&gt;0)</formula>
    </cfRule>
    <cfRule type="expression" priority="27" aboveAverage="0" equalAverage="0" bottom="0" percent="0" rank="0" text="" dxfId="22">
      <formula>AND(ISNUMBER($AP6),$AP6&lt;0)</formula>
    </cfRule>
  </conditionalFormatting>
  <conditionalFormatting sqref="E6:E205">
    <cfRule type="expression" priority="28" aboveAverage="0" equalAverage="0" bottom="0" percent="0" rank="0" text="" dxfId="41">
      <formula>AND($BK6=1,N($F6)=0)</formula>
    </cfRule>
  </conditionalFormatting>
  <conditionalFormatting sqref="C6:C205">
    <cfRule type="expression" priority="29" aboveAverage="0" equalAverage="0" bottom="0" percent="0" rank="0" text="" dxfId="42">
      <formula>$C6="?"</formula>
    </cfRule>
  </conditionalFormatting>
  <conditionalFormatting sqref="B6:B205">
    <cfRule type="expression" priority="30" aboveAverage="0" equalAverage="0" bottom="0" percent="0" rank="0" text="" dxfId="20">
      <formula>OR(AND($E6&lt;&gt;"",$B6=""),AND($B6&lt;&gt;"",COUNTIF(tsk_UID,$B6)&gt;1))</formula>
    </cfRule>
  </conditionalFormatting>
  <conditionalFormatting sqref="AF6:AF205">
    <cfRule type="expression" priority="31" aboveAverage="0" equalAverage="0" bottom="0" percent="0" rank="0" text="" dxfId="43">
      <formula>$AF6&lt;&gt;""</formula>
    </cfRule>
  </conditionalFormatting>
  <conditionalFormatting sqref="AE6:AE205">
    <cfRule type="expression" priority="32" aboveAverage="0" equalAverage="0" bottom="0" percent="0" rank="0" text="" dxfId="33">
      <formula>LEFT($AE6,4)="Late"</formula>
    </cfRule>
    <cfRule type="expression" priority="33" aboveAverage="0" equalAverage="0" bottom="0" percent="0" rank="0" text="" dxfId="22">
      <formula>$AE6="OK"</formula>
    </cfRule>
  </conditionalFormatting>
  <conditionalFormatting sqref="P6:P205">
    <cfRule type="expression" priority="34" aboveAverage="0" equalAverage="0" bottom="0" percent="0" rank="0" text="" dxfId="44">
      <formula>$P6="Yes"</formula>
    </cfRule>
  </conditionalFormatting>
  <conditionalFormatting sqref="AC6:AC205">
    <cfRule type="expression" priority="35" aboveAverage="0" equalAverage="0" bottom="0" percent="0" rank="0" text="" dxfId="33">
      <formula>AND(ISNUMBER($AC6),$AC6&lt;0)</formula>
    </cfRule>
  </conditionalFormatting>
  <conditionalFormatting sqref="AD6:AD205">
    <cfRule type="expression" priority="36" aboveAverage="0" equalAverage="0" bottom="0" percent="0" rank="0" text="" dxfId="33">
      <formula>AND(ISNUMBER($AD6),$AD6&lt;0)</formula>
    </cfRule>
  </conditionalFormatting>
  <dataValidations count="16">
    <dataValidation allowBlank="false" error="UID must be a whole number; give each task a different one (see Settings &gt; NextFreeUID)." errorStyle="stop" errorTitle="UID" operator="greaterThanOrEqual" prompt="Pre-filled: a permanent number that other tasks' predecessors refer to. A new row: Settings &gt; NextFreeUID." promptTitle="UID" showDropDown="false" showErrorMessage="true" showInputMessage="true" sqref="B6:B205" type="whole">
      <formula1>1</formula1>
      <formula2>0</formula2>
    </dataValidation>
    <dataValidation allowBlank="false" error="Outline level must be 1-9 and at most 1 more than the row above." errorStyle="stop" errorTitle="Level" operator="between" prompt="1 = phase, 2 = task, 3 = sub-task. At most 1 more than the row above. A row with deeper rows below it becomes a summary." promptTitle="Outline level" showDropDown="false" showErrorMessage="true" showInputMessage="true" sqref="D6:D205" type="whole">
      <formula1>1</formula1>
      <formula2>9</formula2>
    </dataValidation>
    <dataValidation allowBlank="false" errorStyle="stop" operator="between" showDropDown="false" showErrorMessage="false" showInputMessage="false" sqref="T6:T205" type="list">
      <formula1>L_Mode</formula1>
      <formula2>0</formula2>
    </dataValidation>
    <dataValidation allowBlank="false" error="Duration is in working days (0 = milestone)." errorStyle="stop" operator="greaterThanOrEqual" prompt="e.g. 5. 0 = a milestone. Summaries roll up: leave them blank." promptTitle="Duration (working days)" showDropDown="false" showErrorMessage="true" showInputMessage="true" sqref="F6:F205" type="decimal">
      <formula1>0</formula1>
      <formula2>0</formula2>
    </dataValidation>
    <dataValidation allowBlank="false" errorStyle="stop" operator="between" showDropDown="false" showErrorMessage="false" showInputMessage="false" sqref="U6:U205" type="list">
      <formula1>L_Constraint</formula1>
      <formula2>0</formula2>
    </dataValidation>
    <dataValidation allowBlank="false" errorStyle="stop" operator="greaterThan" showDropDown="false" showErrorMessage="false" showInputMessage="false" sqref="V6:V205" type="date">
      <formula1>1</formula1>
      <formula2>0</formula2>
    </dataValidation>
    <dataValidation allowBlank="false" errorStyle="stop" operator="greaterThan" prompt="Optional: the date it must be done by. Issues and the Gantt flag a forecast after it." promptTitle="Deadline" showDropDown="false" showErrorMessage="false" showInputMessage="true" sqref="S6:S205" type="date">
      <formula1>1</formula1>
      <formula2>0</formula2>
    </dataValidation>
    <dataValidation allowBlank="false" errorStyle="stop" operator="greaterThan" prompt="The day work really started. Leave blank until it starts." promptTitle="Actual Start" showDropDown="false" showErrorMessage="false" showInputMessage="true" sqref="J6:J205" type="date">
      <formula1>1</formula1>
      <formula2>0</formula2>
    </dataValidation>
    <dataValidation allowBlank="false" errorStyle="stop" operator="greaterThan" prompt="The day it really finished: the task counts as 100% complete." promptTitle="Actual Finish" showDropDown="false" showErrorMessage="false" showInputMessage="true" sqref="K6:K205" type="date">
      <formula1>1</formula1>
      <formula2>0</formula2>
    </dataValidation>
    <dataValidation allowBlank="false" error="Enter 0% - 100%." errorStyle="stop" operator="between" prompt="Only to override the Stage's %: 0% - 100%. Blank = the Stage's %." promptTitle="% Complete (optional)" showDropDown="false" showErrorMessage="true" showInputMessage="true" sqref="AG6:AG205" type="decimal">
      <formula1>0</formula1>
      <formula2>1</formula2>
    </dataValidation>
    <dataValidation allowBlank="false" errorStyle="stop" operator="between" prompt="Pick where the task is. Its % Complete comes from Settings &gt; Stages. Enter Actual Start once it has started and Actual Finish at Complete." promptTitle="Stage" showDropDown="false" showErrorMessage="false" showInputMessage="true" sqref="I6:I205" type="list">
      <formula1>L_Stage</formula1>
      <formula2>0</formula2>
    </dataValidation>
    <dataValidation allowBlank="false" errorStyle="stop" operator="between" prompt="Who does it: names or initials from Resources, comma-separated. Add a share of their time in brackets, e.g. Alex Chen, JL[50%]. Pick one from the list or type several." promptTitle="Resources" showDropDown="false" showErrorMessage="false" showInputMessage="true" sqref="H6:H205" type="list">
      <formula1>res_Name</formula1>
      <formula2>0</formula2>
    </dataValidation>
    <dataValidation allowBlank="false" errorStyle="stop" operator="greaterThanOrEqual" showDropDown="false" showErrorMessage="false" showInputMessage="false" sqref="AM6:AM205" type="decimal">
      <formula1>0</formula1>
      <formula2>0</formula2>
    </dataValidation>
    <dataValidation allowBlank="true" errorStyle="stop" operator="between" prompt="What the task is, e.g. Build login page. Leave the row blank to end the plan." promptTitle="Task name" showDropDown="false" showErrorMessage="false" showInputMessage="true" sqref="E6:E205" type="none">
      <formula1>0</formula1>
      <formula2>0</formula2>
    </dataValidation>
    <dataValidation allowBlank="true" errorStyle="stop" operator="between" prompt="Anything worth knowing: assumptions, links, who to ask." promptTitle="Notes" showDropDown="false" showErrorMessage="false" showInputMessage="true" sqref="L6:L205" type="none">
      <formula1>0</formula1>
      <formula2>0</formula2>
    </dataValidation>
    <dataValidation allowBlank="true" errorStyle="stop" operator="between" prompt="e.g. 12, 14SS+2d: after 12 finishes and 2 working days after 14 starts. Types FS (default), SS, FF, SF; - = lead. Each must be a detail task above this one." promptTitle="Predecessors (by UID)" showDropDown="false" showErrorMessage="false" showInputMessage="true" sqref="G6:G205"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Q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3" ySplit="5" topLeftCell="X6" activePane="bottomRight" state="frozen"/>
      <selection pane="topLeft" activeCell="A1" activeCellId="0" sqref="A1"/>
      <selection pane="topRight" activeCell="X1" activeCellId="0" sqref="X1"/>
      <selection pane="bottomLeft" activeCell="A6" activeCellId="0" sqref="A6"/>
      <selection pane="bottomRight" activeCell="A1" activeCellId="0" sqref="A1"/>
    </sheetView>
  </sheetViews>
  <sheetFormatPr defaultColWidth="8.6796875" defaultRowHeight="15" zeroHeight="false" outlineLevelRow="2" outlineLevelCol="1"/>
  <cols>
    <col collapsed="false" customWidth="true" hidden="false" outlineLevel="0" max="1" min="1" style="0" width="5"/>
    <col collapsed="false" customWidth="true" hidden="false" outlineLevel="0" max="2" min="2" style="0" width="34"/>
    <col collapsed="false" customWidth="true" hidden="false" outlineLevel="0" max="4" min="3" style="0" width="10"/>
    <col collapsed="false" customWidth="true" hidden="false" outlineLevel="0" max="5" min="5" style="0" width="6"/>
    <col collapsed="false" customWidth="true" hidden="false" outlineLevel="0" max="6" min="6" style="0" width="13"/>
    <col collapsed="false" customWidth="true" hidden="true" outlineLevel="1" max="7" min="7" style="0" width="7"/>
    <col collapsed="false" customWidth="true" hidden="true" outlineLevel="1" max="8" min="8" style="0" width="5"/>
    <col collapsed="false" customWidth="true" hidden="true" outlineLevel="1" max="10" min="9" style="0" width="10"/>
    <col collapsed="false" customWidth="true" hidden="true" outlineLevel="1" max="11" min="11" style="0" width="11"/>
    <col collapsed="false" customWidth="true" hidden="false" outlineLevel="0" max="12" min="12" style="0" width="6"/>
    <col collapsed="false" customWidth="true" hidden="true" outlineLevel="1" max="22" min="13" style="0" width="5"/>
    <col collapsed="false" customWidth="true" hidden="false" outlineLevel="0" max="23" min="23" style="0" width="1"/>
    <col collapsed="false" customWidth="true" hidden="false" outlineLevel="0" max="173" min="24" style="0" width="2.9"/>
  </cols>
  <sheetData>
    <row r="1" customFormat="false" ht="19.7" hidden="false" customHeight="false" outlineLevel="0" collapsed="false">
      <c r="A1" s="15" t="str">
        <f aca="false">ProjectName&amp;"  -  Gantt Chart"</f>
        <v>Customer Portal Implementation  -  Gantt Chart</v>
      </c>
      <c r="X1" s="79"/>
      <c r="Y1" s="80" t="s">
        <v>171</v>
      </c>
      <c r="AJ1" s="51"/>
      <c r="AK1" s="80" t="s">
        <v>572</v>
      </c>
      <c r="AV1" s="81"/>
      <c r="AW1" s="80" t="s">
        <v>573</v>
      </c>
      <c r="BH1" s="52"/>
      <c r="BI1" s="80" t="s">
        <v>574</v>
      </c>
      <c r="BT1" s="82"/>
      <c r="BU1" s="80" t="s">
        <v>575</v>
      </c>
    </row>
    <row r="2" customFormat="false" ht="15" hidden="false" customHeight="false" outlineLevel="0" collapsed="false">
      <c r="A2" s="41" t="str">
        <f aca="false">"Status date: "&amp;TEXT(StatusDate,"ddd dd-mmm-yyyy")&amp;"   |   Forecast finish: "&amp;TEXT(MAX(tsk_FcFinish),"dd-mmm-yyyy")&amp;"   |   Planned finish: "&amp;TEXT(MAX(tsk_PlanFinish),"dd-mmm-yyyy")&amp;IF(COUNTA(tsk_Name)&gt;ROWS(GanttView[ID]),"   |   Showing the first "&amp;ROWS(GanttView[ID])&amp;" tasks","")</f>
        <v>Status date: Sun 25-Oct-2026   |   Forecast finish: 06-Jan-2027   |   Planned finish: 06-Jan-2027</v>
      </c>
      <c r="X2" s="83"/>
      <c r="Y2" s="80" t="s">
        <v>576</v>
      </c>
      <c r="AJ2" s="54"/>
      <c r="AK2" s="80" t="s">
        <v>577</v>
      </c>
      <c r="AV2" s="55"/>
      <c r="AW2" s="80" t="s">
        <v>166</v>
      </c>
      <c r="BH2" s="84"/>
      <c r="BI2" s="80" t="s">
        <v>578</v>
      </c>
      <c r="BT2" s="85"/>
      <c r="BU2" s="80" t="s">
        <v>579</v>
      </c>
    </row>
    <row r="3" customFormat="false" ht="15" hidden="false" customHeight="false" outlineLevel="0" collapsed="false">
      <c r="A3" s="2" t="s">
        <v>580</v>
      </c>
      <c r="X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Y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Z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A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B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C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D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E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F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G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H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I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J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K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L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M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N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O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P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Q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R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S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T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U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V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W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X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Y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Z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A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B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C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D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E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F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G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H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I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J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K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L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M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N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O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P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Q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R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S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T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U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V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W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X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Y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Z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A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B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C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D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E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F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G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H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I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J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K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L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M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N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O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P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Q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R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S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T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U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V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W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X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Y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Z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A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B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C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D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E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F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G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H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I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J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K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L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M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N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O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P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Q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R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S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T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U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V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W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X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Y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Z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A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B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C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D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E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F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G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H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I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J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K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L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M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N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O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P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Q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R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S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T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U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V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W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X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Y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Z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A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B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C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FD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E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FF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G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H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I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J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FK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L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FM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N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O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P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Q3" s="86"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X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Oct 26</v>
      </c>
      <c r="Y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Z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A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B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C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D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E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F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G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H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I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J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K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L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M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N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O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P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Q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R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S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T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U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V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W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X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Y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Nov 26</v>
      </c>
      <c r="AZ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A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B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C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D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E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F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G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H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I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J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K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L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M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N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O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P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Q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R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S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T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U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V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W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X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Y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Z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A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B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C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26</v>
      </c>
      <c r="CD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E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F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G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H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I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J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K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L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M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N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O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P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Q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R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S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T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U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V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W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X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Y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Z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A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B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C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D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E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F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G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H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27</v>
      </c>
      <c r="DI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J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K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L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M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N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O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P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Q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R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S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T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U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V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W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X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Y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Z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A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B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C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D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E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F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G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H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I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J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K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L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M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27</v>
      </c>
      <c r="EN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O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P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Q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R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S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T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U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V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W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X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Y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Z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A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B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C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D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E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F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G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H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I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J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K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L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M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N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O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Mar 27</v>
      </c>
      <c r="FP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Q4" s="87"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30" hidden="false" customHeight="true" outlineLevel="0" collapsed="false">
      <c r="A5" s="16" t="s">
        <v>334</v>
      </c>
      <c r="B5" s="16" t="s">
        <v>581</v>
      </c>
      <c r="C5" s="16" t="s">
        <v>160</v>
      </c>
      <c r="D5" s="16" t="s">
        <v>161</v>
      </c>
      <c r="E5" s="16" t="s">
        <v>582</v>
      </c>
      <c r="F5" s="16" t="s">
        <v>339</v>
      </c>
      <c r="G5" s="16" t="s">
        <v>156</v>
      </c>
      <c r="H5" s="16" t="s">
        <v>583</v>
      </c>
      <c r="I5" s="16" t="s">
        <v>158</v>
      </c>
      <c r="J5" s="16" t="s">
        <v>159</v>
      </c>
      <c r="K5" s="16" t="s">
        <v>121</v>
      </c>
      <c r="L5" s="16" t="s">
        <v>344</v>
      </c>
      <c r="M5" s="44" t="s">
        <v>372</v>
      </c>
      <c r="N5" s="44" t="s">
        <v>375</v>
      </c>
      <c r="O5" s="44" t="s">
        <v>584</v>
      </c>
      <c r="P5" s="44" t="s">
        <v>585</v>
      </c>
      <c r="Q5" s="44" t="s">
        <v>586</v>
      </c>
      <c r="R5" s="44" t="s">
        <v>587</v>
      </c>
      <c r="S5" s="44" t="s">
        <v>588</v>
      </c>
      <c r="T5" s="44" t="s">
        <v>589</v>
      </c>
      <c r="U5" s="44" t="s">
        <v>590</v>
      </c>
      <c r="V5" s="44" t="s">
        <v>591</v>
      </c>
      <c r="X5" s="88" t="n">
        <f aca="false">IF(GanttPeriod&lt;28,GanttStart+((COLUMN()-COLUMN(gantt_Origin))-1)*GanttPeriod,EDATE(DATE(YEAR(GanttStart),MONTH(GanttStart)-IF(GanttPeriod&gt;=90,MOD(MONTH(GanttStart)-1,3),0),1),((COLUMN()-COLUMN(gantt_Origin))-1)*IF(GanttPeriod&gt;=90,3,1)))</f>
        <v>46300</v>
      </c>
      <c r="Y5" s="88" t="n">
        <f aca="false">IF(GanttPeriod&lt;28,GanttStart+((COLUMN()-COLUMN(gantt_Origin))-1)*GanttPeriod,EDATE(DATE(YEAR(GanttStart),MONTH(GanttStart)-IF(GanttPeriod&gt;=90,MOD(MONTH(GanttStart)-1,3),0),1),((COLUMN()-COLUMN(gantt_Origin))-1)*IF(GanttPeriod&gt;=90,3,1)))</f>
        <v>46301</v>
      </c>
      <c r="Z5" s="88" t="n">
        <f aca="false">IF(GanttPeriod&lt;28,GanttStart+((COLUMN()-COLUMN(gantt_Origin))-1)*GanttPeriod,EDATE(DATE(YEAR(GanttStart),MONTH(GanttStart)-IF(GanttPeriod&gt;=90,MOD(MONTH(GanttStart)-1,3),0),1),((COLUMN()-COLUMN(gantt_Origin))-1)*IF(GanttPeriod&gt;=90,3,1)))</f>
        <v>46302</v>
      </c>
      <c r="AA5" s="88" t="n">
        <f aca="false">IF(GanttPeriod&lt;28,GanttStart+((COLUMN()-COLUMN(gantt_Origin))-1)*GanttPeriod,EDATE(DATE(YEAR(GanttStart),MONTH(GanttStart)-IF(GanttPeriod&gt;=90,MOD(MONTH(GanttStart)-1,3),0),1),((COLUMN()-COLUMN(gantt_Origin))-1)*IF(GanttPeriod&gt;=90,3,1)))</f>
        <v>46303</v>
      </c>
      <c r="AB5" s="88" t="n">
        <f aca="false">IF(GanttPeriod&lt;28,GanttStart+((COLUMN()-COLUMN(gantt_Origin))-1)*GanttPeriod,EDATE(DATE(YEAR(GanttStart),MONTH(GanttStart)-IF(GanttPeriod&gt;=90,MOD(MONTH(GanttStart)-1,3),0),1),((COLUMN()-COLUMN(gantt_Origin))-1)*IF(GanttPeriod&gt;=90,3,1)))</f>
        <v>46304</v>
      </c>
      <c r="AC5" s="88" t="n">
        <f aca="false">IF(GanttPeriod&lt;28,GanttStart+((COLUMN()-COLUMN(gantt_Origin))-1)*GanttPeriod,EDATE(DATE(YEAR(GanttStart),MONTH(GanttStart)-IF(GanttPeriod&gt;=90,MOD(MONTH(GanttStart)-1,3),0),1),((COLUMN()-COLUMN(gantt_Origin))-1)*IF(GanttPeriod&gt;=90,3,1)))</f>
        <v>46305</v>
      </c>
      <c r="AD5" s="88" t="n">
        <f aca="false">IF(GanttPeriod&lt;28,GanttStart+((COLUMN()-COLUMN(gantt_Origin))-1)*GanttPeriod,EDATE(DATE(YEAR(GanttStart),MONTH(GanttStart)-IF(GanttPeriod&gt;=90,MOD(MONTH(GanttStart)-1,3),0),1),((COLUMN()-COLUMN(gantt_Origin))-1)*IF(GanttPeriod&gt;=90,3,1)))</f>
        <v>46306</v>
      </c>
      <c r="AE5" s="88" t="n">
        <f aca="false">IF(GanttPeriod&lt;28,GanttStart+((COLUMN()-COLUMN(gantt_Origin))-1)*GanttPeriod,EDATE(DATE(YEAR(GanttStart),MONTH(GanttStart)-IF(GanttPeriod&gt;=90,MOD(MONTH(GanttStart)-1,3),0),1),((COLUMN()-COLUMN(gantt_Origin))-1)*IF(GanttPeriod&gt;=90,3,1)))</f>
        <v>46307</v>
      </c>
      <c r="AF5" s="88" t="n">
        <f aca="false">IF(GanttPeriod&lt;28,GanttStart+((COLUMN()-COLUMN(gantt_Origin))-1)*GanttPeriod,EDATE(DATE(YEAR(GanttStart),MONTH(GanttStart)-IF(GanttPeriod&gt;=90,MOD(MONTH(GanttStart)-1,3),0),1),((COLUMN()-COLUMN(gantt_Origin))-1)*IF(GanttPeriod&gt;=90,3,1)))</f>
        <v>46308</v>
      </c>
      <c r="AG5" s="88" t="n">
        <f aca="false">IF(GanttPeriod&lt;28,GanttStart+((COLUMN()-COLUMN(gantt_Origin))-1)*GanttPeriod,EDATE(DATE(YEAR(GanttStart),MONTH(GanttStart)-IF(GanttPeriod&gt;=90,MOD(MONTH(GanttStart)-1,3),0),1),((COLUMN()-COLUMN(gantt_Origin))-1)*IF(GanttPeriod&gt;=90,3,1)))</f>
        <v>46309</v>
      </c>
      <c r="AH5" s="88" t="n">
        <f aca="false">IF(GanttPeriod&lt;28,GanttStart+((COLUMN()-COLUMN(gantt_Origin))-1)*GanttPeriod,EDATE(DATE(YEAR(GanttStart),MONTH(GanttStart)-IF(GanttPeriod&gt;=90,MOD(MONTH(GanttStart)-1,3),0),1),((COLUMN()-COLUMN(gantt_Origin))-1)*IF(GanttPeriod&gt;=90,3,1)))</f>
        <v>46310</v>
      </c>
      <c r="AI5" s="88" t="n">
        <f aca="false">IF(GanttPeriod&lt;28,GanttStart+((COLUMN()-COLUMN(gantt_Origin))-1)*GanttPeriod,EDATE(DATE(YEAR(GanttStart),MONTH(GanttStart)-IF(GanttPeriod&gt;=90,MOD(MONTH(GanttStart)-1,3),0),1),((COLUMN()-COLUMN(gantt_Origin))-1)*IF(GanttPeriod&gt;=90,3,1)))</f>
        <v>46311</v>
      </c>
      <c r="AJ5" s="88" t="n">
        <f aca="false">IF(GanttPeriod&lt;28,GanttStart+((COLUMN()-COLUMN(gantt_Origin))-1)*GanttPeriod,EDATE(DATE(YEAR(GanttStart),MONTH(GanttStart)-IF(GanttPeriod&gt;=90,MOD(MONTH(GanttStart)-1,3),0),1),((COLUMN()-COLUMN(gantt_Origin))-1)*IF(GanttPeriod&gt;=90,3,1)))</f>
        <v>46312</v>
      </c>
      <c r="AK5" s="88" t="n">
        <f aca="false">IF(GanttPeriod&lt;28,GanttStart+((COLUMN()-COLUMN(gantt_Origin))-1)*GanttPeriod,EDATE(DATE(YEAR(GanttStart),MONTH(GanttStart)-IF(GanttPeriod&gt;=90,MOD(MONTH(GanttStart)-1,3),0),1),((COLUMN()-COLUMN(gantt_Origin))-1)*IF(GanttPeriod&gt;=90,3,1)))</f>
        <v>46313</v>
      </c>
      <c r="AL5" s="88" t="n">
        <f aca="false">IF(GanttPeriod&lt;28,GanttStart+((COLUMN()-COLUMN(gantt_Origin))-1)*GanttPeriod,EDATE(DATE(YEAR(GanttStart),MONTH(GanttStart)-IF(GanttPeriod&gt;=90,MOD(MONTH(GanttStart)-1,3),0),1),((COLUMN()-COLUMN(gantt_Origin))-1)*IF(GanttPeriod&gt;=90,3,1)))</f>
        <v>46314</v>
      </c>
      <c r="AM5" s="88" t="n">
        <f aca="false">IF(GanttPeriod&lt;28,GanttStart+((COLUMN()-COLUMN(gantt_Origin))-1)*GanttPeriod,EDATE(DATE(YEAR(GanttStart),MONTH(GanttStart)-IF(GanttPeriod&gt;=90,MOD(MONTH(GanttStart)-1,3),0),1),((COLUMN()-COLUMN(gantt_Origin))-1)*IF(GanttPeriod&gt;=90,3,1)))</f>
        <v>46315</v>
      </c>
      <c r="AN5" s="88" t="n">
        <f aca="false">IF(GanttPeriod&lt;28,GanttStart+((COLUMN()-COLUMN(gantt_Origin))-1)*GanttPeriod,EDATE(DATE(YEAR(GanttStart),MONTH(GanttStart)-IF(GanttPeriod&gt;=90,MOD(MONTH(GanttStart)-1,3),0),1),((COLUMN()-COLUMN(gantt_Origin))-1)*IF(GanttPeriod&gt;=90,3,1)))</f>
        <v>46316</v>
      </c>
      <c r="AO5" s="88" t="n">
        <f aca="false">IF(GanttPeriod&lt;28,GanttStart+((COLUMN()-COLUMN(gantt_Origin))-1)*GanttPeriod,EDATE(DATE(YEAR(GanttStart),MONTH(GanttStart)-IF(GanttPeriod&gt;=90,MOD(MONTH(GanttStart)-1,3),0),1),((COLUMN()-COLUMN(gantt_Origin))-1)*IF(GanttPeriod&gt;=90,3,1)))</f>
        <v>46317</v>
      </c>
      <c r="AP5" s="88" t="n">
        <f aca="false">IF(GanttPeriod&lt;28,GanttStart+((COLUMN()-COLUMN(gantt_Origin))-1)*GanttPeriod,EDATE(DATE(YEAR(GanttStart),MONTH(GanttStart)-IF(GanttPeriod&gt;=90,MOD(MONTH(GanttStart)-1,3),0),1),((COLUMN()-COLUMN(gantt_Origin))-1)*IF(GanttPeriod&gt;=90,3,1)))</f>
        <v>46318</v>
      </c>
      <c r="AQ5" s="88" t="n">
        <f aca="false">IF(GanttPeriod&lt;28,GanttStart+((COLUMN()-COLUMN(gantt_Origin))-1)*GanttPeriod,EDATE(DATE(YEAR(GanttStart),MONTH(GanttStart)-IF(GanttPeriod&gt;=90,MOD(MONTH(GanttStart)-1,3),0),1),((COLUMN()-COLUMN(gantt_Origin))-1)*IF(GanttPeriod&gt;=90,3,1)))</f>
        <v>46319</v>
      </c>
      <c r="AR5" s="88" t="n">
        <f aca="false">IF(GanttPeriod&lt;28,GanttStart+((COLUMN()-COLUMN(gantt_Origin))-1)*GanttPeriod,EDATE(DATE(YEAR(GanttStart),MONTH(GanttStart)-IF(GanttPeriod&gt;=90,MOD(MONTH(GanttStart)-1,3),0),1),((COLUMN()-COLUMN(gantt_Origin))-1)*IF(GanttPeriod&gt;=90,3,1)))</f>
        <v>46320</v>
      </c>
      <c r="AS5" s="88" t="n">
        <f aca="false">IF(GanttPeriod&lt;28,GanttStart+((COLUMN()-COLUMN(gantt_Origin))-1)*GanttPeriod,EDATE(DATE(YEAR(GanttStart),MONTH(GanttStart)-IF(GanttPeriod&gt;=90,MOD(MONTH(GanttStart)-1,3),0),1),((COLUMN()-COLUMN(gantt_Origin))-1)*IF(GanttPeriod&gt;=90,3,1)))</f>
        <v>46321</v>
      </c>
      <c r="AT5" s="88" t="n">
        <f aca="false">IF(GanttPeriod&lt;28,GanttStart+((COLUMN()-COLUMN(gantt_Origin))-1)*GanttPeriod,EDATE(DATE(YEAR(GanttStart),MONTH(GanttStart)-IF(GanttPeriod&gt;=90,MOD(MONTH(GanttStart)-1,3),0),1),((COLUMN()-COLUMN(gantt_Origin))-1)*IF(GanttPeriod&gt;=90,3,1)))</f>
        <v>46322</v>
      </c>
      <c r="AU5" s="88" t="n">
        <f aca="false">IF(GanttPeriod&lt;28,GanttStart+((COLUMN()-COLUMN(gantt_Origin))-1)*GanttPeriod,EDATE(DATE(YEAR(GanttStart),MONTH(GanttStart)-IF(GanttPeriod&gt;=90,MOD(MONTH(GanttStart)-1,3),0),1),((COLUMN()-COLUMN(gantt_Origin))-1)*IF(GanttPeriod&gt;=90,3,1)))</f>
        <v>46323</v>
      </c>
      <c r="AV5" s="88" t="n">
        <f aca="false">IF(GanttPeriod&lt;28,GanttStart+((COLUMN()-COLUMN(gantt_Origin))-1)*GanttPeriod,EDATE(DATE(YEAR(GanttStart),MONTH(GanttStart)-IF(GanttPeriod&gt;=90,MOD(MONTH(GanttStart)-1,3),0),1),((COLUMN()-COLUMN(gantt_Origin))-1)*IF(GanttPeriod&gt;=90,3,1)))</f>
        <v>46324</v>
      </c>
      <c r="AW5" s="88" t="n">
        <f aca="false">IF(GanttPeriod&lt;28,GanttStart+((COLUMN()-COLUMN(gantt_Origin))-1)*GanttPeriod,EDATE(DATE(YEAR(GanttStart),MONTH(GanttStart)-IF(GanttPeriod&gt;=90,MOD(MONTH(GanttStart)-1,3),0),1),((COLUMN()-COLUMN(gantt_Origin))-1)*IF(GanttPeriod&gt;=90,3,1)))</f>
        <v>46325</v>
      </c>
      <c r="AX5" s="88" t="n">
        <f aca="false">IF(GanttPeriod&lt;28,GanttStart+((COLUMN()-COLUMN(gantt_Origin))-1)*GanttPeriod,EDATE(DATE(YEAR(GanttStart),MONTH(GanttStart)-IF(GanttPeriod&gt;=90,MOD(MONTH(GanttStart)-1,3),0),1),((COLUMN()-COLUMN(gantt_Origin))-1)*IF(GanttPeriod&gt;=90,3,1)))</f>
        <v>46326</v>
      </c>
      <c r="AY5" s="88" t="n">
        <f aca="false">IF(GanttPeriod&lt;28,GanttStart+((COLUMN()-COLUMN(gantt_Origin))-1)*GanttPeriod,EDATE(DATE(YEAR(GanttStart),MONTH(GanttStart)-IF(GanttPeriod&gt;=90,MOD(MONTH(GanttStart)-1,3),0),1),((COLUMN()-COLUMN(gantt_Origin))-1)*IF(GanttPeriod&gt;=90,3,1)))</f>
        <v>46327</v>
      </c>
      <c r="AZ5" s="88" t="n">
        <f aca="false">IF(GanttPeriod&lt;28,GanttStart+((COLUMN()-COLUMN(gantt_Origin))-1)*GanttPeriod,EDATE(DATE(YEAR(GanttStart),MONTH(GanttStart)-IF(GanttPeriod&gt;=90,MOD(MONTH(GanttStart)-1,3),0),1),((COLUMN()-COLUMN(gantt_Origin))-1)*IF(GanttPeriod&gt;=90,3,1)))</f>
        <v>46328</v>
      </c>
      <c r="BA5" s="88" t="n">
        <f aca="false">IF(GanttPeriod&lt;28,GanttStart+((COLUMN()-COLUMN(gantt_Origin))-1)*GanttPeriod,EDATE(DATE(YEAR(GanttStart),MONTH(GanttStart)-IF(GanttPeriod&gt;=90,MOD(MONTH(GanttStart)-1,3),0),1),((COLUMN()-COLUMN(gantt_Origin))-1)*IF(GanttPeriod&gt;=90,3,1)))</f>
        <v>46329</v>
      </c>
      <c r="BB5" s="88" t="n">
        <f aca="false">IF(GanttPeriod&lt;28,GanttStart+((COLUMN()-COLUMN(gantt_Origin))-1)*GanttPeriod,EDATE(DATE(YEAR(GanttStart),MONTH(GanttStart)-IF(GanttPeriod&gt;=90,MOD(MONTH(GanttStart)-1,3),0),1),((COLUMN()-COLUMN(gantt_Origin))-1)*IF(GanttPeriod&gt;=90,3,1)))</f>
        <v>46330</v>
      </c>
      <c r="BC5" s="88" t="n">
        <f aca="false">IF(GanttPeriod&lt;28,GanttStart+((COLUMN()-COLUMN(gantt_Origin))-1)*GanttPeriod,EDATE(DATE(YEAR(GanttStart),MONTH(GanttStart)-IF(GanttPeriod&gt;=90,MOD(MONTH(GanttStart)-1,3),0),1),((COLUMN()-COLUMN(gantt_Origin))-1)*IF(GanttPeriod&gt;=90,3,1)))</f>
        <v>46331</v>
      </c>
      <c r="BD5" s="88" t="n">
        <f aca="false">IF(GanttPeriod&lt;28,GanttStart+((COLUMN()-COLUMN(gantt_Origin))-1)*GanttPeriod,EDATE(DATE(YEAR(GanttStart),MONTH(GanttStart)-IF(GanttPeriod&gt;=90,MOD(MONTH(GanttStart)-1,3),0),1),((COLUMN()-COLUMN(gantt_Origin))-1)*IF(GanttPeriod&gt;=90,3,1)))</f>
        <v>46332</v>
      </c>
      <c r="BE5" s="88" t="n">
        <f aca="false">IF(GanttPeriod&lt;28,GanttStart+((COLUMN()-COLUMN(gantt_Origin))-1)*GanttPeriod,EDATE(DATE(YEAR(GanttStart),MONTH(GanttStart)-IF(GanttPeriod&gt;=90,MOD(MONTH(GanttStart)-1,3),0),1),((COLUMN()-COLUMN(gantt_Origin))-1)*IF(GanttPeriod&gt;=90,3,1)))</f>
        <v>46333</v>
      </c>
      <c r="BF5" s="88" t="n">
        <f aca="false">IF(GanttPeriod&lt;28,GanttStart+((COLUMN()-COLUMN(gantt_Origin))-1)*GanttPeriod,EDATE(DATE(YEAR(GanttStart),MONTH(GanttStart)-IF(GanttPeriod&gt;=90,MOD(MONTH(GanttStart)-1,3),0),1),((COLUMN()-COLUMN(gantt_Origin))-1)*IF(GanttPeriod&gt;=90,3,1)))</f>
        <v>46334</v>
      </c>
      <c r="BG5" s="88" t="n">
        <f aca="false">IF(GanttPeriod&lt;28,GanttStart+((COLUMN()-COLUMN(gantt_Origin))-1)*GanttPeriod,EDATE(DATE(YEAR(GanttStart),MONTH(GanttStart)-IF(GanttPeriod&gt;=90,MOD(MONTH(GanttStart)-1,3),0),1),((COLUMN()-COLUMN(gantt_Origin))-1)*IF(GanttPeriod&gt;=90,3,1)))</f>
        <v>46335</v>
      </c>
      <c r="BH5" s="88" t="n">
        <f aca="false">IF(GanttPeriod&lt;28,GanttStart+((COLUMN()-COLUMN(gantt_Origin))-1)*GanttPeriod,EDATE(DATE(YEAR(GanttStart),MONTH(GanttStart)-IF(GanttPeriod&gt;=90,MOD(MONTH(GanttStart)-1,3),0),1),((COLUMN()-COLUMN(gantt_Origin))-1)*IF(GanttPeriod&gt;=90,3,1)))</f>
        <v>46336</v>
      </c>
      <c r="BI5" s="88" t="n">
        <f aca="false">IF(GanttPeriod&lt;28,GanttStart+((COLUMN()-COLUMN(gantt_Origin))-1)*GanttPeriod,EDATE(DATE(YEAR(GanttStart),MONTH(GanttStart)-IF(GanttPeriod&gt;=90,MOD(MONTH(GanttStart)-1,3),0),1),((COLUMN()-COLUMN(gantt_Origin))-1)*IF(GanttPeriod&gt;=90,3,1)))</f>
        <v>46337</v>
      </c>
      <c r="BJ5" s="88" t="n">
        <f aca="false">IF(GanttPeriod&lt;28,GanttStart+((COLUMN()-COLUMN(gantt_Origin))-1)*GanttPeriod,EDATE(DATE(YEAR(GanttStart),MONTH(GanttStart)-IF(GanttPeriod&gt;=90,MOD(MONTH(GanttStart)-1,3),0),1),((COLUMN()-COLUMN(gantt_Origin))-1)*IF(GanttPeriod&gt;=90,3,1)))</f>
        <v>46338</v>
      </c>
      <c r="BK5" s="88" t="n">
        <f aca="false">IF(GanttPeriod&lt;28,GanttStart+((COLUMN()-COLUMN(gantt_Origin))-1)*GanttPeriod,EDATE(DATE(YEAR(GanttStart),MONTH(GanttStart)-IF(GanttPeriod&gt;=90,MOD(MONTH(GanttStart)-1,3),0),1),((COLUMN()-COLUMN(gantt_Origin))-1)*IF(GanttPeriod&gt;=90,3,1)))</f>
        <v>46339</v>
      </c>
      <c r="BL5" s="88" t="n">
        <f aca="false">IF(GanttPeriod&lt;28,GanttStart+((COLUMN()-COLUMN(gantt_Origin))-1)*GanttPeriod,EDATE(DATE(YEAR(GanttStart),MONTH(GanttStart)-IF(GanttPeriod&gt;=90,MOD(MONTH(GanttStart)-1,3),0),1),((COLUMN()-COLUMN(gantt_Origin))-1)*IF(GanttPeriod&gt;=90,3,1)))</f>
        <v>46340</v>
      </c>
      <c r="BM5" s="88" t="n">
        <f aca="false">IF(GanttPeriod&lt;28,GanttStart+((COLUMN()-COLUMN(gantt_Origin))-1)*GanttPeriod,EDATE(DATE(YEAR(GanttStart),MONTH(GanttStart)-IF(GanttPeriod&gt;=90,MOD(MONTH(GanttStart)-1,3),0),1),((COLUMN()-COLUMN(gantt_Origin))-1)*IF(GanttPeriod&gt;=90,3,1)))</f>
        <v>46341</v>
      </c>
      <c r="BN5" s="88" t="n">
        <f aca="false">IF(GanttPeriod&lt;28,GanttStart+((COLUMN()-COLUMN(gantt_Origin))-1)*GanttPeriod,EDATE(DATE(YEAR(GanttStart),MONTH(GanttStart)-IF(GanttPeriod&gt;=90,MOD(MONTH(GanttStart)-1,3),0),1),((COLUMN()-COLUMN(gantt_Origin))-1)*IF(GanttPeriod&gt;=90,3,1)))</f>
        <v>46342</v>
      </c>
      <c r="BO5" s="88" t="n">
        <f aca="false">IF(GanttPeriod&lt;28,GanttStart+((COLUMN()-COLUMN(gantt_Origin))-1)*GanttPeriod,EDATE(DATE(YEAR(GanttStart),MONTH(GanttStart)-IF(GanttPeriod&gt;=90,MOD(MONTH(GanttStart)-1,3),0),1),((COLUMN()-COLUMN(gantt_Origin))-1)*IF(GanttPeriod&gt;=90,3,1)))</f>
        <v>46343</v>
      </c>
      <c r="BP5" s="88" t="n">
        <f aca="false">IF(GanttPeriod&lt;28,GanttStart+((COLUMN()-COLUMN(gantt_Origin))-1)*GanttPeriod,EDATE(DATE(YEAR(GanttStart),MONTH(GanttStart)-IF(GanttPeriod&gt;=90,MOD(MONTH(GanttStart)-1,3),0),1),((COLUMN()-COLUMN(gantt_Origin))-1)*IF(GanttPeriod&gt;=90,3,1)))</f>
        <v>46344</v>
      </c>
      <c r="BQ5" s="88" t="n">
        <f aca="false">IF(GanttPeriod&lt;28,GanttStart+((COLUMN()-COLUMN(gantt_Origin))-1)*GanttPeriod,EDATE(DATE(YEAR(GanttStart),MONTH(GanttStart)-IF(GanttPeriod&gt;=90,MOD(MONTH(GanttStart)-1,3),0),1),((COLUMN()-COLUMN(gantt_Origin))-1)*IF(GanttPeriod&gt;=90,3,1)))</f>
        <v>46345</v>
      </c>
      <c r="BR5" s="88" t="n">
        <f aca="false">IF(GanttPeriod&lt;28,GanttStart+((COLUMN()-COLUMN(gantt_Origin))-1)*GanttPeriod,EDATE(DATE(YEAR(GanttStart),MONTH(GanttStart)-IF(GanttPeriod&gt;=90,MOD(MONTH(GanttStart)-1,3),0),1),((COLUMN()-COLUMN(gantt_Origin))-1)*IF(GanttPeriod&gt;=90,3,1)))</f>
        <v>46346</v>
      </c>
      <c r="BS5" s="88" t="n">
        <f aca="false">IF(GanttPeriod&lt;28,GanttStart+((COLUMN()-COLUMN(gantt_Origin))-1)*GanttPeriod,EDATE(DATE(YEAR(GanttStart),MONTH(GanttStart)-IF(GanttPeriod&gt;=90,MOD(MONTH(GanttStart)-1,3),0),1),((COLUMN()-COLUMN(gantt_Origin))-1)*IF(GanttPeriod&gt;=90,3,1)))</f>
        <v>46347</v>
      </c>
      <c r="BT5" s="88" t="n">
        <f aca="false">IF(GanttPeriod&lt;28,GanttStart+((COLUMN()-COLUMN(gantt_Origin))-1)*GanttPeriod,EDATE(DATE(YEAR(GanttStart),MONTH(GanttStart)-IF(GanttPeriod&gt;=90,MOD(MONTH(GanttStart)-1,3),0),1),((COLUMN()-COLUMN(gantt_Origin))-1)*IF(GanttPeriod&gt;=90,3,1)))</f>
        <v>46348</v>
      </c>
      <c r="BU5" s="88" t="n">
        <f aca="false">IF(GanttPeriod&lt;28,GanttStart+((COLUMN()-COLUMN(gantt_Origin))-1)*GanttPeriod,EDATE(DATE(YEAR(GanttStart),MONTH(GanttStart)-IF(GanttPeriod&gt;=90,MOD(MONTH(GanttStart)-1,3),0),1),((COLUMN()-COLUMN(gantt_Origin))-1)*IF(GanttPeriod&gt;=90,3,1)))</f>
        <v>46349</v>
      </c>
      <c r="BV5" s="88" t="n">
        <f aca="false">IF(GanttPeriod&lt;28,GanttStart+((COLUMN()-COLUMN(gantt_Origin))-1)*GanttPeriod,EDATE(DATE(YEAR(GanttStart),MONTH(GanttStart)-IF(GanttPeriod&gt;=90,MOD(MONTH(GanttStart)-1,3),0),1),((COLUMN()-COLUMN(gantt_Origin))-1)*IF(GanttPeriod&gt;=90,3,1)))</f>
        <v>46350</v>
      </c>
      <c r="BW5" s="88" t="n">
        <f aca="false">IF(GanttPeriod&lt;28,GanttStart+((COLUMN()-COLUMN(gantt_Origin))-1)*GanttPeriod,EDATE(DATE(YEAR(GanttStart),MONTH(GanttStart)-IF(GanttPeriod&gt;=90,MOD(MONTH(GanttStart)-1,3),0),1),((COLUMN()-COLUMN(gantt_Origin))-1)*IF(GanttPeriod&gt;=90,3,1)))</f>
        <v>46351</v>
      </c>
      <c r="BX5" s="88" t="n">
        <f aca="false">IF(GanttPeriod&lt;28,GanttStart+((COLUMN()-COLUMN(gantt_Origin))-1)*GanttPeriod,EDATE(DATE(YEAR(GanttStart),MONTH(GanttStart)-IF(GanttPeriod&gt;=90,MOD(MONTH(GanttStart)-1,3),0),1),((COLUMN()-COLUMN(gantt_Origin))-1)*IF(GanttPeriod&gt;=90,3,1)))</f>
        <v>46352</v>
      </c>
      <c r="BY5" s="88" t="n">
        <f aca="false">IF(GanttPeriod&lt;28,GanttStart+((COLUMN()-COLUMN(gantt_Origin))-1)*GanttPeriod,EDATE(DATE(YEAR(GanttStart),MONTH(GanttStart)-IF(GanttPeriod&gt;=90,MOD(MONTH(GanttStart)-1,3),0),1),((COLUMN()-COLUMN(gantt_Origin))-1)*IF(GanttPeriod&gt;=90,3,1)))</f>
        <v>46353</v>
      </c>
      <c r="BZ5" s="88" t="n">
        <f aca="false">IF(GanttPeriod&lt;28,GanttStart+((COLUMN()-COLUMN(gantt_Origin))-1)*GanttPeriod,EDATE(DATE(YEAR(GanttStart),MONTH(GanttStart)-IF(GanttPeriod&gt;=90,MOD(MONTH(GanttStart)-1,3),0),1),((COLUMN()-COLUMN(gantt_Origin))-1)*IF(GanttPeriod&gt;=90,3,1)))</f>
        <v>46354</v>
      </c>
      <c r="CA5" s="88" t="n">
        <f aca="false">IF(GanttPeriod&lt;28,GanttStart+((COLUMN()-COLUMN(gantt_Origin))-1)*GanttPeriod,EDATE(DATE(YEAR(GanttStart),MONTH(GanttStart)-IF(GanttPeriod&gt;=90,MOD(MONTH(GanttStart)-1,3),0),1),((COLUMN()-COLUMN(gantt_Origin))-1)*IF(GanttPeriod&gt;=90,3,1)))</f>
        <v>46355</v>
      </c>
      <c r="CB5" s="88" t="n">
        <f aca="false">IF(GanttPeriod&lt;28,GanttStart+((COLUMN()-COLUMN(gantt_Origin))-1)*GanttPeriod,EDATE(DATE(YEAR(GanttStart),MONTH(GanttStart)-IF(GanttPeriod&gt;=90,MOD(MONTH(GanttStart)-1,3),0),1),((COLUMN()-COLUMN(gantt_Origin))-1)*IF(GanttPeriod&gt;=90,3,1)))</f>
        <v>46356</v>
      </c>
      <c r="CC5" s="88" t="n">
        <f aca="false">IF(GanttPeriod&lt;28,GanttStart+((COLUMN()-COLUMN(gantt_Origin))-1)*GanttPeriod,EDATE(DATE(YEAR(GanttStart),MONTH(GanttStart)-IF(GanttPeriod&gt;=90,MOD(MONTH(GanttStart)-1,3),0),1),((COLUMN()-COLUMN(gantt_Origin))-1)*IF(GanttPeriod&gt;=90,3,1)))</f>
        <v>46357</v>
      </c>
      <c r="CD5" s="88" t="n">
        <f aca="false">IF(GanttPeriod&lt;28,GanttStart+((COLUMN()-COLUMN(gantt_Origin))-1)*GanttPeriod,EDATE(DATE(YEAR(GanttStart),MONTH(GanttStart)-IF(GanttPeriod&gt;=90,MOD(MONTH(GanttStart)-1,3),0),1),((COLUMN()-COLUMN(gantt_Origin))-1)*IF(GanttPeriod&gt;=90,3,1)))</f>
        <v>46358</v>
      </c>
      <c r="CE5" s="88" t="n">
        <f aca="false">IF(GanttPeriod&lt;28,GanttStart+((COLUMN()-COLUMN(gantt_Origin))-1)*GanttPeriod,EDATE(DATE(YEAR(GanttStart),MONTH(GanttStart)-IF(GanttPeriod&gt;=90,MOD(MONTH(GanttStart)-1,3),0),1),((COLUMN()-COLUMN(gantt_Origin))-1)*IF(GanttPeriod&gt;=90,3,1)))</f>
        <v>46359</v>
      </c>
      <c r="CF5" s="88" t="n">
        <f aca="false">IF(GanttPeriod&lt;28,GanttStart+((COLUMN()-COLUMN(gantt_Origin))-1)*GanttPeriod,EDATE(DATE(YEAR(GanttStart),MONTH(GanttStart)-IF(GanttPeriod&gt;=90,MOD(MONTH(GanttStart)-1,3),0),1),((COLUMN()-COLUMN(gantt_Origin))-1)*IF(GanttPeriod&gt;=90,3,1)))</f>
        <v>46360</v>
      </c>
      <c r="CG5" s="88" t="n">
        <f aca="false">IF(GanttPeriod&lt;28,GanttStart+((COLUMN()-COLUMN(gantt_Origin))-1)*GanttPeriod,EDATE(DATE(YEAR(GanttStart),MONTH(GanttStart)-IF(GanttPeriod&gt;=90,MOD(MONTH(GanttStart)-1,3),0),1),((COLUMN()-COLUMN(gantt_Origin))-1)*IF(GanttPeriod&gt;=90,3,1)))</f>
        <v>46361</v>
      </c>
      <c r="CH5" s="88" t="n">
        <f aca="false">IF(GanttPeriod&lt;28,GanttStart+((COLUMN()-COLUMN(gantt_Origin))-1)*GanttPeriod,EDATE(DATE(YEAR(GanttStart),MONTH(GanttStart)-IF(GanttPeriod&gt;=90,MOD(MONTH(GanttStart)-1,3),0),1),((COLUMN()-COLUMN(gantt_Origin))-1)*IF(GanttPeriod&gt;=90,3,1)))</f>
        <v>46362</v>
      </c>
      <c r="CI5" s="88" t="n">
        <f aca="false">IF(GanttPeriod&lt;28,GanttStart+((COLUMN()-COLUMN(gantt_Origin))-1)*GanttPeriod,EDATE(DATE(YEAR(GanttStart),MONTH(GanttStart)-IF(GanttPeriod&gt;=90,MOD(MONTH(GanttStart)-1,3),0),1),((COLUMN()-COLUMN(gantt_Origin))-1)*IF(GanttPeriod&gt;=90,3,1)))</f>
        <v>46363</v>
      </c>
      <c r="CJ5" s="88" t="n">
        <f aca="false">IF(GanttPeriod&lt;28,GanttStart+((COLUMN()-COLUMN(gantt_Origin))-1)*GanttPeriod,EDATE(DATE(YEAR(GanttStart),MONTH(GanttStart)-IF(GanttPeriod&gt;=90,MOD(MONTH(GanttStart)-1,3),0),1),((COLUMN()-COLUMN(gantt_Origin))-1)*IF(GanttPeriod&gt;=90,3,1)))</f>
        <v>46364</v>
      </c>
      <c r="CK5" s="88" t="n">
        <f aca="false">IF(GanttPeriod&lt;28,GanttStart+((COLUMN()-COLUMN(gantt_Origin))-1)*GanttPeriod,EDATE(DATE(YEAR(GanttStart),MONTH(GanttStart)-IF(GanttPeriod&gt;=90,MOD(MONTH(GanttStart)-1,3),0),1),((COLUMN()-COLUMN(gantt_Origin))-1)*IF(GanttPeriod&gt;=90,3,1)))</f>
        <v>46365</v>
      </c>
      <c r="CL5" s="88" t="n">
        <f aca="false">IF(GanttPeriod&lt;28,GanttStart+((COLUMN()-COLUMN(gantt_Origin))-1)*GanttPeriod,EDATE(DATE(YEAR(GanttStart),MONTH(GanttStart)-IF(GanttPeriod&gt;=90,MOD(MONTH(GanttStart)-1,3),0),1),((COLUMN()-COLUMN(gantt_Origin))-1)*IF(GanttPeriod&gt;=90,3,1)))</f>
        <v>46366</v>
      </c>
      <c r="CM5" s="88" t="n">
        <f aca="false">IF(GanttPeriod&lt;28,GanttStart+((COLUMN()-COLUMN(gantt_Origin))-1)*GanttPeriod,EDATE(DATE(YEAR(GanttStart),MONTH(GanttStart)-IF(GanttPeriod&gt;=90,MOD(MONTH(GanttStart)-1,3),0),1),((COLUMN()-COLUMN(gantt_Origin))-1)*IF(GanttPeriod&gt;=90,3,1)))</f>
        <v>46367</v>
      </c>
      <c r="CN5" s="88" t="n">
        <f aca="false">IF(GanttPeriod&lt;28,GanttStart+((COLUMN()-COLUMN(gantt_Origin))-1)*GanttPeriod,EDATE(DATE(YEAR(GanttStart),MONTH(GanttStart)-IF(GanttPeriod&gt;=90,MOD(MONTH(GanttStart)-1,3),0),1),((COLUMN()-COLUMN(gantt_Origin))-1)*IF(GanttPeriod&gt;=90,3,1)))</f>
        <v>46368</v>
      </c>
      <c r="CO5" s="88" t="n">
        <f aca="false">IF(GanttPeriod&lt;28,GanttStart+((COLUMN()-COLUMN(gantt_Origin))-1)*GanttPeriod,EDATE(DATE(YEAR(GanttStart),MONTH(GanttStart)-IF(GanttPeriod&gt;=90,MOD(MONTH(GanttStart)-1,3),0),1),((COLUMN()-COLUMN(gantt_Origin))-1)*IF(GanttPeriod&gt;=90,3,1)))</f>
        <v>46369</v>
      </c>
      <c r="CP5" s="88" t="n">
        <f aca="false">IF(GanttPeriod&lt;28,GanttStart+((COLUMN()-COLUMN(gantt_Origin))-1)*GanttPeriod,EDATE(DATE(YEAR(GanttStart),MONTH(GanttStart)-IF(GanttPeriod&gt;=90,MOD(MONTH(GanttStart)-1,3),0),1),((COLUMN()-COLUMN(gantt_Origin))-1)*IF(GanttPeriod&gt;=90,3,1)))</f>
        <v>46370</v>
      </c>
      <c r="CQ5" s="88" t="n">
        <f aca="false">IF(GanttPeriod&lt;28,GanttStart+((COLUMN()-COLUMN(gantt_Origin))-1)*GanttPeriod,EDATE(DATE(YEAR(GanttStart),MONTH(GanttStart)-IF(GanttPeriod&gt;=90,MOD(MONTH(GanttStart)-1,3),0),1),((COLUMN()-COLUMN(gantt_Origin))-1)*IF(GanttPeriod&gt;=90,3,1)))</f>
        <v>46371</v>
      </c>
      <c r="CR5" s="88" t="n">
        <f aca="false">IF(GanttPeriod&lt;28,GanttStart+((COLUMN()-COLUMN(gantt_Origin))-1)*GanttPeriod,EDATE(DATE(YEAR(GanttStart),MONTH(GanttStart)-IF(GanttPeriod&gt;=90,MOD(MONTH(GanttStart)-1,3),0),1),((COLUMN()-COLUMN(gantt_Origin))-1)*IF(GanttPeriod&gt;=90,3,1)))</f>
        <v>46372</v>
      </c>
      <c r="CS5" s="88" t="n">
        <f aca="false">IF(GanttPeriod&lt;28,GanttStart+((COLUMN()-COLUMN(gantt_Origin))-1)*GanttPeriod,EDATE(DATE(YEAR(GanttStart),MONTH(GanttStart)-IF(GanttPeriod&gt;=90,MOD(MONTH(GanttStart)-1,3),0),1),((COLUMN()-COLUMN(gantt_Origin))-1)*IF(GanttPeriod&gt;=90,3,1)))</f>
        <v>46373</v>
      </c>
      <c r="CT5" s="88" t="n">
        <f aca="false">IF(GanttPeriod&lt;28,GanttStart+((COLUMN()-COLUMN(gantt_Origin))-1)*GanttPeriod,EDATE(DATE(YEAR(GanttStart),MONTH(GanttStart)-IF(GanttPeriod&gt;=90,MOD(MONTH(GanttStart)-1,3),0),1),((COLUMN()-COLUMN(gantt_Origin))-1)*IF(GanttPeriod&gt;=90,3,1)))</f>
        <v>46374</v>
      </c>
      <c r="CU5" s="88" t="n">
        <f aca="false">IF(GanttPeriod&lt;28,GanttStart+((COLUMN()-COLUMN(gantt_Origin))-1)*GanttPeriod,EDATE(DATE(YEAR(GanttStart),MONTH(GanttStart)-IF(GanttPeriod&gt;=90,MOD(MONTH(GanttStart)-1,3),0),1),((COLUMN()-COLUMN(gantt_Origin))-1)*IF(GanttPeriod&gt;=90,3,1)))</f>
        <v>46375</v>
      </c>
      <c r="CV5" s="88" t="n">
        <f aca="false">IF(GanttPeriod&lt;28,GanttStart+((COLUMN()-COLUMN(gantt_Origin))-1)*GanttPeriod,EDATE(DATE(YEAR(GanttStart),MONTH(GanttStart)-IF(GanttPeriod&gt;=90,MOD(MONTH(GanttStart)-1,3),0),1),((COLUMN()-COLUMN(gantt_Origin))-1)*IF(GanttPeriod&gt;=90,3,1)))</f>
        <v>46376</v>
      </c>
      <c r="CW5" s="88" t="n">
        <f aca="false">IF(GanttPeriod&lt;28,GanttStart+((COLUMN()-COLUMN(gantt_Origin))-1)*GanttPeriod,EDATE(DATE(YEAR(GanttStart),MONTH(GanttStart)-IF(GanttPeriod&gt;=90,MOD(MONTH(GanttStart)-1,3),0),1),((COLUMN()-COLUMN(gantt_Origin))-1)*IF(GanttPeriod&gt;=90,3,1)))</f>
        <v>46377</v>
      </c>
      <c r="CX5" s="88" t="n">
        <f aca="false">IF(GanttPeriod&lt;28,GanttStart+((COLUMN()-COLUMN(gantt_Origin))-1)*GanttPeriod,EDATE(DATE(YEAR(GanttStart),MONTH(GanttStart)-IF(GanttPeriod&gt;=90,MOD(MONTH(GanttStart)-1,3),0),1),((COLUMN()-COLUMN(gantt_Origin))-1)*IF(GanttPeriod&gt;=90,3,1)))</f>
        <v>46378</v>
      </c>
      <c r="CY5" s="88" t="n">
        <f aca="false">IF(GanttPeriod&lt;28,GanttStart+((COLUMN()-COLUMN(gantt_Origin))-1)*GanttPeriod,EDATE(DATE(YEAR(GanttStart),MONTH(GanttStart)-IF(GanttPeriod&gt;=90,MOD(MONTH(GanttStart)-1,3),0),1),((COLUMN()-COLUMN(gantt_Origin))-1)*IF(GanttPeriod&gt;=90,3,1)))</f>
        <v>46379</v>
      </c>
      <c r="CZ5" s="88" t="n">
        <f aca="false">IF(GanttPeriod&lt;28,GanttStart+((COLUMN()-COLUMN(gantt_Origin))-1)*GanttPeriod,EDATE(DATE(YEAR(GanttStart),MONTH(GanttStart)-IF(GanttPeriod&gt;=90,MOD(MONTH(GanttStart)-1,3),0),1),((COLUMN()-COLUMN(gantt_Origin))-1)*IF(GanttPeriod&gt;=90,3,1)))</f>
        <v>46380</v>
      </c>
      <c r="DA5" s="88" t="n">
        <f aca="false">IF(GanttPeriod&lt;28,GanttStart+((COLUMN()-COLUMN(gantt_Origin))-1)*GanttPeriod,EDATE(DATE(YEAR(GanttStart),MONTH(GanttStart)-IF(GanttPeriod&gt;=90,MOD(MONTH(GanttStart)-1,3),0),1),((COLUMN()-COLUMN(gantt_Origin))-1)*IF(GanttPeriod&gt;=90,3,1)))</f>
        <v>46381</v>
      </c>
      <c r="DB5" s="88" t="n">
        <f aca="false">IF(GanttPeriod&lt;28,GanttStart+((COLUMN()-COLUMN(gantt_Origin))-1)*GanttPeriod,EDATE(DATE(YEAR(GanttStart),MONTH(GanttStart)-IF(GanttPeriod&gt;=90,MOD(MONTH(GanttStart)-1,3),0),1),((COLUMN()-COLUMN(gantt_Origin))-1)*IF(GanttPeriod&gt;=90,3,1)))</f>
        <v>46382</v>
      </c>
      <c r="DC5" s="88" t="n">
        <f aca="false">IF(GanttPeriod&lt;28,GanttStart+((COLUMN()-COLUMN(gantt_Origin))-1)*GanttPeriod,EDATE(DATE(YEAR(GanttStart),MONTH(GanttStart)-IF(GanttPeriod&gt;=90,MOD(MONTH(GanttStart)-1,3),0),1),((COLUMN()-COLUMN(gantt_Origin))-1)*IF(GanttPeriod&gt;=90,3,1)))</f>
        <v>46383</v>
      </c>
      <c r="DD5" s="88" t="n">
        <f aca="false">IF(GanttPeriod&lt;28,GanttStart+((COLUMN()-COLUMN(gantt_Origin))-1)*GanttPeriod,EDATE(DATE(YEAR(GanttStart),MONTH(GanttStart)-IF(GanttPeriod&gt;=90,MOD(MONTH(GanttStart)-1,3),0),1),((COLUMN()-COLUMN(gantt_Origin))-1)*IF(GanttPeriod&gt;=90,3,1)))</f>
        <v>46384</v>
      </c>
      <c r="DE5" s="88" t="n">
        <f aca="false">IF(GanttPeriod&lt;28,GanttStart+((COLUMN()-COLUMN(gantt_Origin))-1)*GanttPeriod,EDATE(DATE(YEAR(GanttStart),MONTH(GanttStart)-IF(GanttPeriod&gt;=90,MOD(MONTH(GanttStart)-1,3),0),1),((COLUMN()-COLUMN(gantt_Origin))-1)*IF(GanttPeriod&gt;=90,3,1)))</f>
        <v>46385</v>
      </c>
      <c r="DF5" s="88" t="n">
        <f aca="false">IF(GanttPeriod&lt;28,GanttStart+((COLUMN()-COLUMN(gantt_Origin))-1)*GanttPeriod,EDATE(DATE(YEAR(GanttStart),MONTH(GanttStart)-IF(GanttPeriod&gt;=90,MOD(MONTH(GanttStart)-1,3),0),1),((COLUMN()-COLUMN(gantt_Origin))-1)*IF(GanttPeriod&gt;=90,3,1)))</f>
        <v>46386</v>
      </c>
      <c r="DG5" s="88" t="n">
        <f aca="false">IF(GanttPeriod&lt;28,GanttStart+((COLUMN()-COLUMN(gantt_Origin))-1)*GanttPeriod,EDATE(DATE(YEAR(GanttStart),MONTH(GanttStart)-IF(GanttPeriod&gt;=90,MOD(MONTH(GanttStart)-1,3),0),1),((COLUMN()-COLUMN(gantt_Origin))-1)*IF(GanttPeriod&gt;=90,3,1)))</f>
        <v>46387</v>
      </c>
      <c r="DH5" s="88" t="n">
        <f aca="false">IF(GanttPeriod&lt;28,GanttStart+((COLUMN()-COLUMN(gantt_Origin))-1)*GanttPeriod,EDATE(DATE(YEAR(GanttStart),MONTH(GanttStart)-IF(GanttPeriod&gt;=90,MOD(MONTH(GanttStart)-1,3),0),1),((COLUMN()-COLUMN(gantt_Origin))-1)*IF(GanttPeriod&gt;=90,3,1)))</f>
        <v>46388</v>
      </c>
      <c r="DI5" s="88" t="n">
        <f aca="false">IF(GanttPeriod&lt;28,GanttStart+((COLUMN()-COLUMN(gantt_Origin))-1)*GanttPeriod,EDATE(DATE(YEAR(GanttStart),MONTH(GanttStart)-IF(GanttPeriod&gt;=90,MOD(MONTH(GanttStart)-1,3),0),1),((COLUMN()-COLUMN(gantt_Origin))-1)*IF(GanttPeriod&gt;=90,3,1)))</f>
        <v>46389</v>
      </c>
      <c r="DJ5" s="88" t="n">
        <f aca="false">IF(GanttPeriod&lt;28,GanttStart+((COLUMN()-COLUMN(gantt_Origin))-1)*GanttPeriod,EDATE(DATE(YEAR(GanttStart),MONTH(GanttStart)-IF(GanttPeriod&gt;=90,MOD(MONTH(GanttStart)-1,3),0),1),((COLUMN()-COLUMN(gantt_Origin))-1)*IF(GanttPeriod&gt;=90,3,1)))</f>
        <v>46390</v>
      </c>
      <c r="DK5" s="88" t="n">
        <f aca="false">IF(GanttPeriod&lt;28,GanttStart+((COLUMN()-COLUMN(gantt_Origin))-1)*GanttPeriod,EDATE(DATE(YEAR(GanttStart),MONTH(GanttStart)-IF(GanttPeriod&gt;=90,MOD(MONTH(GanttStart)-1,3),0),1),((COLUMN()-COLUMN(gantt_Origin))-1)*IF(GanttPeriod&gt;=90,3,1)))</f>
        <v>46391</v>
      </c>
      <c r="DL5" s="88" t="n">
        <f aca="false">IF(GanttPeriod&lt;28,GanttStart+((COLUMN()-COLUMN(gantt_Origin))-1)*GanttPeriod,EDATE(DATE(YEAR(GanttStart),MONTH(GanttStart)-IF(GanttPeriod&gt;=90,MOD(MONTH(GanttStart)-1,3),0),1),((COLUMN()-COLUMN(gantt_Origin))-1)*IF(GanttPeriod&gt;=90,3,1)))</f>
        <v>46392</v>
      </c>
      <c r="DM5" s="88" t="n">
        <f aca="false">IF(GanttPeriod&lt;28,GanttStart+((COLUMN()-COLUMN(gantt_Origin))-1)*GanttPeriod,EDATE(DATE(YEAR(GanttStart),MONTH(GanttStart)-IF(GanttPeriod&gt;=90,MOD(MONTH(GanttStart)-1,3),0),1),((COLUMN()-COLUMN(gantt_Origin))-1)*IF(GanttPeriod&gt;=90,3,1)))</f>
        <v>46393</v>
      </c>
      <c r="DN5" s="88" t="n">
        <f aca="false">IF(GanttPeriod&lt;28,GanttStart+((COLUMN()-COLUMN(gantt_Origin))-1)*GanttPeriod,EDATE(DATE(YEAR(GanttStart),MONTH(GanttStart)-IF(GanttPeriod&gt;=90,MOD(MONTH(GanttStart)-1,3),0),1),((COLUMN()-COLUMN(gantt_Origin))-1)*IF(GanttPeriod&gt;=90,3,1)))</f>
        <v>46394</v>
      </c>
      <c r="DO5" s="88" t="n">
        <f aca="false">IF(GanttPeriod&lt;28,GanttStart+((COLUMN()-COLUMN(gantt_Origin))-1)*GanttPeriod,EDATE(DATE(YEAR(GanttStart),MONTH(GanttStart)-IF(GanttPeriod&gt;=90,MOD(MONTH(GanttStart)-1,3),0),1),((COLUMN()-COLUMN(gantt_Origin))-1)*IF(GanttPeriod&gt;=90,3,1)))</f>
        <v>46395</v>
      </c>
      <c r="DP5" s="88" t="n">
        <f aca="false">IF(GanttPeriod&lt;28,GanttStart+((COLUMN()-COLUMN(gantt_Origin))-1)*GanttPeriod,EDATE(DATE(YEAR(GanttStart),MONTH(GanttStart)-IF(GanttPeriod&gt;=90,MOD(MONTH(GanttStart)-1,3),0),1),((COLUMN()-COLUMN(gantt_Origin))-1)*IF(GanttPeriod&gt;=90,3,1)))</f>
        <v>46396</v>
      </c>
      <c r="DQ5" s="88" t="n">
        <f aca="false">IF(GanttPeriod&lt;28,GanttStart+((COLUMN()-COLUMN(gantt_Origin))-1)*GanttPeriod,EDATE(DATE(YEAR(GanttStart),MONTH(GanttStart)-IF(GanttPeriod&gt;=90,MOD(MONTH(GanttStart)-1,3),0),1),((COLUMN()-COLUMN(gantt_Origin))-1)*IF(GanttPeriod&gt;=90,3,1)))</f>
        <v>46397</v>
      </c>
      <c r="DR5" s="88" t="n">
        <f aca="false">IF(GanttPeriod&lt;28,GanttStart+((COLUMN()-COLUMN(gantt_Origin))-1)*GanttPeriod,EDATE(DATE(YEAR(GanttStart),MONTH(GanttStart)-IF(GanttPeriod&gt;=90,MOD(MONTH(GanttStart)-1,3),0),1),((COLUMN()-COLUMN(gantt_Origin))-1)*IF(GanttPeriod&gt;=90,3,1)))</f>
        <v>46398</v>
      </c>
      <c r="DS5" s="88" t="n">
        <f aca="false">IF(GanttPeriod&lt;28,GanttStart+((COLUMN()-COLUMN(gantt_Origin))-1)*GanttPeriod,EDATE(DATE(YEAR(GanttStart),MONTH(GanttStart)-IF(GanttPeriod&gt;=90,MOD(MONTH(GanttStart)-1,3),0),1),((COLUMN()-COLUMN(gantt_Origin))-1)*IF(GanttPeriod&gt;=90,3,1)))</f>
        <v>46399</v>
      </c>
      <c r="DT5" s="88" t="n">
        <f aca="false">IF(GanttPeriod&lt;28,GanttStart+((COLUMN()-COLUMN(gantt_Origin))-1)*GanttPeriod,EDATE(DATE(YEAR(GanttStart),MONTH(GanttStart)-IF(GanttPeriod&gt;=90,MOD(MONTH(GanttStart)-1,3),0),1),((COLUMN()-COLUMN(gantt_Origin))-1)*IF(GanttPeriod&gt;=90,3,1)))</f>
        <v>46400</v>
      </c>
      <c r="DU5" s="88" t="n">
        <f aca="false">IF(GanttPeriod&lt;28,GanttStart+((COLUMN()-COLUMN(gantt_Origin))-1)*GanttPeriod,EDATE(DATE(YEAR(GanttStart),MONTH(GanttStart)-IF(GanttPeriod&gt;=90,MOD(MONTH(GanttStart)-1,3),0),1),((COLUMN()-COLUMN(gantt_Origin))-1)*IF(GanttPeriod&gt;=90,3,1)))</f>
        <v>46401</v>
      </c>
      <c r="DV5" s="88" t="n">
        <f aca="false">IF(GanttPeriod&lt;28,GanttStart+((COLUMN()-COLUMN(gantt_Origin))-1)*GanttPeriod,EDATE(DATE(YEAR(GanttStart),MONTH(GanttStart)-IF(GanttPeriod&gt;=90,MOD(MONTH(GanttStart)-1,3),0),1),((COLUMN()-COLUMN(gantt_Origin))-1)*IF(GanttPeriod&gt;=90,3,1)))</f>
        <v>46402</v>
      </c>
      <c r="DW5" s="88" t="n">
        <f aca="false">IF(GanttPeriod&lt;28,GanttStart+((COLUMN()-COLUMN(gantt_Origin))-1)*GanttPeriod,EDATE(DATE(YEAR(GanttStart),MONTH(GanttStart)-IF(GanttPeriod&gt;=90,MOD(MONTH(GanttStart)-1,3),0),1),((COLUMN()-COLUMN(gantt_Origin))-1)*IF(GanttPeriod&gt;=90,3,1)))</f>
        <v>46403</v>
      </c>
      <c r="DX5" s="88" t="n">
        <f aca="false">IF(GanttPeriod&lt;28,GanttStart+((COLUMN()-COLUMN(gantt_Origin))-1)*GanttPeriod,EDATE(DATE(YEAR(GanttStart),MONTH(GanttStart)-IF(GanttPeriod&gt;=90,MOD(MONTH(GanttStart)-1,3),0),1),((COLUMN()-COLUMN(gantt_Origin))-1)*IF(GanttPeriod&gt;=90,3,1)))</f>
        <v>46404</v>
      </c>
      <c r="DY5" s="88" t="n">
        <f aca="false">IF(GanttPeriod&lt;28,GanttStart+((COLUMN()-COLUMN(gantt_Origin))-1)*GanttPeriod,EDATE(DATE(YEAR(GanttStart),MONTH(GanttStart)-IF(GanttPeriod&gt;=90,MOD(MONTH(GanttStart)-1,3),0),1),((COLUMN()-COLUMN(gantt_Origin))-1)*IF(GanttPeriod&gt;=90,3,1)))</f>
        <v>46405</v>
      </c>
      <c r="DZ5" s="88" t="n">
        <f aca="false">IF(GanttPeriod&lt;28,GanttStart+((COLUMN()-COLUMN(gantt_Origin))-1)*GanttPeriod,EDATE(DATE(YEAR(GanttStart),MONTH(GanttStart)-IF(GanttPeriod&gt;=90,MOD(MONTH(GanttStart)-1,3),0),1),((COLUMN()-COLUMN(gantt_Origin))-1)*IF(GanttPeriod&gt;=90,3,1)))</f>
        <v>46406</v>
      </c>
      <c r="EA5" s="88" t="n">
        <f aca="false">IF(GanttPeriod&lt;28,GanttStart+((COLUMN()-COLUMN(gantt_Origin))-1)*GanttPeriod,EDATE(DATE(YEAR(GanttStart),MONTH(GanttStart)-IF(GanttPeriod&gt;=90,MOD(MONTH(GanttStart)-1,3),0),1),((COLUMN()-COLUMN(gantt_Origin))-1)*IF(GanttPeriod&gt;=90,3,1)))</f>
        <v>46407</v>
      </c>
      <c r="EB5" s="88" t="n">
        <f aca="false">IF(GanttPeriod&lt;28,GanttStart+((COLUMN()-COLUMN(gantt_Origin))-1)*GanttPeriod,EDATE(DATE(YEAR(GanttStart),MONTH(GanttStart)-IF(GanttPeriod&gt;=90,MOD(MONTH(GanttStart)-1,3),0),1),((COLUMN()-COLUMN(gantt_Origin))-1)*IF(GanttPeriod&gt;=90,3,1)))</f>
        <v>46408</v>
      </c>
      <c r="EC5" s="88" t="n">
        <f aca="false">IF(GanttPeriod&lt;28,GanttStart+((COLUMN()-COLUMN(gantt_Origin))-1)*GanttPeriod,EDATE(DATE(YEAR(GanttStart),MONTH(GanttStart)-IF(GanttPeriod&gt;=90,MOD(MONTH(GanttStart)-1,3),0),1),((COLUMN()-COLUMN(gantt_Origin))-1)*IF(GanttPeriod&gt;=90,3,1)))</f>
        <v>46409</v>
      </c>
      <c r="ED5" s="88" t="n">
        <f aca="false">IF(GanttPeriod&lt;28,GanttStart+((COLUMN()-COLUMN(gantt_Origin))-1)*GanttPeriod,EDATE(DATE(YEAR(GanttStart),MONTH(GanttStart)-IF(GanttPeriod&gt;=90,MOD(MONTH(GanttStart)-1,3),0),1),((COLUMN()-COLUMN(gantt_Origin))-1)*IF(GanttPeriod&gt;=90,3,1)))</f>
        <v>46410</v>
      </c>
      <c r="EE5" s="88" t="n">
        <f aca="false">IF(GanttPeriod&lt;28,GanttStart+((COLUMN()-COLUMN(gantt_Origin))-1)*GanttPeriod,EDATE(DATE(YEAR(GanttStart),MONTH(GanttStart)-IF(GanttPeriod&gt;=90,MOD(MONTH(GanttStart)-1,3),0),1),((COLUMN()-COLUMN(gantt_Origin))-1)*IF(GanttPeriod&gt;=90,3,1)))</f>
        <v>46411</v>
      </c>
      <c r="EF5" s="88" t="n">
        <f aca="false">IF(GanttPeriod&lt;28,GanttStart+((COLUMN()-COLUMN(gantt_Origin))-1)*GanttPeriod,EDATE(DATE(YEAR(GanttStart),MONTH(GanttStart)-IF(GanttPeriod&gt;=90,MOD(MONTH(GanttStart)-1,3),0),1),((COLUMN()-COLUMN(gantt_Origin))-1)*IF(GanttPeriod&gt;=90,3,1)))</f>
        <v>46412</v>
      </c>
      <c r="EG5" s="88" t="n">
        <f aca="false">IF(GanttPeriod&lt;28,GanttStart+((COLUMN()-COLUMN(gantt_Origin))-1)*GanttPeriod,EDATE(DATE(YEAR(GanttStart),MONTH(GanttStart)-IF(GanttPeriod&gt;=90,MOD(MONTH(GanttStart)-1,3),0),1),((COLUMN()-COLUMN(gantt_Origin))-1)*IF(GanttPeriod&gt;=90,3,1)))</f>
        <v>46413</v>
      </c>
      <c r="EH5" s="88" t="n">
        <f aca="false">IF(GanttPeriod&lt;28,GanttStart+((COLUMN()-COLUMN(gantt_Origin))-1)*GanttPeriod,EDATE(DATE(YEAR(GanttStart),MONTH(GanttStart)-IF(GanttPeriod&gt;=90,MOD(MONTH(GanttStart)-1,3),0),1),((COLUMN()-COLUMN(gantt_Origin))-1)*IF(GanttPeriod&gt;=90,3,1)))</f>
        <v>46414</v>
      </c>
      <c r="EI5" s="88" t="n">
        <f aca="false">IF(GanttPeriod&lt;28,GanttStart+((COLUMN()-COLUMN(gantt_Origin))-1)*GanttPeriod,EDATE(DATE(YEAR(GanttStart),MONTH(GanttStart)-IF(GanttPeriod&gt;=90,MOD(MONTH(GanttStart)-1,3),0),1),((COLUMN()-COLUMN(gantt_Origin))-1)*IF(GanttPeriod&gt;=90,3,1)))</f>
        <v>46415</v>
      </c>
      <c r="EJ5" s="88" t="n">
        <f aca="false">IF(GanttPeriod&lt;28,GanttStart+((COLUMN()-COLUMN(gantt_Origin))-1)*GanttPeriod,EDATE(DATE(YEAR(GanttStart),MONTH(GanttStart)-IF(GanttPeriod&gt;=90,MOD(MONTH(GanttStart)-1,3),0),1),((COLUMN()-COLUMN(gantt_Origin))-1)*IF(GanttPeriod&gt;=90,3,1)))</f>
        <v>46416</v>
      </c>
      <c r="EK5" s="88" t="n">
        <f aca="false">IF(GanttPeriod&lt;28,GanttStart+((COLUMN()-COLUMN(gantt_Origin))-1)*GanttPeriod,EDATE(DATE(YEAR(GanttStart),MONTH(GanttStart)-IF(GanttPeriod&gt;=90,MOD(MONTH(GanttStart)-1,3),0),1),((COLUMN()-COLUMN(gantt_Origin))-1)*IF(GanttPeriod&gt;=90,3,1)))</f>
        <v>46417</v>
      </c>
      <c r="EL5" s="88" t="n">
        <f aca="false">IF(GanttPeriod&lt;28,GanttStart+((COLUMN()-COLUMN(gantt_Origin))-1)*GanttPeriod,EDATE(DATE(YEAR(GanttStart),MONTH(GanttStart)-IF(GanttPeriod&gt;=90,MOD(MONTH(GanttStart)-1,3),0),1),((COLUMN()-COLUMN(gantt_Origin))-1)*IF(GanttPeriod&gt;=90,3,1)))</f>
        <v>46418</v>
      </c>
      <c r="EM5" s="88" t="n">
        <f aca="false">IF(GanttPeriod&lt;28,GanttStart+((COLUMN()-COLUMN(gantt_Origin))-1)*GanttPeriod,EDATE(DATE(YEAR(GanttStart),MONTH(GanttStart)-IF(GanttPeriod&gt;=90,MOD(MONTH(GanttStart)-1,3),0),1),((COLUMN()-COLUMN(gantt_Origin))-1)*IF(GanttPeriod&gt;=90,3,1)))</f>
        <v>46419</v>
      </c>
      <c r="EN5" s="88" t="n">
        <f aca="false">IF(GanttPeriod&lt;28,GanttStart+((COLUMN()-COLUMN(gantt_Origin))-1)*GanttPeriod,EDATE(DATE(YEAR(GanttStart),MONTH(GanttStart)-IF(GanttPeriod&gt;=90,MOD(MONTH(GanttStart)-1,3),0),1),((COLUMN()-COLUMN(gantt_Origin))-1)*IF(GanttPeriod&gt;=90,3,1)))</f>
        <v>46420</v>
      </c>
      <c r="EO5" s="88" t="n">
        <f aca="false">IF(GanttPeriod&lt;28,GanttStart+((COLUMN()-COLUMN(gantt_Origin))-1)*GanttPeriod,EDATE(DATE(YEAR(GanttStart),MONTH(GanttStart)-IF(GanttPeriod&gt;=90,MOD(MONTH(GanttStart)-1,3),0),1),((COLUMN()-COLUMN(gantt_Origin))-1)*IF(GanttPeriod&gt;=90,3,1)))</f>
        <v>46421</v>
      </c>
      <c r="EP5" s="88" t="n">
        <f aca="false">IF(GanttPeriod&lt;28,GanttStart+((COLUMN()-COLUMN(gantt_Origin))-1)*GanttPeriod,EDATE(DATE(YEAR(GanttStart),MONTH(GanttStart)-IF(GanttPeriod&gt;=90,MOD(MONTH(GanttStart)-1,3),0),1),((COLUMN()-COLUMN(gantt_Origin))-1)*IF(GanttPeriod&gt;=90,3,1)))</f>
        <v>46422</v>
      </c>
      <c r="EQ5" s="88" t="n">
        <f aca="false">IF(GanttPeriod&lt;28,GanttStart+((COLUMN()-COLUMN(gantt_Origin))-1)*GanttPeriod,EDATE(DATE(YEAR(GanttStart),MONTH(GanttStart)-IF(GanttPeriod&gt;=90,MOD(MONTH(GanttStart)-1,3),0),1),((COLUMN()-COLUMN(gantt_Origin))-1)*IF(GanttPeriod&gt;=90,3,1)))</f>
        <v>46423</v>
      </c>
      <c r="ER5" s="88" t="n">
        <f aca="false">IF(GanttPeriod&lt;28,GanttStart+((COLUMN()-COLUMN(gantt_Origin))-1)*GanttPeriod,EDATE(DATE(YEAR(GanttStart),MONTH(GanttStart)-IF(GanttPeriod&gt;=90,MOD(MONTH(GanttStart)-1,3),0),1),((COLUMN()-COLUMN(gantt_Origin))-1)*IF(GanttPeriod&gt;=90,3,1)))</f>
        <v>46424</v>
      </c>
      <c r="ES5" s="88" t="n">
        <f aca="false">IF(GanttPeriod&lt;28,GanttStart+((COLUMN()-COLUMN(gantt_Origin))-1)*GanttPeriod,EDATE(DATE(YEAR(GanttStart),MONTH(GanttStart)-IF(GanttPeriod&gt;=90,MOD(MONTH(GanttStart)-1,3),0),1),((COLUMN()-COLUMN(gantt_Origin))-1)*IF(GanttPeriod&gt;=90,3,1)))</f>
        <v>46425</v>
      </c>
      <c r="ET5" s="88" t="n">
        <f aca="false">IF(GanttPeriod&lt;28,GanttStart+((COLUMN()-COLUMN(gantt_Origin))-1)*GanttPeriod,EDATE(DATE(YEAR(GanttStart),MONTH(GanttStart)-IF(GanttPeriod&gt;=90,MOD(MONTH(GanttStart)-1,3),0),1),((COLUMN()-COLUMN(gantt_Origin))-1)*IF(GanttPeriod&gt;=90,3,1)))</f>
        <v>46426</v>
      </c>
      <c r="EU5" s="88" t="n">
        <f aca="false">IF(GanttPeriod&lt;28,GanttStart+((COLUMN()-COLUMN(gantt_Origin))-1)*GanttPeriod,EDATE(DATE(YEAR(GanttStart),MONTH(GanttStart)-IF(GanttPeriod&gt;=90,MOD(MONTH(GanttStart)-1,3),0),1),((COLUMN()-COLUMN(gantt_Origin))-1)*IF(GanttPeriod&gt;=90,3,1)))</f>
        <v>46427</v>
      </c>
      <c r="EV5" s="88" t="n">
        <f aca="false">IF(GanttPeriod&lt;28,GanttStart+((COLUMN()-COLUMN(gantt_Origin))-1)*GanttPeriod,EDATE(DATE(YEAR(GanttStart),MONTH(GanttStart)-IF(GanttPeriod&gt;=90,MOD(MONTH(GanttStart)-1,3),0),1),((COLUMN()-COLUMN(gantt_Origin))-1)*IF(GanttPeriod&gt;=90,3,1)))</f>
        <v>46428</v>
      </c>
      <c r="EW5" s="88" t="n">
        <f aca="false">IF(GanttPeriod&lt;28,GanttStart+((COLUMN()-COLUMN(gantt_Origin))-1)*GanttPeriod,EDATE(DATE(YEAR(GanttStart),MONTH(GanttStart)-IF(GanttPeriod&gt;=90,MOD(MONTH(GanttStart)-1,3),0),1),((COLUMN()-COLUMN(gantt_Origin))-1)*IF(GanttPeriod&gt;=90,3,1)))</f>
        <v>46429</v>
      </c>
      <c r="EX5" s="88" t="n">
        <f aca="false">IF(GanttPeriod&lt;28,GanttStart+((COLUMN()-COLUMN(gantt_Origin))-1)*GanttPeriod,EDATE(DATE(YEAR(GanttStart),MONTH(GanttStart)-IF(GanttPeriod&gt;=90,MOD(MONTH(GanttStart)-1,3),0),1),((COLUMN()-COLUMN(gantt_Origin))-1)*IF(GanttPeriod&gt;=90,3,1)))</f>
        <v>46430</v>
      </c>
      <c r="EY5" s="88" t="n">
        <f aca="false">IF(GanttPeriod&lt;28,GanttStart+((COLUMN()-COLUMN(gantt_Origin))-1)*GanttPeriod,EDATE(DATE(YEAR(GanttStart),MONTH(GanttStart)-IF(GanttPeriod&gt;=90,MOD(MONTH(GanttStart)-1,3),0),1),((COLUMN()-COLUMN(gantt_Origin))-1)*IF(GanttPeriod&gt;=90,3,1)))</f>
        <v>46431</v>
      </c>
      <c r="EZ5" s="88" t="n">
        <f aca="false">IF(GanttPeriod&lt;28,GanttStart+((COLUMN()-COLUMN(gantt_Origin))-1)*GanttPeriod,EDATE(DATE(YEAR(GanttStart),MONTH(GanttStart)-IF(GanttPeriod&gt;=90,MOD(MONTH(GanttStart)-1,3),0),1),((COLUMN()-COLUMN(gantt_Origin))-1)*IF(GanttPeriod&gt;=90,3,1)))</f>
        <v>46432</v>
      </c>
      <c r="FA5" s="88" t="n">
        <f aca="false">IF(GanttPeriod&lt;28,GanttStart+((COLUMN()-COLUMN(gantt_Origin))-1)*GanttPeriod,EDATE(DATE(YEAR(GanttStart),MONTH(GanttStart)-IF(GanttPeriod&gt;=90,MOD(MONTH(GanttStart)-1,3),0),1),((COLUMN()-COLUMN(gantt_Origin))-1)*IF(GanttPeriod&gt;=90,3,1)))</f>
        <v>46433</v>
      </c>
      <c r="FB5" s="88" t="n">
        <f aca="false">IF(GanttPeriod&lt;28,GanttStart+((COLUMN()-COLUMN(gantt_Origin))-1)*GanttPeriod,EDATE(DATE(YEAR(GanttStart),MONTH(GanttStart)-IF(GanttPeriod&gt;=90,MOD(MONTH(GanttStart)-1,3),0),1),((COLUMN()-COLUMN(gantt_Origin))-1)*IF(GanttPeriod&gt;=90,3,1)))</f>
        <v>46434</v>
      </c>
      <c r="FC5" s="88" t="n">
        <f aca="false">IF(GanttPeriod&lt;28,GanttStart+((COLUMN()-COLUMN(gantt_Origin))-1)*GanttPeriod,EDATE(DATE(YEAR(GanttStart),MONTH(GanttStart)-IF(GanttPeriod&gt;=90,MOD(MONTH(GanttStart)-1,3),0),1),((COLUMN()-COLUMN(gantt_Origin))-1)*IF(GanttPeriod&gt;=90,3,1)))</f>
        <v>46435</v>
      </c>
      <c r="FD5" s="88" t="n">
        <f aca="false">IF(GanttPeriod&lt;28,GanttStart+((COLUMN()-COLUMN(gantt_Origin))-1)*GanttPeriod,EDATE(DATE(YEAR(GanttStart),MONTH(GanttStart)-IF(GanttPeriod&gt;=90,MOD(MONTH(GanttStart)-1,3),0),1),((COLUMN()-COLUMN(gantt_Origin))-1)*IF(GanttPeriod&gt;=90,3,1)))</f>
        <v>46436</v>
      </c>
      <c r="FE5" s="88" t="n">
        <f aca="false">IF(GanttPeriod&lt;28,GanttStart+((COLUMN()-COLUMN(gantt_Origin))-1)*GanttPeriod,EDATE(DATE(YEAR(GanttStart),MONTH(GanttStart)-IF(GanttPeriod&gt;=90,MOD(MONTH(GanttStart)-1,3),0),1),((COLUMN()-COLUMN(gantt_Origin))-1)*IF(GanttPeriod&gt;=90,3,1)))</f>
        <v>46437</v>
      </c>
      <c r="FF5" s="88" t="n">
        <f aca="false">IF(GanttPeriod&lt;28,GanttStart+((COLUMN()-COLUMN(gantt_Origin))-1)*GanttPeriod,EDATE(DATE(YEAR(GanttStart),MONTH(GanttStart)-IF(GanttPeriod&gt;=90,MOD(MONTH(GanttStart)-1,3),0),1),((COLUMN()-COLUMN(gantt_Origin))-1)*IF(GanttPeriod&gt;=90,3,1)))</f>
        <v>46438</v>
      </c>
      <c r="FG5" s="88" t="n">
        <f aca="false">IF(GanttPeriod&lt;28,GanttStart+((COLUMN()-COLUMN(gantt_Origin))-1)*GanttPeriod,EDATE(DATE(YEAR(GanttStart),MONTH(GanttStart)-IF(GanttPeriod&gt;=90,MOD(MONTH(GanttStart)-1,3),0),1),((COLUMN()-COLUMN(gantt_Origin))-1)*IF(GanttPeriod&gt;=90,3,1)))</f>
        <v>46439</v>
      </c>
      <c r="FH5" s="88" t="n">
        <f aca="false">IF(GanttPeriod&lt;28,GanttStart+((COLUMN()-COLUMN(gantt_Origin))-1)*GanttPeriod,EDATE(DATE(YEAR(GanttStart),MONTH(GanttStart)-IF(GanttPeriod&gt;=90,MOD(MONTH(GanttStart)-1,3),0),1),((COLUMN()-COLUMN(gantt_Origin))-1)*IF(GanttPeriod&gt;=90,3,1)))</f>
        <v>46440</v>
      </c>
      <c r="FI5" s="88" t="n">
        <f aca="false">IF(GanttPeriod&lt;28,GanttStart+((COLUMN()-COLUMN(gantt_Origin))-1)*GanttPeriod,EDATE(DATE(YEAR(GanttStart),MONTH(GanttStart)-IF(GanttPeriod&gt;=90,MOD(MONTH(GanttStart)-1,3),0),1),((COLUMN()-COLUMN(gantt_Origin))-1)*IF(GanttPeriod&gt;=90,3,1)))</f>
        <v>46441</v>
      </c>
      <c r="FJ5" s="88" t="n">
        <f aca="false">IF(GanttPeriod&lt;28,GanttStart+((COLUMN()-COLUMN(gantt_Origin))-1)*GanttPeriod,EDATE(DATE(YEAR(GanttStart),MONTH(GanttStart)-IF(GanttPeriod&gt;=90,MOD(MONTH(GanttStart)-1,3),0),1),((COLUMN()-COLUMN(gantt_Origin))-1)*IF(GanttPeriod&gt;=90,3,1)))</f>
        <v>46442</v>
      </c>
      <c r="FK5" s="88" t="n">
        <f aca="false">IF(GanttPeriod&lt;28,GanttStart+((COLUMN()-COLUMN(gantt_Origin))-1)*GanttPeriod,EDATE(DATE(YEAR(GanttStart),MONTH(GanttStart)-IF(GanttPeriod&gt;=90,MOD(MONTH(GanttStart)-1,3),0),1),((COLUMN()-COLUMN(gantt_Origin))-1)*IF(GanttPeriod&gt;=90,3,1)))</f>
        <v>46443</v>
      </c>
      <c r="FL5" s="88" t="n">
        <f aca="false">IF(GanttPeriod&lt;28,GanttStart+((COLUMN()-COLUMN(gantt_Origin))-1)*GanttPeriod,EDATE(DATE(YEAR(GanttStart),MONTH(GanttStart)-IF(GanttPeriod&gt;=90,MOD(MONTH(GanttStart)-1,3),0),1),((COLUMN()-COLUMN(gantt_Origin))-1)*IF(GanttPeriod&gt;=90,3,1)))</f>
        <v>46444</v>
      </c>
      <c r="FM5" s="88" t="n">
        <f aca="false">IF(GanttPeriod&lt;28,GanttStart+((COLUMN()-COLUMN(gantt_Origin))-1)*GanttPeriod,EDATE(DATE(YEAR(GanttStart),MONTH(GanttStart)-IF(GanttPeriod&gt;=90,MOD(MONTH(GanttStart)-1,3),0),1),((COLUMN()-COLUMN(gantt_Origin))-1)*IF(GanttPeriod&gt;=90,3,1)))</f>
        <v>46445</v>
      </c>
      <c r="FN5" s="88" t="n">
        <f aca="false">IF(GanttPeriod&lt;28,GanttStart+((COLUMN()-COLUMN(gantt_Origin))-1)*GanttPeriod,EDATE(DATE(YEAR(GanttStart),MONTH(GanttStart)-IF(GanttPeriod&gt;=90,MOD(MONTH(GanttStart)-1,3),0),1),((COLUMN()-COLUMN(gantt_Origin))-1)*IF(GanttPeriod&gt;=90,3,1)))</f>
        <v>46446</v>
      </c>
      <c r="FO5" s="88" t="n">
        <f aca="false">IF(GanttPeriod&lt;28,GanttStart+((COLUMN()-COLUMN(gantt_Origin))-1)*GanttPeriod,EDATE(DATE(YEAR(GanttStart),MONTH(GanttStart)-IF(GanttPeriod&gt;=90,MOD(MONTH(GanttStart)-1,3),0),1),((COLUMN()-COLUMN(gantt_Origin))-1)*IF(GanttPeriod&gt;=90,3,1)))</f>
        <v>46447</v>
      </c>
      <c r="FP5" s="88" t="n">
        <f aca="false">IF(GanttPeriod&lt;28,GanttStart+((COLUMN()-COLUMN(gantt_Origin))-1)*GanttPeriod,EDATE(DATE(YEAR(GanttStart),MONTH(GanttStart)-IF(GanttPeriod&gt;=90,MOD(MONTH(GanttStart)-1,3),0),1),((COLUMN()-COLUMN(gantt_Origin))-1)*IF(GanttPeriod&gt;=90,3,1)))</f>
        <v>46448</v>
      </c>
      <c r="FQ5" s="88" t="n">
        <f aca="false">IF(GanttPeriod&lt;28,GanttStart+((COLUMN()-COLUMN(gantt_Origin))-1)*GanttPeriod,EDATE(DATE(YEAR(GanttStart),MONTH(GanttStart)-IF(GanttPeriod&gt;=90,MOD(MONTH(GanttStart)-1,3),0),1),((COLUMN()-COLUMN(gantt_Origin))-1)*IF(GanttPeriod&gt;=90,3,1)))</f>
        <v>46449</v>
      </c>
    </row>
    <row r="6" customFormat="false" ht="15" hidden="false" customHeight="false" outlineLevel="0" collapsed="false">
      <c r="A6" s="89" t="n">
        <f aca="false">IF(IFERROR(INDEX(tsk_Name,GanttView[[#This Row],[_Row]])="",TRUE()),"",INDEX(tsk_ID,GanttView[[#This Row],[_Row]]))</f>
        <v>1</v>
      </c>
      <c r="B6" s="90" t="str">
        <f aca="false">IF(IFERROR(INDEX(tsk_Name,GanttView[[#This Row],[_Row]])="",TRUE()),"",REPT("    ",INDEX(tsk_Level,GanttView[[#This Row],[_Row]])-1)&amp;INDEX(tsk_Name,GanttView[[#This Row],[_Row]]))</f>
        <v>Initiation</v>
      </c>
      <c r="C6" s="91" t="n">
        <f aca="false">IF(IFERROR(INDEX(tsk_Name,GanttView[[#This Row],[_Row]])="",TRUE()),"",INDEX(tsk_FcStart,GanttView[[#This Row],[_Row]]))</f>
        <v>46272</v>
      </c>
      <c r="D6" s="91" t="n">
        <f aca="false">IF(IFERROR(INDEX(tsk_Name,GanttView[[#This Row],[_Row]])="",TRUE()),"",INDEX(tsk_FcFinish,GanttView[[#This Row],[_Row]]))</f>
        <v>46279</v>
      </c>
      <c r="E6" s="92" t="n">
        <f aca="false">IF(IFERROR(INDEX(tsk_Name,GanttView[[#This Row],[_Row]])="",TRUE()),"",INDEX(tsk_Progress,GanttView[[#This Row],[_Row]]))</f>
        <v>1</v>
      </c>
      <c r="F6" s="90" t="str">
        <f aca="false">IF(IFERROR(INDEX(tsk_Name,GanttView[[#This Row],[_Row]])="",TRUE()),"",INDEX(tsk_ResourceNames,GanttView[[#This Row],[_Row]])&amp;"")</f>
        <v/>
      </c>
      <c r="G6" s="89" t="str">
        <f aca="false">IF(IFERROR(INDEX(tsk_Name,GanttView[[#This Row],[_Row]])="",TRUE()),"",INDEX(tsk_WBS,GanttView[[#This Row],[_Row]]))</f>
        <v>1</v>
      </c>
      <c r="H6" s="89" t="n">
        <f aca="false">IF(IFERROR(INDEX(tsk_Name,GanttView[[#This Row],[_Row]])="",TRUE()),"",IF(INDEX(tsk_IsSummary,GanttView[[#This Row],[_Row]]),NETWORKDAYS.INTL(INDEX(tsk_FcStart,GanttView[[#This Row],[_Row]]),INDEX(tsk_FcFinish,GanttView[[#This Row],[_Row]]),WorkWeek,Holidays),N(INDEX(tsk_Duration,GanttView[[#This Row],[_Row]]))))</f>
        <v>6</v>
      </c>
      <c r="I6" s="91" t="n">
        <f aca="false">IF(IFERROR(INDEX(tsk_Name,GanttView[[#This Row],[_Row]])="",TRUE()),"",INDEX(tsk_PlanStart,GanttView[[#This Row],[_Row]]))</f>
        <v>46272</v>
      </c>
      <c r="J6" s="91" t="n">
        <f aca="false">IF(IFERROR(INDEX(tsk_Name,GanttView[[#This Row],[_Row]])="",TRUE()),"",INDEX(tsk_PlanFinish,GanttView[[#This Row],[_Row]]))</f>
        <v>46276</v>
      </c>
      <c r="K6" s="93" t="str">
        <f aca="false">IF(IFERROR(INDEX(tsk_Name,GanttView[[#This Row],[_Row]])="",TRUE()),"",INDEX(tsk_Status,GanttView[[#This Row],[_Row]]))</f>
        <v>Complete</v>
      </c>
      <c r="L6" s="93" t="str">
        <f aca="false">IF(IFERROR(INDEX(tsk_Name,GanttView[[#This Row],[_Row]])="",TRUE()),"",INDEX(tsk_Show,GanttView[[#This Row],[_Row]])&amp;"")</f>
        <v>Yes</v>
      </c>
      <c r="M6" s="94" t="n">
        <f aca="false">ROW()-ROW(GanttView[[#Headers],[ID]])</f>
        <v>1</v>
      </c>
      <c r="N6" s="95" t="b">
        <f aca="false">IF(IFERROR(INDEX(tsk_Name,GanttView[[#This Row],[_Row]])="",TRUE()),FALSE(),INDEX(tsk_IsSummary,GanttView[[#This Row],[_Row]]))</f>
        <v>1</v>
      </c>
      <c r="O6" s="95" t="b">
        <f aca="false">IF(IFERROR(INDEX(tsk_Name,GanttView[[#This Row],[_Row]])="",TRUE()),FALSE(),AND(INDEX(tsk_IsLeaf,GanttView[[#This Row],[_Row]])=1,N(INDEX(tsk_Duration,GanttView[[#This Row],[_Row]]))=0))</f>
        <v>0</v>
      </c>
      <c r="P6" s="96" t="n">
        <f aca="false">IF(IFERROR(INDEX(tsk_Name,GanttView[[#This Row],[_Row]])="",TRUE()),0,IF(AND(INDEX(tsk_IsLeaf,GanttView[[#This Row],[_Row]])=1,NOT(GanttView[[#This Row],[_IsMilestone]]),N(GanttView[[#This Row],[%]])&gt;0),GanttView[[#This Row],[Start]],0))</f>
        <v>0</v>
      </c>
      <c r="Q6" s="96" t="n">
        <f aca="false">IF(GanttView[[#This Row],[_DoneFrom]]=0,0,IF(GanttView[[#This Row],[%]]&gt;=1,GanttView[[#This Row],[Finish]],MAX(GanttView[[#This Row],[_DoneFrom]],GanttView[[#This Row],[Start]]+ROUND((GanttView[[#This Row],[Finish]]-GanttView[[#This Row],[Start]]+1)*GanttView[[#This Row],[%]],0)-1)))</f>
        <v>0</v>
      </c>
      <c r="R6" s="96" t="n">
        <f aca="false">IF(IFERROR(INDEX(tsk_Name,GanttView[[#This Row],[_Row]])="",TRUE()),0,IF(OR(INDEX(tsk_IsLeaf,GanttView[[#This Row],[_Row]])&lt;&gt;1,GanttView[[#This Row],[_IsMilestone]],N(GanttView[[#This Row],[%]])&gt;=1),0,IF(GanttView[[#This Row],[_DoneTo]]&gt;0,GanttView[[#This Row],[_DoneTo]]+1,GanttView[[#This Row],[Start]])))</f>
        <v>0</v>
      </c>
      <c r="S6" s="96" t="n">
        <f aca="false">IF(GanttView[[#This Row],[_RemFrom]]=0,0,GanttView[[#This Row],[Finish]])</f>
        <v>0</v>
      </c>
      <c r="T6" s="95" t="b">
        <f aca="false">IF(IFERROR(INDEX(tsk_Name,GanttView[[#This Row],[_Row]])="",TRUE()),FALSE(),N(INDEX(tsk_Variance,GanttView[[#This Row],[_Row]]))&gt;0)</f>
        <v>1</v>
      </c>
      <c r="U6" s="96" t="n">
        <f aca="false">IF(IFERROR(INDEX(tsk_Name,GanttView[[#This Row],[_Row]])="",TRUE()),0,N(INDEX(tsk_Deadline,GanttView[[#This Row],[_Row]])))</f>
        <v>0</v>
      </c>
      <c r="V6" s="95" t="b">
        <f aca="false">IF(IFERROR(INDEX(tsk_Name,GanttView[[#This Row],[_Row]])="",TRUE()),FALSE(),INDEX(tsk_Critical,GanttView[[#This Row],[_Row]])="Yes")</f>
        <v>0</v>
      </c>
    </row>
    <row r="7" customFormat="false" ht="15" hidden="false" customHeight="false" outlineLevel="1" collapsed="false">
      <c r="A7" s="89" t="n">
        <f aca="false">IF(IFERROR(INDEX(tsk_Name,GanttView[[#This Row],[_Row]])="",TRUE()),"",INDEX(tsk_ID,GanttView[[#This Row],[_Row]]))</f>
        <v>2</v>
      </c>
      <c r="B7" s="90" t="str">
        <f aca="false">IF(IFERROR(INDEX(tsk_Name,GanttView[[#This Row],[_Row]])="",TRUE()),"",REPT("    ",INDEX(tsk_Level,GanttView[[#This Row],[_Row]])-1)&amp;INDEX(tsk_Name,GanttView[[#This Row],[_Row]]))</f>
        <v>    Project charter &amp; scope statement</v>
      </c>
      <c r="C7" s="91" t="n">
        <f aca="false">IF(IFERROR(INDEX(tsk_Name,GanttView[[#This Row],[_Row]])="",TRUE()),"",INDEX(tsk_FcStart,GanttView[[#This Row],[_Row]]))</f>
        <v>46272</v>
      </c>
      <c r="D7" s="91" t="n">
        <f aca="false">IF(IFERROR(INDEX(tsk_Name,GanttView[[#This Row],[_Row]])="",TRUE()),"",INDEX(tsk_FcFinish,GanttView[[#This Row],[_Row]]))</f>
        <v>46275</v>
      </c>
      <c r="E7" s="92" t="n">
        <f aca="false">IF(IFERROR(INDEX(tsk_Name,GanttView[[#This Row],[_Row]])="",TRUE()),"",INDEX(tsk_Progress,GanttView[[#This Row],[_Row]]))</f>
        <v>1</v>
      </c>
      <c r="F7" s="90" t="str">
        <f aca="false">IF(IFERROR(INDEX(tsk_Name,GanttView[[#This Row],[_Row]])="",TRUE()),"",INDEX(tsk_ResourceNames,GanttView[[#This Row],[_Row]])&amp;"")</f>
        <v>Priya Sharma</v>
      </c>
      <c r="G7" s="89" t="str">
        <f aca="false">IF(IFERROR(INDEX(tsk_Name,GanttView[[#This Row],[_Row]])="",TRUE()),"",INDEX(tsk_WBS,GanttView[[#This Row],[_Row]]))</f>
        <v>1.1</v>
      </c>
      <c r="H7" s="89" t="n">
        <f aca="false">IF(IFERROR(INDEX(tsk_Name,GanttView[[#This Row],[_Row]])="",TRUE()),"",IF(INDEX(tsk_IsSummary,GanttView[[#This Row],[_Row]]),NETWORKDAYS.INTL(INDEX(tsk_FcStart,GanttView[[#This Row],[_Row]]),INDEX(tsk_FcFinish,GanttView[[#This Row],[_Row]]),WorkWeek,Holidays),N(INDEX(tsk_Duration,GanttView[[#This Row],[_Row]]))))</f>
        <v>3</v>
      </c>
      <c r="I7" s="91" t="n">
        <f aca="false">IF(IFERROR(INDEX(tsk_Name,GanttView[[#This Row],[_Row]])="",TRUE()),"",INDEX(tsk_PlanStart,GanttView[[#This Row],[_Row]]))</f>
        <v>46272</v>
      </c>
      <c r="J7" s="91" t="n">
        <f aca="false">IF(IFERROR(INDEX(tsk_Name,GanttView[[#This Row],[_Row]])="",TRUE()),"",INDEX(tsk_PlanFinish,GanttView[[#This Row],[_Row]]))</f>
        <v>46274</v>
      </c>
      <c r="K7" s="93" t="str">
        <f aca="false">IF(IFERROR(INDEX(tsk_Name,GanttView[[#This Row],[_Row]])="",TRUE()),"",INDEX(tsk_Status,GanttView[[#This Row],[_Row]]))</f>
        <v>Complete</v>
      </c>
      <c r="L7" s="93" t="str">
        <f aca="false">IF(IFERROR(INDEX(tsk_Name,GanttView[[#This Row],[_Row]])="",TRUE()),"",INDEX(tsk_Show,GanttView[[#This Row],[_Row]])&amp;"")</f>
        <v>Yes</v>
      </c>
      <c r="M7" s="94" t="n">
        <f aca="false">ROW()-ROW(GanttView[[#Headers],[ID]])</f>
        <v>2</v>
      </c>
      <c r="N7" s="95" t="b">
        <f aca="false">IF(IFERROR(INDEX(tsk_Name,GanttView[[#This Row],[_Row]])="",TRUE()),FALSE(),INDEX(tsk_IsSummary,GanttView[[#This Row],[_Row]]))</f>
        <v>0</v>
      </c>
      <c r="O7" s="95" t="b">
        <f aca="false">IF(IFERROR(INDEX(tsk_Name,GanttView[[#This Row],[_Row]])="",TRUE()),FALSE(),AND(INDEX(tsk_IsLeaf,GanttView[[#This Row],[_Row]])=1,N(INDEX(tsk_Duration,GanttView[[#This Row],[_Row]]))=0))</f>
        <v>0</v>
      </c>
      <c r="P7" s="96" t="n">
        <f aca="false">IF(IFERROR(INDEX(tsk_Name,GanttView[[#This Row],[_Row]])="",TRUE()),0,IF(AND(INDEX(tsk_IsLeaf,GanttView[[#This Row],[_Row]])=1,NOT(GanttView[[#This Row],[_IsMilestone]]),N(GanttView[[#This Row],[%]])&gt;0),GanttView[[#This Row],[Start]],0))</f>
        <v>46272</v>
      </c>
      <c r="Q7" s="96" t="n">
        <f aca="false">IF(GanttView[[#This Row],[_DoneFrom]]=0,0,IF(GanttView[[#This Row],[%]]&gt;=1,GanttView[[#This Row],[Finish]],MAX(GanttView[[#This Row],[_DoneFrom]],GanttView[[#This Row],[Start]]+ROUND((GanttView[[#This Row],[Finish]]-GanttView[[#This Row],[Start]]+1)*GanttView[[#This Row],[%]],0)-1)))</f>
        <v>46275</v>
      </c>
      <c r="R7" s="96" t="n">
        <f aca="false">IF(IFERROR(INDEX(tsk_Name,GanttView[[#This Row],[_Row]])="",TRUE()),0,IF(OR(INDEX(tsk_IsLeaf,GanttView[[#This Row],[_Row]])&lt;&gt;1,GanttView[[#This Row],[_IsMilestone]],N(GanttView[[#This Row],[%]])&gt;=1),0,IF(GanttView[[#This Row],[_DoneTo]]&gt;0,GanttView[[#This Row],[_DoneTo]]+1,GanttView[[#This Row],[Start]])))</f>
        <v>0</v>
      </c>
      <c r="S7" s="96" t="n">
        <f aca="false">IF(GanttView[[#This Row],[_RemFrom]]=0,0,GanttView[[#This Row],[Finish]])</f>
        <v>0</v>
      </c>
      <c r="T7" s="95" t="b">
        <f aca="false">IF(IFERROR(INDEX(tsk_Name,GanttView[[#This Row],[_Row]])="",TRUE()),FALSE(),N(INDEX(tsk_Variance,GanttView[[#This Row],[_Row]]))&gt;0)</f>
        <v>1</v>
      </c>
      <c r="U7" s="96" t="n">
        <f aca="false">IF(IFERROR(INDEX(tsk_Name,GanttView[[#This Row],[_Row]])="",TRUE()),0,N(INDEX(tsk_Deadline,GanttView[[#This Row],[_Row]])))</f>
        <v>0</v>
      </c>
      <c r="V7" s="95" t="b">
        <f aca="false">IF(IFERROR(INDEX(tsk_Name,GanttView[[#This Row],[_Row]])="",TRUE()),FALSE(),INDEX(tsk_Critical,GanttView[[#This Row],[_Row]])="Yes")</f>
        <v>0</v>
      </c>
    </row>
    <row r="8" customFormat="false" ht="15" hidden="false" customHeight="false" outlineLevel="1" collapsed="false">
      <c r="A8" s="89" t="n">
        <f aca="false">IF(IFERROR(INDEX(tsk_Name,GanttView[[#This Row],[_Row]])="",TRUE()),"",INDEX(tsk_ID,GanttView[[#This Row],[_Row]]))</f>
        <v>3</v>
      </c>
      <c r="B8" s="90" t="str">
        <f aca="false">IF(IFERROR(INDEX(tsk_Name,GanttView[[#This Row],[_Row]])="",TRUE()),"",REPT("    ",INDEX(tsk_Level,GanttView[[#This Row],[_Row]])-1)&amp;INDEX(tsk_Name,GanttView[[#This Row],[_Row]]))</f>
        <v>    Stakeholder kickoff workshop</v>
      </c>
      <c r="C8" s="91" t="n">
        <f aca="false">IF(IFERROR(INDEX(tsk_Name,GanttView[[#This Row],[_Row]])="",TRUE()),"",INDEX(tsk_FcStart,GanttView[[#This Row],[_Row]]))</f>
        <v>46276</v>
      </c>
      <c r="D8" s="91" t="n">
        <f aca="false">IF(IFERROR(INDEX(tsk_Name,GanttView[[#This Row],[_Row]])="",TRUE()),"",INDEX(tsk_FcFinish,GanttView[[#This Row],[_Row]]))</f>
        <v>46279</v>
      </c>
      <c r="E8" s="92" t="n">
        <f aca="false">IF(IFERROR(INDEX(tsk_Name,GanttView[[#This Row],[_Row]])="",TRUE()),"",INDEX(tsk_Progress,GanttView[[#This Row],[_Row]]))</f>
        <v>1</v>
      </c>
      <c r="F8" s="90" t="str">
        <f aca="false">IF(IFERROR(INDEX(tsk_Name,GanttView[[#This Row],[_Row]])="",TRUE()),"",INDEX(tsk_ResourceNames,GanttView[[#This Row],[_Row]])&amp;"")</f>
        <v>Morgan Patel</v>
      </c>
      <c r="G8" s="89" t="str">
        <f aca="false">IF(IFERROR(INDEX(tsk_Name,GanttView[[#This Row],[_Row]])="",TRUE()),"",INDEX(tsk_WBS,GanttView[[#This Row],[_Row]]))</f>
        <v>1.2</v>
      </c>
      <c r="H8" s="89" t="n">
        <f aca="false">IF(IFERROR(INDEX(tsk_Name,GanttView[[#This Row],[_Row]])="",TRUE()),"",IF(INDEX(tsk_IsSummary,GanttView[[#This Row],[_Row]]),NETWORKDAYS.INTL(INDEX(tsk_FcStart,GanttView[[#This Row],[_Row]]),INDEX(tsk_FcFinish,GanttView[[#This Row],[_Row]]),WorkWeek,Holidays),N(INDEX(tsk_Duration,GanttView[[#This Row],[_Row]]))))</f>
        <v>2</v>
      </c>
      <c r="I8" s="91" t="n">
        <f aca="false">IF(IFERROR(INDEX(tsk_Name,GanttView[[#This Row],[_Row]])="",TRUE()),"",INDEX(tsk_PlanStart,GanttView[[#This Row],[_Row]]))</f>
        <v>46275</v>
      </c>
      <c r="J8" s="91" t="n">
        <f aca="false">IF(IFERROR(INDEX(tsk_Name,GanttView[[#This Row],[_Row]])="",TRUE()),"",INDEX(tsk_PlanFinish,GanttView[[#This Row],[_Row]]))</f>
        <v>46276</v>
      </c>
      <c r="K8" s="93" t="str">
        <f aca="false">IF(IFERROR(INDEX(tsk_Name,GanttView[[#This Row],[_Row]])="",TRUE()),"",INDEX(tsk_Status,GanttView[[#This Row],[_Row]]))</f>
        <v>Complete</v>
      </c>
      <c r="L8" s="93" t="str">
        <f aca="false">IF(IFERROR(INDEX(tsk_Name,GanttView[[#This Row],[_Row]])="",TRUE()),"",INDEX(tsk_Show,GanttView[[#This Row],[_Row]])&amp;"")</f>
        <v>Yes</v>
      </c>
      <c r="M8" s="94" t="n">
        <f aca="false">ROW()-ROW(GanttView[[#Headers],[ID]])</f>
        <v>3</v>
      </c>
      <c r="N8" s="95" t="b">
        <f aca="false">IF(IFERROR(INDEX(tsk_Name,GanttView[[#This Row],[_Row]])="",TRUE()),FALSE(),INDEX(tsk_IsSummary,GanttView[[#This Row],[_Row]]))</f>
        <v>0</v>
      </c>
      <c r="O8" s="95" t="b">
        <f aca="false">IF(IFERROR(INDEX(tsk_Name,GanttView[[#This Row],[_Row]])="",TRUE()),FALSE(),AND(INDEX(tsk_IsLeaf,GanttView[[#This Row],[_Row]])=1,N(INDEX(tsk_Duration,GanttView[[#This Row],[_Row]]))=0))</f>
        <v>0</v>
      </c>
      <c r="P8" s="96" t="n">
        <f aca="false">IF(IFERROR(INDEX(tsk_Name,GanttView[[#This Row],[_Row]])="",TRUE()),0,IF(AND(INDEX(tsk_IsLeaf,GanttView[[#This Row],[_Row]])=1,NOT(GanttView[[#This Row],[_IsMilestone]]),N(GanttView[[#This Row],[%]])&gt;0),GanttView[[#This Row],[Start]],0))</f>
        <v>46276</v>
      </c>
      <c r="Q8" s="96" t="n">
        <f aca="false">IF(GanttView[[#This Row],[_DoneFrom]]=0,0,IF(GanttView[[#This Row],[%]]&gt;=1,GanttView[[#This Row],[Finish]],MAX(GanttView[[#This Row],[_DoneFrom]],GanttView[[#This Row],[Start]]+ROUND((GanttView[[#This Row],[Finish]]-GanttView[[#This Row],[Start]]+1)*GanttView[[#This Row],[%]],0)-1)))</f>
        <v>46279</v>
      </c>
      <c r="R8" s="96" t="n">
        <f aca="false">IF(IFERROR(INDEX(tsk_Name,GanttView[[#This Row],[_Row]])="",TRUE()),0,IF(OR(INDEX(tsk_IsLeaf,GanttView[[#This Row],[_Row]])&lt;&gt;1,GanttView[[#This Row],[_IsMilestone]],N(GanttView[[#This Row],[%]])&gt;=1),0,IF(GanttView[[#This Row],[_DoneTo]]&gt;0,GanttView[[#This Row],[_DoneTo]]+1,GanttView[[#This Row],[Start]])))</f>
        <v>0</v>
      </c>
      <c r="S8" s="96" t="n">
        <f aca="false">IF(GanttView[[#This Row],[_RemFrom]]=0,0,GanttView[[#This Row],[Finish]])</f>
        <v>0</v>
      </c>
      <c r="T8" s="95" t="b">
        <f aca="false">IF(IFERROR(INDEX(tsk_Name,GanttView[[#This Row],[_Row]])="",TRUE()),FALSE(),N(INDEX(tsk_Variance,GanttView[[#This Row],[_Row]]))&gt;0)</f>
        <v>1</v>
      </c>
      <c r="U8" s="96" t="n">
        <f aca="false">IF(IFERROR(INDEX(tsk_Name,GanttView[[#This Row],[_Row]])="",TRUE()),0,N(INDEX(tsk_Deadline,GanttView[[#This Row],[_Row]])))</f>
        <v>0</v>
      </c>
      <c r="V8" s="95" t="b">
        <f aca="false">IF(IFERROR(INDEX(tsk_Name,GanttView[[#This Row],[_Row]])="",TRUE()),FALSE(),INDEX(tsk_Critical,GanttView[[#This Row],[_Row]])="Yes")</f>
        <v>0</v>
      </c>
    </row>
    <row r="9" customFormat="false" ht="15" hidden="false" customHeight="false" outlineLevel="1" collapsed="false">
      <c r="A9" s="89" t="n">
        <f aca="false">IF(IFERROR(INDEX(tsk_Name,GanttView[[#This Row],[_Row]])="",TRUE()),"",INDEX(tsk_ID,GanttView[[#This Row],[_Row]]))</f>
        <v>4</v>
      </c>
      <c r="B9" s="90" t="str">
        <f aca="false">IF(IFERROR(INDEX(tsk_Name,GanttView[[#This Row],[_Row]])="",TRUE()),"",REPT("    ",INDEX(tsk_Level,GanttView[[#This Row],[_Row]])-1)&amp;INDEX(tsk_Name,GanttView[[#This Row],[_Row]]))</f>
        <v>    Kickoff complete</v>
      </c>
      <c r="C9" s="91" t="n">
        <f aca="false">IF(IFERROR(INDEX(tsk_Name,GanttView[[#This Row],[_Row]])="",TRUE()),"",INDEX(tsk_FcStart,GanttView[[#This Row],[_Row]]))</f>
        <v>46279</v>
      </c>
      <c r="D9" s="91" t="n">
        <f aca="false">IF(IFERROR(INDEX(tsk_Name,GanttView[[#This Row],[_Row]])="",TRUE()),"",INDEX(tsk_FcFinish,GanttView[[#This Row],[_Row]]))</f>
        <v>46279</v>
      </c>
      <c r="E9" s="92" t="n">
        <f aca="false">IF(IFERROR(INDEX(tsk_Name,GanttView[[#This Row],[_Row]])="",TRUE()),"",INDEX(tsk_Progress,GanttView[[#This Row],[_Row]]))</f>
        <v>1</v>
      </c>
      <c r="F9" s="90" t="str">
        <f aca="false">IF(IFERROR(INDEX(tsk_Name,GanttView[[#This Row],[_Row]])="",TRUE()),"",INDEX(tsk_ResourceNames,GanttView[[#This Row],[_Row]])&amp;"")</f>
        <v/>
      </c>
      <c r="G9" s="89" t="str">
        <f aca="false">IF(IFERROR(INDEX(tsk_Name,GanttView[[#This Row],[_Row]])="",TRUE()),"",INDEX(tsk_WBS,GanttView[[#This Row],[_Row]]))</f>
        <v>1.3</v>
      </c>
      <c r="H9" s="89" t="n">
        <f aca="false">IF(IFERROR(INDEX(tsk_Name,GanttView[[#This Row],[_Row]])="",TRUE()),"",IF(INDEX(tsk_IsSummary,GanttView[[#This Row],[_Row]]),NETWORKDAYS.INTL(INDEX(tsk_FcStart,GanttView[[#This Row],[_Row]]),INDEX(tsk_FcFinish,GanttView[[#This Row],[_Row]]),WorkWeek,Holidays),N(INDEX(tsk_Duration,GanttView[[#This Row],[_Row]]))))</f>
        <v>0</v>
      </c>
      <c r="I9" s="91" t="n">
        <f aca="false">IF(IFERROR(INDEX(tsk_Name,GanttView[[#This Row],[_Row]])="",TRUE()),"",INDEX(tsk_PlanStart,GanttView[[#This Row],[_Row]]))</f>
        <v>46276</v>
      </c>
      <c r="J9" s="91" t="n">
        <f aca="false">IF(IFERROR(INDEX(tsk_Name,GanttView[[#This Row],[_Row]])="",TRUE()),"",INDEX(tsk_PlanFinish,GanttView[[#This Row],[_Row]]))</f>
        <v>46276</v>
      </c>
      <c r="K9" s="93" t="str">
        <f aca="false">IF(IFERROR(INDEX(tsk_Name,GanttView[[#This Row],[_Row]])="",TRUE()),"",INDEX(tsk_Status,GanttView[[#This Row],[_Row]]))</f>
        <v>Complete</v>
      </c>
      <c r="L9" s="93" t="str">
        <f aca="false">IF(IFERROR(INDEX(tsk_Name,GanttView[[#This Row],[_Row]])="",TRUE()),"",INDEX(tsk_Show,GanttView[[#This Row],[_Row]])&amp;"")</f>
        <v>Yes</v>
      </c>
      <c r="M9" s="94" t="n">
        <f aca="false">ROW()-ROW(GanttView[[#Headers],[ID]])</f>
        <v>4</v>
      </c>
      <c r="N9" s="95" t="b">
        <f aca="false">IF(IFERROR(INDEX(tsk_Name,GanttView[[#This Row],[_Row]])="",TRUE()),FALSE(),INDEX(tsk_IsSummary,GanttView[[#This Row],[_Row]]))</f>
        <v>0</v>
      </c>
      <c r="O9" s="95" t="b">
        <f aca="false">IF(IFERROR(INDEX(tsk_Name,GanttView[[#This Row],[_Row]])="",TRUE()),FALSE(),AND(INDEX(tsk_IsLeaf,GanttView[[#This Row],[_Row]])=1,N(INDEX(tsk_Duration,GanttView[[#This Row],[_Row]]))=0))</f>
        <v>1</v>
      </c>
      <c r="P9" s="96" t="n">
        <f aca="false">IF(IFERROR(INDEX(tsk_Name,GanttView[[#This Row],[_Row]])="",TRUE()),0,IF(AND(INDEX(tsk_IsLeaf,GanttView[[#This Row],[_Row]])=1,NOT(GanttView[[#This Row],[_IsMilestone]]),N(GanttView[[#This Row],[%]])&gt;0),GanttView[[#This Row],[Start]],0))</f>
        <v>0</v>
      </c>
      <c r="Q9" s="96" t="n">
        <f aca="false">IF(GanttView[[#This Row],[_DoneFrom]]=0,0,IF(GanttView[[#This Row],[%]]&gt;=1,GanttView[[#This Row],[Finish]],MAX(GanttView[[#This Row],[_DoneFrom]],GanttView[[#This Row],[Start]]+ROUND((GanttView[[#This Row],[Finish]]-GanttView[[#This Row],[Start]]+1)*GanttView[[#This Row],[%]],0)-1)))</f>
        <v>0</v>
      </c>
      <c r="R9" s="96" t="n">
        <f aca="false">IF(IFERROR(INDEX(tsk_Name,GanttView[[#This Row],[_Row]])="",TRUE()),0,IF(OR(INDEX(tsk_IsLeaf,GanttView[[#This Row],[_Row]])&lt;&gt;1,GanttView[[#This Row],[_IsMilestone]],N(GanttView[[#This Row],[%]])&gt;=1),0,IF(GanttView[[#This Row],[_DoneTo]]&gt;0,GanttView[[#This Row],[_DoneTo]]+1,GanttView[[#This Row],[Start]])))</f>
        <v>0</v>
      </c>
      <c r="S9" s="96" t="n">
        <f aca="false">IF(GanttView[[#This Row],[_RemFrom]]=0,0,GanttView[[#This Row],[Finish]])</f>
        <v>0</v>
      </c>
      <c r="T9" s="95" t="b">
        <f aca="false">IF(IFERROR(INDEX(tsk_Name,GanttView[[#This Row],[_Row]])="",TRUE()),FALSE(),N(INDEX(tsk_Variance,GanttView[[#This Row],[_Row]]))&gt;0)</f>
        <v>1</v>
      </c>
      <c r="U9" s="96" t="n">
        <f aca="false">IF(IFERROR(INDEX(tsk_Name,GanttView[[#This Row],[_Row]])="",TRUE()),0,N(INDEX(tsk_Deadline,GanttView[[#This Row],[_Row]])))</f>
        <v>0</v>
      </c>
      <c r="V9" s="95" t="b">
        <f aca="false">IF(IFERROR(INDEX(tsk_Name,GanttView[[#This Row],[_Row]])="",TRUE()),FALSE(),INDEX(tsk_Critical,GanttView[[#This Row],[_Row]])="Yes")</f>
        <v>0</v>
      </c>
    </row>
    <row r="10" customFormat="false" ht="15" hidden="false" customHeight="false" outlineLevel="0" collapsed="false">
      <c r="A10" s="89" t="n">
        <f aca="false">IF(IFERROR(INDEX(tsk_Name,GanttView[[#This Row],[_Row]])="",TRUE()),"",INDEX(tsk_ID,GanttView[[#This Row],[_Row]]))</f>
        <v>5</v>
      </c>
      <c r="B10" s="90" t="str">
        <f aca="false">IF(IFERROR(INDEX(tsk_Name,GanttView[[#This Row],[_Row]])="",TRUE()),"",REPT("    ",INDEX(tsk_Level,GanttView[[#This Row],[_Row]])-1)&amp;INDEX(tsk_Name,GanttView[[#This Row],[_Row]]))</f>
        <v>Requirements &amp; Design</v>
      </c>
      <c r="C10" s="91" t="n">
        <f aca="false">IF(IFERROR(INDEX(tsk_Name,GanttView[[#This Row],[_Row]])="",TRUE()),"",INDEX(tsk_FcStart,GanttView[[#This Row],[_Row]]))</f>
        <v>46280</v>
      </c>
      <c r="D10" s="91" t="n">
        <f aca="false">IF(IFERROR(INDEX(tsk_Name,GanttView[[#This Row],[_Row]])="",TRUE()),"",INDEX(tsk_FcFinish,GanttView[[#This Row],[_Row]]))</f>
        <v>46301</v>
      </c>
      <c r="E10" s="92" t="n">
        <f aca="false">IF(IFERROR(INDEX(tsk_Name,GanttView[[#This Row],[_Row]])="",TRUE()),"",INDEX(tsk_Progress,GanttView[[#This Row],[_Row]]))</f>
        <v>1</v>
      </c>
      <c r="F10" s="90" t="str">
        <f aca="false">IF(IFERROR(INDEX(tsk_Name,GanttView[[#This Row],[_Row]])="",TRUE()),"",INDEX(tsk_ResourceNames,GanttView[[#This Row],[_Row]])&amp;"")</f>
        <v/>
      </c>
      <c r="G10" s="89" t="str">
        <f aca="false">IF(IFERROR(INDEX(tsk_Name,GanttView[[#This Row],[_Row]])="",TRUE()),"",INDEX(tsk_WBS,GanttView[[#This Row],[_Row]]))</f>
        <v>2</v>
      </c>
      <c r="H10" s="89" t="n">
        <f aca="false">IF(IFERROR(INDEX(tsk_Name,GanttView[[#This Row],[_Row]])="",TRUE()),"",IF(INDEX(tsk_IsSummary,GanttView[[#This Row],[_Row]]),NETWORKDAYS.INTL(INDEX(tsk_FcStart,GanttView[[#This Row],[_Row]]),INDEX(tsk_FcFinish,GanttView[[#This Row],[_Row]]),WorkWeek,Holidays),N(INDEX(tsk_Duration,GanttView[[#This Row],[_Row]]))))</f>
        <v>16</v>
      </c>
      <c r="I10" s="91" t="n">
        <f aca="false">IF(IFERROR(INDEX(tsk_Name,GanttView[[#This Row],[_Row]])="",TRUE()),"",INDEX(tsk_PlanStart,GanttView[[#This Row],[_Row]]))</f>
        <v>46279</v>
      </c>
      <c r="J10" s="91" t="n">
        <f aca="false">IF(IFERROR(INDEX(tsk_Name,GanttView[[#This Row],[_Row]])="",TRUE()),"",INDEX(tsk_PlanFinish,GanttView[[#This Row],[_Row]]))</f>
        <v>46296</v>
      </c>
      <c r="K10" s="93" t="str">
        <f aca="false">IF(IFERROR(INDEX(tsk_Name,GanttView[[#This Row],[_Row]])="",TRUE()),"",INDEX(tsk_Status,GanttView[[#This Row],[_Row]]))</f>
        <v>Complete</v>
      </c>
      <c r="L10" s="93" t="str">
        <f aca="false">IF(IFERROR(INDEX(tsk_Name,GanttView[[#This Row],[_Row]])="",TRUE()),"",INDEX(tsk_Show,GanttView[[#This Row],[_Row]])&amp;"")</f>
        <v>Yes</v>
      </c>
      <c r="M10" s="94" t="n">
        <f aca="false">ROW()-ROW(GanttView[[#Headers],[ID]])</f>
        <v>5</v>
      </c>
      <c r="N10" s="95" t="b">
        <f aca="false">IF(IFERROR(INDEX(tsk_Name,GanttView[[#This Row],[_Row]])="",TRUE()),FALSE(),INDEX(tsk_IsSummary,GanttView[[#This Row],[_Row]]))</f>
        <v>1</v>
      </c>
      <c r="O10" s="95" t="b">
        <f aca="false">IF(IFERROR(INDEX(tsk_Name,GanttView[[#This Row],[_Row]])="",TRUE()),FALSE(),AND(INDEX(tsk_IsLeaf,GanttView[[#This Row],[_Row]])=1,N(INDEX(tsk_Duration,GanttView[[#This Row],[_Row]]))=0))</f>
        <v>0</v>
      </c>
      <c r="P10" s="96" t="n">
        <f aca="false">IF(IFERROR(INDEX(tsk_Name,GanttView[[#This Row],[_Row]])="",TRUE()),0,IF(AND(INDEX(tsk_IsLeaf,GanttView[[#This Row],[_Row]])=1,NOT(GanttView[[#This Row],[_IsMilestone]]),N(GanttView[[#This Row],[%]])&gt;0),GanttView[[#This Row],[Start]],0))</f>
        <v>0</v>
      </c>
      <c r="Q10" s="96" t="n">
        <f aca="false">IF(GanttView[[#This Row],[_DoneFrom]]=0,0,IF(GanttView[[#This Row],[%]]&gt;=1,GanttView[[#This Row],[Finish]],MAX(GanttView[[#This Row],[_DoneFrom]],GanttView[[#This Row],[Start]]+ROUND((GanttView[[#This Row],[Finish]]-GanttView[[#This Row],[Start]]+1)*GanttView[[#This Row],[%]],0)-1)))</f>
        <v>0</v>
      </c>
      <c r="R10" s="96" t="n">
        <f aca="false">IF(IFERROR(INDEX(tsk_Name,GanttView[[#This Row],[_Row]])="",TRUE()),0,IF(OR(INDEX(tsk_IsLeaf,GanttView[[#This Row],[_Row]])&lt;&gt;1,GanttView[[#This Row],[_IsMilestone]],N(GanttView[[#This Row],[%]])&gt;=1),0,IF(GanttView[[#This Row],[_DoneTo]]&gt;0,GanttView[[#This Row],[_DoneTo]]+1,GanttView[[#This Row],[Start]])))</f>
        <v>0</v>
      </c>
      <c r="S10" s="96" t="n">
        <f aca="false">IF(GanttView[[#This Row],[_RemFrom]]=0,0,GanttView[[#This Row],[Finish]])</f>
        <v>0</v>
      </c>
      <c r="T10" s="95" t="b">
        <f aca="false">IF(IFERROR(INDEX(tsk_Name,GanttView[[#This Row],[_Row]])="",TRUE()),FALSE(),N(INDEX(tsk_Variance,GanttView[[#This Row],[_Row]]))&gt;0)</f>
        <v>1</v>
      </c>
      <c r="U10" s="96" t="n">
        <f aca="false">IF(IFERROR(INDEX(tsk_Name,GanttView[[#This Row],[_Row]])="",TRUE()),0,N(INDEX(tsk_Deadline,GanttView[[#This Row],[_Row]])))</f>
        <v>0</v>
      </c>
      <c r="V10" s="95" t="b">
        <f aca="false">IF(IFERROR(INDEX(tsk_Name,GanttView[[#This Row],[_Row]])="",TRUE()),FALSE(),INDEX(tsk_Critical,GanttView[[#This Row],[_Row]])="Yes")</f>
        <v>0</v>
      </c>
    </row>
    <row r="11" customFormat="false" ht="15" hidden="false" customHeight="false" outlineLevel="1" collapsed="false">
      <c r="A11" s="89" t="n">
        <f aca="false">IF(IFERROR(INDEX(tsk_Name,GanttView[[#This Row],[_Row]])="",TRUE()),"",INDEX(tsk_ID,GanttView[[#This Row],[_Row]]))</f>
        <v>6</v>
      </c>
      <c r="B11" s="90" t="str">
        <f aca="false">IF(IFERROR(INDEX(tsk_Name,GanttView[[#This Row],[_Row]])="",TRUE()),"",REPT("    ",INDEX(tsk_Level,GanttView[[#This Row],[_Row]])-1)&amp;INDEX(tsk_Name,GanttView[[#This Row],[_Row]]))</f>
        <v>    Requirements gathering</v>
      </c>
      <c r="C11" s="91" t="n">
        <f aca="false">IF(IFERROR(INDEX(tsk_Name,GanttView[[#This Row],[_Row]])="",TRUE()),"",INDEX(tsk_FcStart,GanttView[[#This Row],[_Row]]))</f>
        <v>46280</v>
      </c>
      <c r="D11" s="91" t="n">
        <f aca="false">IF(IFERROR(INDEX(tsk_Name,GanttView[[#This Row],[_Row]])="",TRUE()),"",INDEX(tsk_FcFinish,GanttView[[#This Row],[_Row]]))</f>
        <v>46290</v>
      </c>
      <c r="E11" s="92" t="n">
        <f aca="false">IF(IFERROR(INDEX(tsk_Name,GanttView[[#This Row],[_Row]])="",TRUE()),"",INDEX(tsk_Progress,GanttView[[#This Row],[_Row]]))</f>
        <v>1</v>
      </c>
      <c r="F11" s="90" t="str">
        <f aca="false">IF(IFERROR(INDEX(tsk_Name,GanttView[[#This Row],[_Row]])="",TRUE()),"",INDEX(tsk_ResourceNames,GanttView[[#This Row],[_Row]])&amp;"")</f>
        <v>Morgan Patel</v>
      </c>
      <c r="G11" s="89" t="str">
        <f aca="false">IF(IFERROR(INDEX(tsk_Name,GanttView[[#This Row],[_Row]])="",TRUE()),"",INDEX(tsk_WBS,GanttView[[#This Row],[_Row]]))</f>
        <v>2.1</v>
      </c>
      <c r="H11" s="89" t="n">
        <f aca="false">IF(IFERROR(INDEX(tsk_Name,GanttView[[#This Row],[_Row]])="",TRUE()),"",IF(INDEX(tsk_IsSummary,GanttView[[#This Row],[_Row]]),NETWORKDAYS.INTL(INDEX(tsk_FcStart,GanttView[[#This Row],[_Row]]),INDEX(tsk_FcFinish,GanttView[[#This Row],[_Row]]),WorkWeek,Holidays),N(INDEX(tsk_Duration,GanttView[[#This Row],[_Row]]))))</f>
        <v>8</v>
      </c>
      <c r="I11" s="91" t="n">
        <f aca="false">IF(IFERROR(INDEX(tsk_Name,GanttView[[#This Row],[_Row]])="",TRUE()),"",INDEX(tsk_PlanStart,GanttView[[#This Row],[_Row]]))</f>
        <v>46279</v>
      </c>
      <c r="J11" s="91" t="n">
        <f aca="false">IF(IFERROR(INDEX(tsk_Name,GanttView[[#This Row],[_Row]])="",TRUE()),"",INDEX(tsk_PlanFinish,GanttView[[#This Row],[_Row]]))</f>
        <v>46288</v>
      </c>
      <c r="K11" s="93" t="str">
        <f aca="false">IF(IFERROR(INDEX(tsk_Name,GanttView[[#This Row],[_Row]])="",TRUE()),"",INDEX(tsk_Status,GanttView[[#This Row],[_Row]]))</f>
        <v>Complete</v>
      </c>
      <c r="L11" s="93" t="str">
        <f aca="false">IF(IFERROR(INDEX(tsk_Name,GanttView[[#This Row],[_Row]])="",TRUE()),"",INDEX(tsk_Show,GanttView[[#This Row],[_Row]])&amp;"")</f>
        <v>Yes</v>
      </c>
      <c r="M11" s="94" t="n">
        <f aca="false">ROW()-ROW(GanttView[[#Headers],[ID]])</f>
        <v>6</v>
      </c>
      <c r="N11" s="95" t="b">
        <f aca="false">IF(IFERROR(INDEX(tsk_Name,GanttView[[#This Row],[_Row]])="",TRUE()),FALSE(),INDEX(tsk_IsSummary,GanttView[[#This Row],[_Row]]))</f>
        <v>0</v>
      </c>
      <c r="O11" s="95" t="b">
        <f aca="false">IF(IFERROR(INDEX(tsk_Name,GanttView[[#This Row],[_Row]])="",TRUE()),FALSE(),AND(INDEX(tsk_IsLeaf,GanttView[[#This Row],[_Row]])=1,N(INDEX(tsk_Duration,GanttView[[#This Row],[_Row]]))=0))</f>
        <v>0</v>
      </c>
      <c r="P11" s="96" t="n">
        <f aca="false">IF(IFERROR(INDEX(tsk_Name,GanttView[[#This Row],[_Row]])="",TRUE()),0,IF(AND(INDEX(tsk_IsLeaf,GanttView[[#This Row],[_Row]])=1,NOT(GanttView[[#This Row],[_IsMilestone]]),N(GanttView[[#This Row],[%]])&gt;0),GanttView[[#This Row],[Start]],0))</f>
        <v>46280</v>
      </c>
      <c r="Q11" s="96" t="n">
        <f aca="false">IF(GanttView[[#This Row],[_DoneFrom]]=0,0,IF(GanttView[[#This Row],[%]]&gt;=1,GanttView[[#This Row],[Finish]],MAX(GanttView[[#This Row],[_DoneFrom]],GanttView[[#This Row],[Start]]+ROUND((GanttView[[#This Row],[Finish]]-GanttView[[#This Row],[Start]]+1)*GanttView[[#This Row],[%]],0)-1)))</f>
        <v>46290</v>
      </c>
      <c r="R11" s="96" t="n">
        <f aca="false">IF(IFERROR(INDEX(tsk_Name,GanttView[[#This Row],[_Row]])="",TRUE()),0,IF(OR(INDEX(tsk_IsLeaf,GanttView[[#This Row],[_Row]])&lt;&gt;1,GanttView[[#This Row],[_IsMilestone]],N(GanttView[[#This Row],[%]])&gt;=1),0,IF(GanttView[[#This Row],[_DoneTo]]&gt;0,GanttView[[#This Row],[_DoneTo]]+1,GanttView[[#This Row],[Start]])))</f>
        <v>0</v>
      </c>
      <c r="S11" s="96" t="n">
        <f aca="false">IF(GanttView[[#This Row],[_RemFrom]]=0,0,GanttView[[#This Row],[Finish]])</f>
        <v>0</v>
      </c>
      <c r="T11" s="95" t="b">
        <f aca="false">IF(IFERROR(INDEX(tsk_Name,GanttView[[#This Row],[_Row]])="",TRUE()),FALSE(),N(INDEX(tsk_Variance,GanttView[[#This Row],[_Row]]))&gt;0)</f>
        <v>1</v>
      </c>
      <c r="U11" s="96" t="n">
        <f aca="false">IF(IFERROR(INDEX(tsk_Name,GanttView[[#This Row],[_Row]])="",TRUE()),0,N(INDEX(tsk_Deadline,GanttView[[#This Row],[_Row]])))</f>
        <v>0</v>
      </c>
      <c r="V11" s="95" t="b">
        <f aca="false">IF(IFERROR(INDEX(tsk_Name,GanttView[[#This Row],[_Row]])="",TRUE()),FALSE(),INDEX(tsk_Critical,GanttView[[#This Row],[_Row]])="Yes")</f>
        <v>0</v>
      </c>
    </row>
    <row r="12" customFormat="false" ht="15" hidden="false" customHeight="false" outlineLevel="1" collapsed="false">
      <c r="A12" s="89" t="n">
        <f aca="false">IF(IFERROR(INDEX(tsk_Name,GanttView[[#This Row],[_Row]])="",TRUE()),"",INDEX(tsk_ID,GanttView[[#This Row],[_Row]]))</f>
        <v>7</v>
      </c>
      <c r="B12" s="90" t="str">
        <f aca="false">IF(IFERROR(INDEX(tsk_Name,GanttView[[#This Row],[_Row]])="",TRUE()),"",REPT("    ",INDEX(tsk_Level,GanttView[[#This Row],[_Row]])-1)&amp;INDEX(tsk_Name,GanttView[[#This Row],[_Row]]))</f>
        <v>    Solution architecture</v>
      </c>
      <c r="C12" s="91" t="n">
        <f aca="false">IF(IFERROR(INDEX(tsk_Name,GanttView[[#This Row],[_Row]])="",TRUE()),"",INDEX(tsk_FcStart,GanttView[[#This Row],[_Row]]))</f>
        <v>46283</v>
      </c>
      <c r="D12" s="91" t="n">
        <f aca="false">IF(IFERROR(INDEX(tsk_Name,GanttView[[#This Row],[_Row]])="",TRUE()),"",INDEX(tsk_FcFinish,GanttView[[#This Row],[_Row]]))</f>
        <v>46290</v>
      </c>
      <c r="E12" s="92" t="n">
        <f aca="false">IF(IFERROR(INDEX(tsk_Name,GanttView[[#This Row],[_Row]])="",TRUE()),"",INDEX(tsk_Progress,GanttView[[#This Row],[_Row]]))</f>
        <v>1</v>
      </c>
      <c r="F12" s="90" t="str">
        <f aca="false">IF(IFERROR(INDEX(tsk_Name,GanttView[[#This Row],[_Row]])="",TRUE()),"",INDEX(tsk_ResourceNames,GanttView[[#This Row],[_Row]])&amp;"")</f>
        <v>Alex Chen, Jordan Lee[50%]</v>
      </c>
      <c r="G12" s="89" t="str">
        <f aca="false">IF(IFERROR(INDEX(tsk_Name,GanttView[[#This Row],[_Row]])="",TRUE()),"",INDEX(tsk_WBS,GanttView[[#This Row],[_Row]]))</f>
        <v>2.2</v>
      </c>
      <c r="H12" s="89" t="n">
        <f aca="false">IF(IFERROR(INDEX(tsk_Name,GanttView[[#This Row],[_Row]])="",TRUE()),"",IF(INDEX(tsk_IsSummary,GanttView[[#This Row],[_Row]]),NETWORKDAYS.INTL(INDEX(tsk_FcStart,GanttView[[#This Row],[_Row]]),INDEX(tsk_FcFinish,GanttView[[#This Row],[_Row]]),WorkWeek,Holidays),N(INDEX(tsk_Duration,GanttView[[#This Row],[_Row]]))))</f>
        <v>5</v>
      </c>
      <c r="I12" s="91" t="n">
        <f aca="false">IF(IFERROR(INDEX(tsk_Name,GanttView[[#This Row],[_Row]])="",TRUE()),"",INDEX(tsk_PlanStart,GanttView[[#This Row],[_Row]]))</f>
        <v>46282</v>
      </c>
      <c r="J12" s="91" t="n">
        <f aca="false">IF(IFERROR(INDEX(tsk_Name,GanttView[[#This Row],[_Row]])="",TRUE()),"",INDEX(tsk_PlanFinish,GanttView[[#This Row],[_Row]]))</f>
        <v>46288</v>
      </c>
      <c r="K12" s="93" t="str">
        <f aca="false">IF(IFERROR(INDEX(tsk_Name,GanttView[[#This Row],[_Row]])="",TRUE()),"",INDEX(tsk_Status,GanttView[[#This Row],[_Row]]))</f>
        <v>Complete</v>
      </c>
      <c r="L12" s="93" t="str">
        <f aca="false">IF(IFERROR(INDEX(tsk_Name,GanttView[[#This Row],[_Row]])="",TRUE()),"",INDEX(tsk_Show,GanttView[[#This Row],[_Row]])&amp;"")</f>
        <v>Yes</v>
      </c>
      <c r="M12" s="94" t="n">
        <f aca="false">ROW()-ROW(GanttView[[#Headers],[ID]])</f>
        <v>7</v>
      </c>
      <c r="N12" s="95" t="b">
        <f aca="false">IF(IFERROR(INDEX(tsk_Name,GanttView[[#This Row],[_Row]])="",TRUE()),FALSE(),INDEX(tsk_IsSummary,GanttView[[#This Row],[_Row]]))</f>
        <v>0</v>
      </c>
      <c r="O12" s="95" t="b">
        <f aca="false">IF(IFERROR(INDEX(tsk_Name,GanttView[[#This Row],[_Row]])="",TRUE()),FALSE(),AND(INDEX(tsk_IsLeaf,GanttView[[#This Row],[_Row]])=1,N(INDEX(tsk_Duration,GanttView[[#This Row],[_Row]]))=0))</f>
        <v>0</v>
      </c>
      <c r="P12" s="96" t="n">
        <f aca="false">IF(IFERROR(INDEX(tsk_Name,GanttView[[#This Row],[_Row]])="",TRUE()),0,IF(AND(INDEX(tsk_IsLeaf,GanttView[[#This Row],[_Row]])=1,NOT(GanttView[[#This Row],[_IsMilestone]]),N(GanttView[[#This Row],[%]])&gt;0),GanttView[[#This Row],[Start]],0))</f>
        <v>46283</v>
      </c>
      <c r="Q12" s="96" t="n">
        <f aca="false">IF(GanttView[[#This Row],[_DoneFrom]]=0,0,IF(GanttView[[#This Row],[%]]&gt;=1,GanttView[[#This Row],[Finish]],MAX(GanttView[[#This Row],[_DoneFrom]],GanttView[[#This Row],[Start]]+ROUND((GanttView[[#This Row],[Finish]]-GanttView[[#This Row],[Start]]+1)*GanttView[[#This Row],[%]],0)-1)))</f>
        <v>46290</v>
      </c>
      <c r="R12" s="96" t="n">
        <f aca="false">IF(IFERROR(INDEX(tsk_Name,GanttView[[#This Row],[_Row]])="",TRUE()),0,IF(OR(INDEX(tsk_IsLeaf,GanttView[[#This Row],[_Row]])&lt;&gt;1,GanttView[[#This Row],[_IsMilestone]],N(GanttView[[#This Row],[%]])&gt;=1),0,IF(GanttView[[#This Row],[_DoneTo]]&gt;0,GanttView[[#This Row],[_DoneTo]]+1,GanttView[[#This Row],[Start]])))</f>
        <v>0</v>
      </c>
      <c r="S12" s="96" t="n">
        <f aca="false">IF(GanttView[[#This Row],[_RemFrom]]=0,0,GanttView[[#This Row],[Finish]])</f>
        <v>0</v>
      </c>
      <c r="T12" s="95" t="b">
        <f aca="false">IF(IFERROR(INDEX(tsk_Name,GanttView[[#This Row],[_Row]])="",TRUE()),FALSE(),N(INDEX(tsk_Variance,GanttView[[#This Row],[_Row]]))&gt;0)</f>
        <v>1</v>
      </c>
      <c r="U12" s="96" t="n">
        <f aca="false">IF(IFERROR(INDEX(tsk_Name,GanttView[[#This Row],[_Row]])="",TRUE()),0,N(INDEX(tsk_Deadline,GanttView[[#This Row],[_Row]])))</f>
        <v>0</v>
      </c>
      <c r="V12" s="95" t="b">
        <f aca="false">IF(IFERROR(INDEX(tsk_Name,GanttView[[#This Row],[_Row]])="",TRUE()),FALSE(),INDEX(tsk_Critical,GanttView[[#This Row],[_Row]])="Yes")</f>
        <v>0</v>
      </c>
    </row>
    <row r="13" customFormat="false" ht="15" hidden="false" customHeight="false" outlineLevel="1" collapsed="false">
      <c r="A13" s="89" t="n">
        <f aca="false">IF(IFERROR(INDEX(tsk_Name,GanttView[[#This Row],[_Row]])="",TRUE()),"",INDEX(tsk_ID,GanttView[[#This Row],[_Row]]))</f>
        <v>8</v>
      </c>
      <c r="B13" s="90" t="str">
        <f aca="false">IF(IFERROR(INDEX(tsk_Name,GanttView[[#This Row],[_Row]])="",TRUE()),"",REPT("    ",INDEX(tsk_Level,GanttView[[#This Row],[_Row]])-1)&amp;INDEX(tsk_Name,GanttView[[#This Row],[_Row]]))</f>
        <v>    UX wireframes &amp; prototype</v>
      </c>
      <c r="C13" s="91" t="n">
        <f aca="false">IF(IFERROR(INDEX(tsk_Name,GanttView[[#This Row],[_Row]])="",TRUE()),"",INDEX(tsk_FcStart,GanttView[[#This Row],[_Row]]))</f>
        <v>46293</v>
      </c>
      <c r="D13" s="91" t="n">
        <f aca="false">IF(IFERROR(INDEX(tsk_Name,GanttView[[#This Row],[_Row]])="",TRUE()),"",INDEX(tsk_FcFinish,GanttView[[#This Row],[_Row]]))</f>
        <v>46301</v>
      </c>
      <c r="E13" s="92" t="n">
        <f aca="false">IF(IFERROR(INDEX(tsk_Name,GanttView[[#This Row],[_Row]])="",TRUE()),"",INDEX(tsk_Progress,GanttView[[#This Row],[_Row]]))</f>
        <v>1</v>
      </c>
      <c r="F13" s="90" t="str">
        <f aca="false">IF(IFERROR(INDEX(tsk_Name,GanttView[[#This Row],[_Row]])="",TRUE()),"",INDEX(tsk_ResourceNames,GanttView[[#This Row],[_Row]])&amp;"")</f>
        <v>Casey Kim</v>
      </c>
      <c r="G13" s="89" t="str">
        <f aca="false">IF(IFERROR(INDEX(tsk_Name,GanttView[[#This Row],[_Row]])="",TRUE()),"",INDEX(tsk_WBS,GanttView[[#This Row],[_Row]]))</f>
        <v>2.3</v>
      </c>
      <c r="H13" s="89" t="n">
        <f aca="false">IF(IFERROR(INDEX(tsk_Name,GanttView[[#This Row],[_Row]])="",TRUE()),"",IF(INDEX(tsk_IsSummary,GanttView[[#This Row],[_Row]]),NETWORKDAYS.INTL(INDEX(tsk_FcStart,GanttView[[#This Row],[_Row]]),INDEX(tsk_FcFinish,GanttView[[#This Row],[_Row]]),WorkWeek,Holidays),N(INDEX(tsk_Duration,GanttView[[#This Row],[_Row]]))))</f>
        <v>6</v>
      </c>
      <c r="I13" s="91" t="n">
        <f aca="false">IF(IFERROR(INDEX(tsk_Name,GanttView[[#This Row],[_Row]])="",TRUE()),"",INDEX(tsk_PlanStart,GanttView[[#This Row],[_Row]]))</f>
        <v>46289</v>
      </c>
      <c r="J13" s="91" t="n">
        <f aca="false">IF(IFERROR(INDEX(tsk_Name,GanttView[[#This Row],[_Row]])="",TRUE()),"",INDEX(tsk_PlanFinish,GanttView[[#This Row],[_Row]]))</f>
        <v>46296</v>
      </c>
      <c r="K13" s="93" t="str">
        <f aca="false">IF(IFERROR(INDEX(tsk_Name,GanttView[[#This Row],[_Row]])="",TRUE()),"",INDEX(tsk_Status,GanttView[[#This Row],[_Row]]))</f>
        <v>Complete</v>
      </c>
      <c r="L13" s="93" t="str">
        <f aca="false">IF(IFERROR(INDEX(tsk_Name,GanttView[[#This Row],[_Row]])="",TRUE()),"",INDEX(tsk_Show,GanttView[[#This Row],[_Row]])&amp;"")</f>
        <v>Yes</v>
      </c>
      <c r="M13" s="94" t="n">
        <f aca="false">ROW()-ROW(GanttView[[#Headers],[ID]])</f>
        <v>8</v>
      </c>
      <c r="N13" s="95" t="b">
        <f aca="false">IF(IFERROR(INDEX(tsk_Name,GanttView[[#This Row],[_Row]])="",TRUE()),FALSE(),INDEX(tsk_IsSummary,GanttView[[#This Row],[_Row]]))</f>
        <v>0</v>
      </c>
      <c r="O13" s="95" t="b">
        <f aca="false">IF(IFERROR(INDEX(tsk_Name,GanttView[[#This Row],[_Row]])="",TRUE()),FALSE(),AND(INDEX(tsk_IsLeaf,GanttView[[#This Row],[_Row]])=1,N(INDEX(tsk_Duration,GanttView[[#This Row],[_Row]]))=0))</f>
        <v>0</v>
      </c>
      <c r="P13" s="96" t="n">
        <f aca="false">IF(IFERROR(INDEX(tsk_Name,GanttView[[#This Row],[_Row]])="",TRUE()),0,IF(AND(INDEX(tsk_IsLeaf,GanttView[[#This Row],[_Row]])=1,NOT(GanttView[[#This Row],[_IsMilestone]]),N(GanttView[[#This Row],[%]])&gt;0),GanttView[[#This Row],[Start]],0))</f>
        <v>46293</v>
      </c>
      <c r="Q13" s="96" t="n">
        <f aca="false">IF(GanttView[[#This Row],[_DoneFrom]]=0,0,IF(GanttView[[#This Row],[%]]&gt;=1,GanttView[[#This Row],[Finish]],MAX(GanttView[[#This Row],[_DoneFrom]],GanttView[[#This Row],[Start]]+ROUND((GanttView[[#This Row],[Finish]]-GanttView[[#This Row],[Start]]+1)*GanttView[[#This Row],[%]],0)-1)))</f>
        <v>46301</v>
      </c>
      <c r="R13" s="96" t="n">
        <f aca="false">IF(IFERROR(INDEX(tsk_Name,GanttView[[#This Row],[_Row]])="",TRUE()),0,IF(OR(INDEX(tsk_IsLeaf,GanttView[[#This Row],[_Row]])&lt;&gt;1,GanttView[[#This Row],[_IsMilestone]],N(GanttView[[#This Row],[%]])&gt;=1),0,IF(GanttView[[#This Row],[_DoneTo]]&gt;0,GanttView[[#This Row],[_DoneTo]]+1,GanttView[[#This Row],[Start]])))</f>
        <v>0</v>
      </c>
      <c r="S13" s="96" t="n">
        <f aca="false">IF(GanttView[[#This Row],[_RemFrom]]=0,0,GanttView[[#This Row],[Finish]])</f>
        <v>0</v>
      </c>
      <c r="T13" s="95" t="b">
        <f aca="false">IF(IFERROR(INDEX(tsk_Name,GanttView[[#This Row],[_Row]])="",TRUE()),FALSE(),N(INDEX(tsk_Variance,GanttView[[#This Row],[_Row]]))&gt;0)</f>
        <v>1</v>
      </c>
      <c r="U13" s="96" t="n">
        <f aca="false">IF(IFERROR(INDEX(tsk_Name,GanttView[[#This Row],[_Row]])="",TRUE()),0,N(INDEX(tsk_Deadline,GanttView[[#This Row],[_Row]])))</f>
        <v>0</v>
      </c>
      <c r="V13" s="95" t="b">
        <f aca="false">IF(IFERROR(INDEX(tsk_Name,GanttView[[#This Row],[_Row]])="",TRUE()),FALSE(),INDEX(tsk_Critical,GanttView[[#This Row],[_Row]])="Yes")</f>
        <v>0</v>
      </c>
    </row>
    <row r="14" customFormat="false" ht="15" hidden="false" customHeight="false" outlineLevel="1" collapsed="false">
      <c r="A14" s="89" t="n">
        <f aca="false">IF(IFERROR(INDEX(tsk_Name,GanttView[[#This Row],[_Row]])="",TRUE()),"",INDEX(tsk_ID,GanttView[[#This Row],[_Row]]))</f>
        <v>9</v>
      </c>
      <c r="B14" s="90" t="str">
        <f aca="false">IF(IFERROR(INDEX(tsk_Name,GanttView[[#This Row],[_Row]])="",TRUE()),"",REPT("    ",INDEX(tsk_Level,GanttView[[#This Row],[_Row]])-1)&amp;INDEX(tsk_Name,GanttView[[#This Row],[_Row]]))</f>
        <v>    Design sign-off</v>
      </c>
      <c r="C14" s="91" t="n">
        <f aca="false">IF(IFERROR(INDEX(tsk_Name,GanttView[[#This Row],[_Row]])="",TRUE()),"",INDEX(tsk_FcStart,GanttView[[#This Row],[_Row]]))</f>
        <v>46301</v>
      </c>
      <c r="D14" s="91" t="n">
        <f aca="false">IF(IFERROR(INDEX(tsk_Name,GanttView[[#This Row],[_Row]])="",TRUE()),"",INDEX(tsk_FcFinish,GanttView[[#This Row],[_Row]]))</f>
        <v>46301</v>
      </c>
      <c r="E14" s="92" t="n">
        <f aca="false">IF(IFERROR(INDEX(tsk_Name,GanttView[[#This Row],[_Row]])="",TRUE()),"",INDEX(tsk_Progress,GanttView[[#This Row],[_Row]]))</f>
        <v>1</v>
      </c>
      <c r="F14" s="90" t="str">
        <f aca="false">IF(IFERROR(INDEX(tsk_Name,GanttView[[#This Row],[_Row]])="",TRUE()),"",INDEX(tsk_ResourceNames,GanttView[[#This Row],[_Row]])&amp;"")</f>
        <v/>
      </c>
      <c r="G14" s="89" t="str">
        <f aca="false">IF(IFERROR(INDEX(tsk_Name,GanttView[[#This Row],[_Row]])="",TRUE()),"",INDEX(tsk_WBS,GanttView[[#This Row],[_Row]]))</f>
        <v>2.4</v>
      </c>
      <c r="H14" s="89" t="n">
        <f aca="false">IF(IFERROR(INDEX(tsk_Name,GanttView[[#This Row],[_Row]])="",TRUE()),"",IF(INDEX(tsk_IsSummary,GanttView[[#This Row],[_Row]]),NETWORKDAYS.INTL(INDEX(tsk_FcStart,GanttView[[#This Row],[_Row]]),INDEX(tsk_FcFinish,GanttView[[#This Row],[_Row]]),WorkWeek,Holidays),N(INDEX(tsk_Duration,GanttView[[#This Row],[_Row]]))))</f>
        <v>0</v>
      </c>
      <c r="I14" s="91" t="n">
        <f aca="false">IF(IFERROR(INDEX(tsk_Name,GanttView[[#This Row],[_Row]])="",TRUE()),"",INDEX(tsk_PlanStart,GanttView[[#This Row],[_Row]]))</f>
        <v>46296</v>
      </c>
      <c r="J14" s="91" t="n">
        <f aca="false">IF(IFERROR(INDEX(tsk_Name,GanttView[[#This Row],[_Row]])="",TRUE()),"",INDEX(tsk_PlanFinish,GanttView[[#This Row],[_Row]]))</f>
        <v>46296</v>
      </c>
      <c r="K14" s="93" t="str">
        <f aca="false">IF(IFERROR(INDEX(tsk_Name,GanttView[[#This Row],[_Row]])="",TRUE()),"",INDEX(tsk_Status,GanttView[[#This Row],[_Row]]))</f>
        <v>Complete</v>
      </c>
      <c r="L14" s="93" t="str">
        <f aca="false">IF(IFERROR(INDEX(tsk_Name,GanttView[[#This Row],[_Row]])="",TRUE()),"",INDEX(tsk_Show,GanttView[[#This Row],[_Row]])&amp;"")</f>
        <v>Yes</v>
      </c>
      <c r="M14" s="94" t="n">
        <f aca="false">ROW()-ROW(GanttView[[#Headers],[ID]])</f>
        <v>9</v>
      </c>
      <c r="N14" s="95" t="b">
        <f aca="false">IF(IFERROR(INDEX(tsk_Name,GanttView[[#This Row],[_Row]])="",TRUE()),FALSE(),INDEX(tsk_IsSummary,GanttView[[#This Row],[_Row]]))</f>
        <v>0</v>
      </c>
      <c r="O14" s="95" t="b">
        <f aca="false">IF(IFERROR(INDEX(tsk_Name,GanttView[[#This Row],[_Row]])="",TRUE()),FALSE(),AND(INDEX(tsk_IsLeaf,GanttView[[#This Row],[_Row]])=1,N(INDEX(tsk_Duration,GanttView[[#This Row],[_Row]]))=0))</f>
        <v>1</v>
      </c>
      <c r="P14" s="96" t="n">
        <f aca="false">IF(IFERROR(INDEX(tsk_Name,GanttView[[#This Row],[_Row]])="",TRUE()),0,IF(AND(INDEX(tsk_IsLeaf,GanttView[[#This Row],[_Row]])=1,NOT(GanttView[[#This Row],[_IsMilestone]]),N(GanttView[[#This Row],[%]])&gt;0),GanttView[[#This Row],[Start]],0))</f>
        <v>0</v>
      </c>
      <c r="Q14" s="96" t="n">
        <f aca="false">IF(GanttView[[#This Row],[_DoneFrom]]=0,0,IF(GanttView[[#This Row],[%]]&gt;=1,GanttView[[#This Row],[Finish]],MAX(GanttView[[#This Row],[_DoneFrom]],GanttView[[#This Row],[Start]]+ROUND((GanttView[[#This Row],[Finish]]-GanttView[[#This Row],[Start]]+1)*GanttView[[#This Row],[%]],0)-1)))</f>
        <v>0</v>
      </c>
      <c r="R14" s="96" t="n">
        <f aca="false">IF(IFERROR(INDEX(tsk_Name,GanttView[[#This Row],[_Row]])="",TRUE()),0,IF(OR(INDEX(tsk_IsLeaf,GanttView[[#This Row],[_Row]])&lt;&gt;1,GanttView[[#This Row],[_IsMilestone]],N(GanttView[[#This Row],[%]])&gt;=1),0,IF(GanttView[[#This Row],[_DoneTo]]&gt;0,GanttView[[#This Row],[_DoneTo]]+1,GanttView[[#This Row],[Start]])))</f>
        <v>0</v>
      </c>
      <c r="S14" s="96" t="n">
        <f aca="false">IF(GanttView[[#This Row],[_RemFrom]]=0,0,GanttView[[#This Row],[Finish]])</f>
        <v>0</v>
      </c>
      <c r="T14" s="95" t="b">
        <f aca="false">IF(IFERROR(INDEX(tsk_Name,GanttView[[#This Row],[_Row]])="",TRUE()),FALSE(),N(INDEX(tsk_Variance,GanttView[[#This Row],[_Row]]))&gt;0)</f>
        <v>1</v>
      </c>
      <c r="U14" s="96" t="n">
        <f aca="false">IF(IFERROR(INDEX(tsk_Name,GanttView[[#This Row],[_Row]])="",TRUE()),0,N(INDEX(tsk_Deadline,GanttView[[#This Row],[_Row]])))</f>
        <v>0</v>
      </c>
      <c r="V14" s="95" t="b">
        <f aca="false">IF(IFERROR(INDEX(tsk_Name,GanttView[[#This Row],[_Row]])="",TRUE()),FALSE(),INDEX(tsk_Critical,GanttView[[#This Row],[_Row]])="Yes")</f>
        <v>0</v>
      </c>
    </row>
    <row r="15" customFormat="false" ht="15" hidden="false" customHeight="false" outlineLevel="0" collapsed="false">
      <c r="A15" s="89" t="n">
        <f aca="false">IF(IFERROR(INDEX(tsk_Name,GanttView[[#This Row],[_Row]])="",TRUE()),"",INDEX(tsk_ID,GanttView[[#This Row],[_Row]]))</f>
        <v>10</v>
      </c>
      <c r="B15" s="90" t="str">
        <f aca="false">IF(IFERROR(INDEX(tsk_Name,GanttView[[#This Row],[_Row]])="",TRUE()),"",REPT("    ",INDEX(tsk_Level,GanttView[[#This Row],[_Row]])-1)&amp;INDEX(tsk_Name,GanttView[[#This Row],[_Row]]))</f>
        <v>Build</v>
      </c>
      <c r="C15" s="91" t="n">
        <f aca="false">IF(IFERROR(INDEX(tsk_Name,GanttView[[#This Row],[_Row]])="",TRUE()),"",INDEX(tsk_FcStart,GanttView[[#This Row],[_Row]]))</f>
        <v>46302</v>
      </c>
      <c r="D15" s="91" t="n">
        <f aca="false">IF(IFERROR(INDEX(tsk_Name,GanttView[[#This Row],[_Row]])="",TRUE()),"",INDEX(tsk_FcFinish,GanttView[[#This Row],[_Row]]))</f>
        <v>46335</v>
      </c>
      <c r="E15" s="92" t="n">
        <f aca="false">IF(IFERROR(INDEX(tsk_Name,GanttView[[#This Row],[_Row]])="",TRUE()),"",INDEX(tsk_Progress,GanttView[[#This Row],[_Row]]))</f>
        <v>0.451306413301663</v>
      </c>
      <c r="F15" s="90" t="str">
        <f aca="false">IF(IFERROR(INDEX(tsk_Name,GanttView[[#This Row],[_Row]])="",TRUE()),"",INDEX(tsk_ResourceNames,GanttView[[#This Row],[_Row]])&amp;"")</f>
        <v/>
      </c>
      <c r="G15" s="89" t="str">
        <f aca="false">IF(IFERROR(INDEX(tsk_Name,GanttView[[#This Row],[_Row]])="",TRUE()),"",INDEX(tsk_WBS,GanttView[[#This Row],[_Row]]))</f>
        <v>3</v>
      </c>
      <c r="H15" s="89" t="n">
        <f aca="false">IF(IFERROR(INDEX(tsk_Name,GanttView[[#This Row],[_Row]])="",TRUE()),"",IF(INDEX(tsk_IsSummary,GanttView[[#This Row],[_Row]]),NETWORKDAYS.INTL(INDEX(tsk_FcStart,GanttView[[#This Row],[_Row]]),INDEX(tsk_FcFinish,GanttView[[#This Row],[_Row]]),WorkWeek,Holidays),N(INDEX(tsk_Duration,GanttView[[#This Row],[_Row]]))))</f>
        <v>24</v>
      </c>
      <c r="I15" s="91" t="n">
        <f aca="false">IF(IFERROR(INDEX(tsk_Name,GanttView[[#This Row],[_Row]])="",TRUE()),"",INDEX(tsk_PlanStart,GanttView[[#This Row],[_Row]]))</f>
        <v>46297</v>
      </c>
      <c r="J15" s="91" t="n">
        <f aca="false">IF(IFERROR(INDEX(tsk_Name,GanttView[[#This Row],[_Row]])="",TRUE()),"",INDEX(tsk_PlanFinish,GanttView[[#This Row],[_Row]]))</f>
        <v>46325</v>
      </c>
      <c r="K15" s="93" t="str">
        <f aca="false">IF(IFERROR(INDEX(tsk_Name,GanttView[[#This Row],[_Row]])="",TRUE()),"",INDEX(tsk_Status,GanttView[[#This Row],[_Row]]))</f>
        <v>Behind</v>
      </c>
      <c r="L15" s="93" t="str">
        <f aca="false">IF(IFERROR(INDEX(tsk_Name,GanttView[[#This Row],[_Row]])="",TRUE()),"",INDEX(tsk_Show,GanttView[[#This Row],[_Row]])&amp;"")</f>
        <v>Yes</v>
      </c>
      <c r="M15" s="94" t="n">
        <f aca="false">ROW()-ROW(GanttView[[#Headers],[ID]])</f>
        <v>10</v>
      </c>
      <c r="N15" s="95" t="b">
        <f aca="false">IF(IFERROR(INDEX(tsk_Name,GanttView[[#This Row],[_Row]])="",TRUE()),FALSE(),INDEX(tsk_IsSummary,GanttView[[#This Row],[_Row]]))</f>
        <v>1</v>
      </c>
      <c r="O15" s="95" t="b">
        <f aca="false">IF(IFERROR(INDEX(tsk_Name,GanttView[[#This Row],[_Row]])="",TRUE()),FALSE(),AND(INDEX(tsk_IsLeaf,GanttView[[#This Row],[_Row]])=1,N(INDEX(tsk_Duration,GanttView[[#This Row],[_Row]]))=0))</f>
        <v>0</v>
      </c>
      <c r="P15" s="96" t="n">
        <f aca="false">IF(IFERROR(INDEX(tsk_Name,GanttView[[#This Row],[_Row]])="",TRUE()),0,IF(AND(INDEX(tsk_IsLeaf,GanttView[[#This Row],[_Row]])=1,NOT(GanttView[[#This Row],[_IsMilestone]]),N(GanttView[[#This Row],[%]])&gt;0),GanttView[[#This Row],[Start]],0))</f>
        <v>0</v>
      </c>
      <c r="Q15" s="96" t="n">
        <f aca="false">IF(GanttView[[#This Row],[_DoneFrom]]=0,0,IF(GanttView[[#This Row],[%]]&gt;=1,GanttView[[#This Row],[Finish]],MAX(GanttView[[#This Row],[_DoneFrom]],GanttView[[#This Row],[Start]]+ROUND((GanttView[[#This Row],[Finish]]-GanttView[[#This Row],[Start]]+1)*GanttView[[#This Row],[%]],0)-1)))</f>
        <v>0</v>
      </c>
      <c r="R15" s="96" t="n">
        <f aca="false">IF(IFERROR(INDEX(tsk_Name,GanttView[[#This Row],[_Row]])="",TRUE()),0,IF(OR(INDEX(tsk_IsLeaf,GanttView[[#This Row],[_Row]])&lt;&gt;1,GanttView[[#This Row],[_IsMilestone]],N(GanttView[[#This Row],[%]])&gt;=1),0,IF(GanttView[[#This Row],[_DoneTo]]&gt;0,GanttView[[#This Row],[_DoneTo]]+1,GanttView[[#This Row],[Start]])))</f>
        <v>0</v>
      </c>
      <c r="S15" s="96" t="n">
        <f aca="false">IF(GanttView[[#This Row],[_RemFrom]]=0,0,GanttView[[#This Row],[Finish]])</f>
        <v>0</v>
      </c>
      <c r="T15" s="95" t="b">
        <f aca="false">IF(IFERROR(INDEX(tsk_Name,GanttView[[#This Row],[_Row]])="",TRUE()),FALSE(),N(INDEX(tsk_Variance,GanttView[[#This Row],[_Row]]))&gt;0)</f>
        <v>1</v>
      </c>
      <c r="U15" s="96" t="n">
        <f aca="false">IF(IFERROR(INDEX(tsk_Name,GanttView[[#This Row],[_Row]])="",TRUE()),0,N(INDEX(tsk_Deadline,GanttView[[#This Row],[_Row]])))</f>
        <v>0</v>
      </c>
      <c r="V15" s="95" t="b">
        <f aca="false">IF(IFERROR(INDEX(tsk_Name,GanttView[[#This Row],[_Row]])="",TRUE()),FALSE(),INDEX(tsk_Critical,GanttView[[#This Row],[_Row]])="Yes")</f>
        <v>1</v>
      </c>
    </row>
    <row r="16" customFormat="false" ht="15" hidden="false" customHeight="false" outlineLevel="1" collapsed="false">
      <c r="A16" s="89" t="n">
        <f aca="false">IF(IFERROR(INDEX(tsk_Name,GanttView[[#This Row],[_Row]])="",TRUE()),"",INDEX(tsk_ID,GanttView[[#This Row],[_Row]]))</f>
        <v>11</v>
      </c>
      <c r="B16" s="90" t="str">
        <f aca="false">IF(IFERROR(INDEX(tsk_Name,GanttView[[#This Row],[_Row]])="",TRUE()),"",REPT("    ",INDEX(tsk_Level,GanttView[[#This Row],[_Row]])-1)&amp;INDEX(tsk_Name,GanttView[[#This Row],[_Row]]))</f>
        <v>    Backend</v>
      </c>
      <c r="C16" s="91" t="n">
        <f aca="false">IF(IFERROR(INDEX(tsk_Name,GanttView[[#This Row],[_Row]])="",TRUE()),"",INDEX(tsk_FcStart,GanttView[[#This Row],[_Row]]))</f>
        <v>46302</v>
      </c>
      <c r="D16" s="91" t="n">
        <f aca="false">IF(IFERROR(INDEX(tsk_Name,GanttView[[#This Row],[_Row]])="",TRUE()),"",INDEX(tsk_FcFinish,GanttView[[#This Row],[_Row]]))</f>
        <v>46335</v>
      </c>
      <c r="E16" s="92" t="n">
        <f aca="false">IF(IFERROR(INDEX(tsk_Name,GanttView[[#This Row],[_Row]])="",TRUE()),"",INDEX(tsk_Progress,GanttView[[#This Row],[_Row]]))</f>
        <v>0.476190476190476</v>
      </c>
      <c r="F16" s="90" t="str">
        <f aca="false">IF(IFERROR(INDEX(tsk_Name,GanttView[[#This Row],[_Row]])="",TRUE()),"",INDEX(tsk_ResourceNames,GanttView[[#This Row],[_Row]])&amp;"")</f>
        <v/>
      </c>
      <c r="G16" s="89" t="str">
        <f aca="false">IF(IFERROR(INDEX(tsk_Name,GanttView[[#This Row],[_Row]])="",TRUE()),"",INDEX(tsk_WBS,GanttView[[#This Row],[_Row]]))</f>
        <v>3.1</v>
      </c>
      <c r="H16" s="89" t="n">
        <f aca="false">IF(IFERROR(INDEX(tsk_Name,GanttView[[#This Row],[_Row]])="",TRUE()),"",IF(INDEX(tsk_IsSummary,GanttView[[#This Row],[_Row]]),NETWORKDAYS.INTL(INDEX(tsk_FcStart,GanttView[[#This Row],[_Row]]),INDEX(tsk_FcFinish,GanttView[[#This Row],[_Row]]),WorkWeek,Holidays),N(INDEX(tsk_Duration,GanttView[[#This Row],[_Row]]))))</f>
        <v>24</v>
      </c>
      <c r="I16" s="91" t="n">
        <f aca="false">IF(IFERROR(INDEX(tsk_Name,GanttView[[#This Row],[_Row]])="",TRUE()),"",INDEX(tsk_PlanStart,GanttView[[#This Row],[_Row]]))</f>
        <v>46297</v>
      </c>
      <c r="J16" s="91" t="n">
        <f aca="false">IF(IFERROR(INDEX(tsk_Name,GanttView[[#This Row],[_Row]])="",TRUE()),"",INDEX(tsk_PlanFinish,GanttView[[#This Row],[_Row]]))</f>
        <v>46325</v>
      </c>
      <c r="K16" s="93" t="str">
        <f aca="false">IF(IFERROR(INDEX(tsk_Name,GanttView[[#This Row],[_Row]])="",TRUE()),"",INDEX(tsk_Status,GanttView[[#This Row],[_Row]]))</f>
        <v>Behind</v>
      </c>
      <c r="L16" s="93" t="str">
        <f aca="false">IF(IFERROR(INDEX(tsk_Name,GanttView[[#This Row],[_Row]])="",TRUE()),"",INDEX(tsk_Show,GanttView[[#This Row],[_Row]])&amp;"")</f>
        <v>Yes</v>
      </c>
      <c r="M16" s="94" t="n">
        <f aca="false">ROW()-ROW(GanttView[[#Headers],[ID]])</f>
        <v>11</v>
      </c>
      <c r="N16" s="95" t="b">
        <f aca="false">IF(IFERROR(INDEX(tsk_Name,GanttView[[#This Row],[_Row]])="",TRUE()),FALSE(),INDEX(tsk_IsSummary,GanttView[[#This Row],[_Row]]))</f>
        <v>1</v>
      </c>
      <c r="O16" s="95" t="b">
        <f aca="false">IF(IFERROR(INDEX(tsk_Name,GanttView[[#This Row],[_Row]])="",TRUE()),FALSE(),AND(INDEX(tsk_IsLeaf,GanttView[[#This Row],[_Row]])=1,N(INDEX(tsk_Duration,GanttView[[#This Row],[_Row]]))=0))</f>
        <v>0</v>
      </c>
      <c r="P16" s="96" t="n">
        <f aca="false">IF(IFERROR(INDEX(tsk_Name,GanttView[[#This Row],[_Row]])="",TRUE()),0,IF(AND(INDEX(tsk_IsLeaf,GanttView[[#This Row],[_Row]])=1,NOT(GanttView[[#This Row],[_IsMilestone]]),N(GanttView[[#This Row],[%]])&gt;0),GanttView[[#This Row],[Start]],0))</f>
        <v>0</v>
      </c>
      <c r="Q16" s="96" t="n">
        <f aca="false">IF(GanttView[[#This Row],[_DoneFrom]]=0,0,IF(GanttView[[#This Row],[%]]&gt;=1,GanttView[[#This Row],[Finish]],MAX(GanttView[[#This Row],[_DoneFrom]],GanttView[[#This Row],[Start]]+ROUND((GanttView[[#This Row],[Finish]]-GanttView[[#This Row],[Start]]+1)*GanttView[[#This Row],[%]],0)-1)))</f>
        <v>0</v>
      </c>
      <c r="R16" s="96" t="n">
        <f aca="false">IF(IFERROR(INDEX(tsk_Name,GanttView[[#This Row],[_Row]])="",TRUE()),0,IF(OR(INDEX(tsk_IsLeaf,GanttView[[#This Row],[_Row]])&lt;&gt;1,GanttView[[#This Row],[_IsMilestone]],N(GanttView[[#This Row],[%]])&gt;=1),0,IF(GanttView[[#This Row],[_DoneTo]]&gt;0,GanttView[[#This Row],[_DoneTo]]+1,GanttView[[#This Row],[Start]])))</f>
        <v>0</v>
      </c>
      <c r="S16" s="96" t="n">
        <f aca="false">IF(GanttView[[#This Row],[_RemFrom]]=0,0,GanttView[[#This Row],[Finish]])</f>
        <v>0</v>
      </c>
      <c r="T16" s="95" t="b">
        <f aca="false">IF(IFERROR(INDEX(tsk_Name,GanttView[[#This Row],[_Row]])="",TRUE()),FALSE(),N(INDEX(tsk_Variance,GanttView[[#This Row],[_Row]]))&gt;0)</f>
        <v>1</v>
      </c>
      <c r="U16" s="96" t="n">
        <f aca="false">IF(IFERROR(INDEX(tsk_Name,GanttView[[#This Row],[_Row]])="",TRUE()),0,N(INDEX(tsk_Deadline,GanttView[[#This Row],[_Row]])))</f>
        <v>0</v>
      </c>
      <c r="V16" s="95" t="b">
        <f aca="false">IF(IFERROR(INDEX(tsk_Name,GanttView[[#This Row],[_Row]])="",TRUE()),FALSE(),INDEX(tsk_Critical,GanttView[[#This Row],[_Row]])="Yes")</f>
        <v>1</v>
      </c>
    </row>
    <row r="17" customFormat="false" ht="15" hidden="false" customHeight="false" outlineLevel="2" collapsed="false">
      <c r="A17" s="89" t="n">
        <f aca="false">IF(IFERROR(INDEX(tsk_Name,GanttView[[#This Row],[_Row]])="",TRUE()),"",INDEX(tsk_ID,GanttView[[#This Row],[_Row]]))</f>
        <v>12</v>
      </c>
      <c r="B17" s="90" t="str">
        <f aca="false">IF(IFERROR(INDEX(tsk_Name,GanttView[[#This Row],[_Row]])="",TRUE()),"",REPT("    ",INDEX(tsk_Level,GanttView[[#This Row],[_Row]])-1)&amp;INDEX(tsk_Name,GanttView[[#This Row],[_Row]]))</f>
        <v>        Data model &amp; database setup</v>
      </c>
      <c r="C17" s="91" t="n">
        <f aca="false">IF(IFERROR(INDEX(tsk_Name,GanttView[[#This Row],[_Row]])="",TRUE()),"",INDEX(tsk_FcStart,GanttView[[#This Row],[_Row]]))</f>
        <v>46302</v>
      </c>
      <c r="D17" s="91" t="n">
        <f aca="false">IF(IFERROR(INDEX(tsk_Name,GanttView[[#This Row],[_Row]])="",TRUE()),"",INDEX(tsk_FcFinish,GanttView[[#This Row],[_Row]]))</f>
        <v>46309</v>
      </c>
      <c r="E17" s="92" t="n">
        <f aca="false">IF(IFERROR(INDEX(tsk_Name,GanttView[[#This Row],[_Row]])="",TRUE()),"",INDEX(tsk_Progress,GanttView[[#This Row],[_Row]]))</f>
        <v>1</v>
      </c>
      <c r="F17" s="90" t="str">
        <f aca="false">IF(IFERROR(INDEX(tsk_Name,GanttView[[#This Row],[_Row]])="",TRUE()),"",INDEX(tsk_ResourceNames,GanttView[[#This Row],[_Row]])&amp;"")</f>
        <v>Jordan Lee</v>
      </c>
      <c r="G17" s="89" t="str">
        <f aca="false">IF(IFERROR(INDEX(tsk_Name,GanttView[[#This Row],[_Row]])="",TRUE()),"",INDEX(tsk_WBS,GanttView[[#This Row],[_Row]]))</f>
        <v>3.1.1</v>
      </c>
      <c r="H17" s="89" t="n">
        <f aca="false">IF(IFERROR(INDEX(tsk_Name,GanttView[[#This Row],[_Row]])="",TRUE()),"",IF(INDEX(tsk_IsSummary,GanttView[[#This Row],[_Row]]),NETWORKDAYS.INTL(INDEX(tsk_FcStart,GanttView[[#This Row],[_Row]]),INDEX(tsk_FcFinish,GanttView[[#This Row],[_Row]]),WorkWeek,Holidays),N(INDEX(tsk_Duration,GanttView[[#This Row],[_Row]]))))</f>
        <v>5</v>
      </c>
      <c r="I17" s="91" t="n">
        <f aca="false">IF(IFERROR(INDEX(tsk_Name,GanttView[[#This Row],[_Row]])="",TRUE()),"",INDEX(tsk_PlanStart,GanttView[[#This Row],[_Row]]))</f>
        <v>46297</v>
      </c>
      <c r="J17" s="91" t="n">
        <f aca="false">IF(IFERROR(INDEX(tsk_Name,GanttView[[#This Row],[_Row]])="",TRUE()),"",INDEX(tsk_PlanFinish,GanttView[[#This Row],[_Row]]))</f>
        <v>46303</v>
      </c>
      <c r="K17" s="93" t="str">
        <f aca="false">IF(IFERROR(INDEX(tsk_Name,GanttView[[#This Row],[_Row]])="",TRUE()),"",INDEX(tsk_Status,GanttView[[#This Row],[_Row]]))</f>
        <v>Complete</v>
      </c>
      <c r="L17" s="93" t="str">
        <f aca="false">IF(IFERROR(INDEX(tsk_Name,GanttView[[#This Row],[_Row]])="",TRUE()),"",INDEX(tsk_Show,GanttView[[#This Row],[_Row]])&amp;"")</f>
        <v>Yes</v>
      </c>
      <c r="M17" s="94" t="n">
        <f aca="false">ROW()-ROW(GanttView[[#Headers],[ID]])</f>
        <v>12</v>
      </c>
      <c r="N17" s="95" t="b">
        <f aca="false">IF(IFERROR(INDEX(tsk_Name,GanttView[[#This Row],[_Row]])="",TRUE()),FALSE(),INDEX(tsk_IsSummary,GanttView[[#This Row],[_Row]]))</f>
        <v>0</v>
      </c>
      <c r="O17" s="95" t="b">
        <f aca="false">IF(IFERROR(INDEX(tsk_Name,GanttView[[#This Row],[_Row]])="",TRUE()),FALSE(),AND(INDEX(tsk_IsLeaf,GanttView[[#This Row],[_Row]])=1,N(INDEX(tsk_Duration,GanttView[[#This Row],[_Row]]))=0))</f>
        <v>0</v>
      </c>
      <c r="P17" s="96" t="n">
        <f aca="false">IF(IFERROR(INDEX(tsk_Name,GanttView[[#This Row],[_Row]])="",TRUE()),0,IF(AND(INDEX(tsk_IsLeaf,GanttView[[#This Row],[_Row]])=1,NOT(GanttView[[#This Row],[_IsMilestone]]),N(GanttView[[#This Row],[%]])&gt;0),GanttView[[#This Row],[Start]],0))</f>
        <v>46302</v>
      </c>
      <c r="Q17" s="96" t="n">
        <f aca="false">IF(GanttView[[#This Row],[_DoneFrom]]=0,0,IF(GanttView[[#This Row],[%]]&gt;=1,GanttView[[#This Row],[Finish]],MAX(GanttView[[#This Row],[_DoneFrom]],GanttView[[#This Row],[Start]]+ROUND((GanttView[[#This Row],[Finish]]-GanttView[[#This Row],[Start]]+1)*GanttView[[#This Row],[%]],0)-1)))</f>
        <v>46309</v>
      </c>
      <c r="R17" s="96" t="n">
        <f aca="false">IF(IFERROR(INDEX(tsk_Name,GanttView[[#This Row],[_Row]])="",TRUE()),0,IF(OR(INDEX(tsk_IsLeaf,GanttView[[#This Row],[_Row]])&lt;&gt;1,GanttView[[#This Row],[_IsMilestone]],N(GanttView[[#This Row],[%]])&gt;=1),0,IF(GanttView[[#This Row],[_DoneTo]]&gt;0,GanttView[[#This Row],[_DoneTo]]+1,GanttView[[#This Row],[Start]])))</f>
        <v>0</v>
      </c>
      <c r="S17" s="96" t="n">
        <f aca="false">IF(GanttView[[#This Row],[_RemFrom]]=0,0,GanttView[[#This Row],[Finish]])</f>
        <v>0</v>
      </c>
      <c r="T17" s="95" t="b">
        <f aca="false">IF(IFERROR(INDEX(tsk_Name,GanttView[[#This Row],[_Row]])="",TRUE()),FALSE(),N(INDEX(tsk_Variance,GanttView[[#This Row],[_Row]]))&gt;0)</f>
        <v>1</v>
      </c>
      <c r="U17" s="96" t="n">
        <f aca="false">IF(IFERROR(INDEX(tsk_Name,GanttView[[#This Row],[_Row]])="",TRUE()),0,N(INDEX(tsk_Deadline,GanttView[[#This Row],[_Row]])))</f>
        <v>0</v>
      </c>
      <c r="V17" s="95" t="b">
        <f aca="false">IF(IFERROR(INDEX(tsk_Name,GanttView[[#This Row],[_Row]])="",TRUE()),FALSE(),INDEX(tsk_Critical,GanttView[[#This Row],[_Row]])="Yes")</f>
        <v>0</v>
      </c>
    </row>
    <row r="18" customFormat="false" ht="15" hidden="false" customHeight="false" outlineLevel="2" collapsed="false">
      <c r="A18" s="89" t="n">
        <f aca="false">IF(IFERROR(INDEX(tsk_Name,GanttView[[#This Row],[_Row]])="",TRUE()),"",INDEX(tsk_ID,GanttView[[#This Row],[_Row]]))</f>
        <v>13</v>
      </c>
      <c r="B18" s="90" t="str">
        <f aca="false">IF(IFERROR(INDEX(tsk_Name,GanttView[[#This Row],[_Row]])="",TRUE()),"",REPT("    ",INDEX(tsk_Level,GanttView[[#This Row],[_Row]])-1)&amp;INDEX(tsk_Name,GanttView[[#This Row],[_Row]]))</f>
        <v>        Core API endpoints</v>
      </c>
      <c r="C18" s="91" t="n">
        <f aca="false">IF(IFERROR(INDEX(tsk_Name,GanttView[[#This Row],[_Row]])="",TRUE()),"",INDEX(tsk_FcStart,GanttView[[#This Row],[_Row]]))</f>
        <v>46310</v>
      </c>
      <c r="D18" s="91" t="n">
        <f aca="false">IF(IFERROR(INDEX(tsk_Name,GanttView[[#This Row],[_Row]])="",TRUE()),"",INDEX(tsk_FcFinish,GanttView[[#This Row],[_Row]]))</f>
        <v>46325</v>
      </c>
      <c r="E18" s="92" t="n">
        <f aca="false">IF(IFERROR(INDEX(tsk_Name,GanttView[[#This Row],[_Row]])="",TRUE()),"",INDEX(tsk_Progress,GanttView[[#This Row],[_Row]]))</f>
        <v>0.5</v>
      </c>
      <c r="F18" s="90" t="str">
        <f aca="false">IF(IFERROR(INDEX(tsk_Name,GanttView[[#This Row],[_Row]])="",TRUE()),"",INDEX(tsk_ResourceNames,GanttView[[#This Row],[_Row]])&amp;"")</f>
        <v>Jordan Lee</v>
      </c>
      <c r="G18" s="89" t="str">
        <f aca="false">IF(IFERROR(INDEX(tsk_Name,GanttView[[#This Row],[_Row]])="",TRUE()),"",INDEX(tsk_WBS,GanttView[[#This Row],[_Row]]))</f>
        <v>3.1.2</v>
      </c>
      <c r="H18" s="89" t="n">
        <f aca="false">IF(IFERROR(INDEX(tsk_Name,GanttView[[#This Row],[_Row]])="",TRUE()),"",IF(INDEX(tsk_IsSummary,GanttView[[#This Row],[_Row]]),NETWORKDAYS.INTL(INDEX(tsk_FcStart,GanttView[[#This Row],[_Row]]),INDEX(tsk_FcFinish,GanttView[[#This Row],[_Row]]),WorkWeek,Holidays),N(INDEX(tsk_Duration,GanttView[[#This Row],[_Row]]))))</f>
        <v>10</v>
      </c>
      <c r="I18" s="91" t="n">
        <f aca="false">IF(IFERROR(INDEX(tsk_Name,GanttView[[#This Row],[_Row]])="",TRUE()),"",INDEX(tsk_PlanStart,GanttView[[#This Row],[_Row]]))</f>
        <v>46304</v>
      </c>
      <c r="J18" s="91" t="n">
        <f aca="false">IF(IFERROR(INDEX(tsk_Name,GanttView[[#This Row],[_Row]])="",TRUE()),"",INDEX(tsk_PlanFinish,GanttView[[#This Row],[_Row]]))</f>
        <v>46317</v>
      </c>
      <c r="K18" s="93" t="str">
        <f aca="false">IF(IFERROR(INDEX(tsk_Name,GanttView[[#This Row],[_Row]])="",TRUE()),"",INDEX(tsk_Status,GanttView[[#This Row],[_Row]]))</f>
        <v>Behind</v>
      </c>
      <c r="L18" s="93" t="str">
        <f aca="false">IF(IFERROR(INDEX(tsk_Name,GanttView[[#This Row],[_Row]])="",TRUE()),"",INDEX(tsk_Show,GanttView[[#This Row],[_Row]])&amp;"")</f>
        <v>Yes</v>
      </c>
      <c r="M18" s="94" t="n">
        <f aca="false">ROW()-ROW(GanttView[[#Headers],[ID]])</f>
        <v>13</v>
      </c>
      <c r="N18" s="95" t="b">
        <f aca="false">IF(IFERROR(INDEX(tsk_Name,GanttView[[#This Row],[_Row]])="",TRUE()),FALSE(),INDEX(tsk_IsSummary,GanttView[[#This Row],[_Row]]))</f>
        <v>0</v>
      </c>
      <c r="O18" s="95" t="b">
        <f aca="false">IF(IFERROR(INDEX(tsk_Name,GanttView[[#This Row],[_Row]])="",TRUE()),FALSE(),AND(INDEX(tsk_IsLeaf,GanttView[[#This Row],[_Row]])=1,N(INDEX(tsk_Duration,GanttView[[#This Row],[_Row]]))=0))</f>
        <v>0</v>
      </c>
      <c r="P18" s="96" t="n">
        <f aca="false">IF(IFERROR(INDEX(tsk_Name,GanttView[[#This Row],[_Row]])="",TRUE()),0,IF(AND(INDEX(tsk_IsLeaf,GanttView[[#This Row],[_Row]])=1,NOT(GanttView[[#This Row],[_IsMilestone]]),N(GanttView[[#This Row],[%]])&gt;0),GanttView[[#This Row],[Start]],0))</f>
        <v>46310</v>
      </c>
      <c r="Q18" s="96" t="n">
        <f aca="false">IF(GanttView[[#This Row],[_DoneFrom]]=0,0,IF(GanttView[[#This Row],[%]]&gt;=1,GanttView[[#This Row],[Finish]],MAX(GanttView[[#This Row],[_DoneFrom]],GanttView[[#This Row],[Start]]+ROUND((GanttView[[#This Row],[Finish]]-GanttView[[#This Row],[Start]]+1)*GanttView[[#This Row],[%]],0)-1)))</f>
        <v>46317</v>
      </c>
      <c r="R18" s="96" t="n">
        <f aca="false">IF(IFERROR(INDEX(tsk_Name,GanttView[[#This Row],[_Row]])="",TRUE()),0,IF(OR(INDEX(tsk_IsLeaf,GanttView[[#This Row],[_Row]])&lt;&gt;1,GanttView[[#This Row],[_IsMilestone]],N(GanttView[[#This Row],[%]])&gt;=1),0,IF(GanttView[[#This Row],[_DoneTo]]&gt;0,GanttView[[#This Row],[_DoneTo]]+1,GanttView[[#This Row],[Start]])))</f>
        <v>46318</v>
      </c>
      <c r="S18" s="96" t="n">
        <f aca="false">IF(GanttView[[#This Row],[_RemFrom]]=0,0,GanttView[[#This Row],[Finish]])</f>
        <v>46325</v>
      </c>
      <c r="T18" s="95" t="b">
        <f aca="false">IF(IFERROR(INDEX(tsk_Name,GanttView[[#This Row],[_Row]])="",TRUE()),FALSE(),N(INDEX(tsk_Variance,GanttView[[#This Row],[_Row]]))&gt;0)</f>
        <v>1</v>
      </c>
      <c r="U18" s="96" t="n">
        <f aca="false">IF(IFERROR(INDEX(tsk_Name,GanttView[[#This Row],[_Row]])="",TRUE()),0,N(INDEX(tsk_Deadline,GanttView[[#This Row],[_Row]])))</f>
        <v>0</v>
      </c>
      <c r="V18" s="95" t="b">
        <f aca="false">IF(IFERROR(INDEX(tsk_Name,GanttView[[#This Row],[_Row]])="",TRUE()),FALSE(),INDEX(tsk_Critical,GanttView[[#This Row],[_Row]])="Yes")</f>
        <v>1</v>
      </c>
    </row>
    <row r="19" customFormat="false" ht="15" hidden="false" customHeight="false" outlineLevel="2" collapsed="false">
      <c r="A19" s="89" t="n">
        <f aca="false">IF(IFERROR(INDEX(tsk_Name,GanttView[[#This Row],[_Row]])="",TRUE()),"",INDEX(tsk_ID,GanttView[[#This Row],[_Row]]))</f>
        <v>14</v>
      </c>
      <c r="B19" s="90" t="str">
        <f aca="false">IF(IFERROR(INDEX(tsk_Name,GanttView[[#This Row],[_Row]])="",TRUE()),"",REPT("    ",INDEX(tsk_Level,GanttView[[#This Row],[_Row]])-1)&amp;INDEX(tsk_Name,GanttView[[#This Row],[_Row]]))</f>
        <v>        Payment gateway integration</v>
      </c>
      <c r="C19" s="91" t="n">
        <f aca="false">IF(IFERROR(INDEX(tsk_Name,GanttView[[#This Row],[_Row]])="",TRUE()),"",INDEX(tsk_FcStart,GanttView[[#This Row],[_Row]]))</f>
        <v>46328</v>
      </c>
      <c r="D19" s="91" t="n">
        <f aca="false">IF(IFERROR(INDEX(tsk_Name,GanttView[[#This Row],[_Row]])="",TRUE()),"",INDEX(tsk_FcFinish,GanttView[[#This Row],[_Row]]))</f>
        <v>46335</v>
      </c>
      <c r="E19" s="92" t="n">
        <f aca="false">IF(IFERROR(INDEX(tsk_Name,GanttView[[#This Row],[_Row]])="",TRUE()),"",INDEX(tsk_Progress,GanttView[[#This Row],[_Row]]))</f>
        <v>0</v>
      </c>
      <c r="F19" s="90" t="str">
        <f aca="false">IF(IFERROR(INDEX(tsk_Name,GanttView[[#This Row],[_Row]])="",TRUE()),"",INDEX(tsk_ResourceNames,GanttView[[#This Row],[_Row]])&amp;"")</f>
        <v>Jordan Lee</v>
      </c>
      <c r="G19" s="89" t="str">
        <f aca="false">IF(IFERROR(INDEX(tsk_Name,GanttView[[#This Row],[_Row]])="",TRUE()),"",INDEX(tsk_WBS,GanttView[[#This Row],[_Row]]))</f>
        <v>3.1.3</v>
      </c>
      <c r="H19" s="89" t="n">
        <f aca="false">IF(IFERROR(INDEX(tsk_Name,GanttView[[#This Row],[_Row]])="",TRUE()),"",IF(INDEX(tsk_IsSummary,GanttView[[#This Row],[_Row]]),NETWORKDAYS.INTL(INDEX(tsk_FcStart,GanttView[[#This Row],[_Row]]),INDEX(tsk_FcFinish,GanttView[[#This Row],[_Row]]),WorkWeek,Holidays),N(INDEX(tsk_Duration,GanttView[[#This Row],[_Row]]))))</f>
        <v>6</v>
      </c>
      <c r="I19" s="91" t="n">
        <f aca="false">IF(IFERROR(INDEX(tsk_Name,GanttView[[#This Row],[_Row]])="",TRUE()),"",INDEX(tsk_PlanStart,GanttView[[#This Row],[_Row]]))</f>
        <v>46318</v>
      </c>
      <c r="J19" s="91" t="n">
        <f aca="false">IF(IFERROR(INDEX(tsk_Name,GanttView[[#This Row],[_Row]])="",TRUE()),"",INDEX(tsk_PlanFinish,GanttView[[#This Row],[_Row]]))</f>
        <v>46325</v>
      </c>
      <c r="K19" s="93" t="str">
        <f aca="false">IF(IFERROR(INDEX(tsk_Name,GanttView[[#This Row],[_Row]])="",TRUE()),"",INDEX(tsk_Status,GanttView[[#This Row],[_Row]]))</f>
        <v>Late Start</v>
      </c>
      <c r="L19" s="93" t="str">
        <f aca="false">IF(IFERROR(INDEX(tsk_Name,GanttView[[#This Row],[_Row]])="",TRUE()),"",INDEX(tsk_Show,GanttView[[#This Row],[_Row]])&amp;"")</f>
        <v>Yes</v>
      </c>
      <c r="M19" s="94" t="n">
        <f aca="false">ROW()-ROW(GanttView[[#Headers],[ID]])</f>
        <v>14</v>
      </c>
      <c r="N19" s="95" t="b">
        <f aca="false">IF(IFERROR(INDEX(tsk_Name,GanttView[[#This Row],[_Row]])="",TRUE()),FALSE(),INDEX(tsk_IsSummary,GanttView[[#This Row],[_Row]]))</f>
        <v>0</v>
      </c>
      <c r="O19" s="95" t="b">
        <f aca="false">IF(IFERROR(INDEX(tsk_Name,GanttView[[#This Row],[_Row]])="",TRUE()),FALSE(),AND(INDEX(tsk_IsLeaf,GanttView[[#This Row],[_Row]])=1,N(INDEX(tsk_Duration,GanttView[[#This Row],[_Row]]))=0))</f>
        <v>0</v>
      </c>
      <c r="P19" s="96" t="n">
        <f aca="false">IF(IFERROR(INDEX(tsk_Name,GanttView[[#This Row],[_Row]])="",TRUE()),0,IF(AND(INDEX(tsk_IsLeaf,GanttView[[#This Row],[_Row]])=1,NOT(GanttView[[#This Row],[_IsMilestone]]),N(GanttView[[#This Row],[%]])&gt;0),GanttView[[#This Row],[Start]],0))</f>
        <v>0</v>
      </c>
      <c r="Q19" s="96" t="n">
        <f aca="false">IF(GanttView[[#This Row],[_DoneFrom]]=0,0,IF(GanttView[[#This Row],[%]]&gt;=1,GanttView[[#This Row],[Finish]],MAX(GanttView[[#This Row],[_DoneFrom]],GanttView[[#This Row],[Start]]+ROUND((GanttView[[#This Row],[Finish]]-GanttView[[#This Row],[Start]]+1)*GanttView[[#This Row],[%]],0)-1)))</f>
        <v>0</v>
      </c>
      <c r="R19" s="96" t="n">
        <f aca="false">IF(IFERROR(INDEX(tsk_Name,GanttView[[#This Row],[_Row]])="",TRUE()),0,IF(OR(INDEX(tsk_IsLeaf,GanttView[[#This Row],[_Row]])&lt;&gt;1,GanttView[[#This Row],[_IsMilestone]],N(GanttView[[#This Row],[%]])&gt;=1),0,IF(GanttView[[#This Row],[_DoneTo]]&gt;0,GanttView[[#This Row],[_DoneTo]]+1,GanttView[[#This Row],[Start]])))</f>
        <v>46328</v>
      </c>
      <c r="S19" s="96" t="n">
        <f aca="false">IF(GanttView[[#This Row],[_RemFrom]]=0,0,GanttView[[#This Row],[Finish]])</f>
        <v>46335</v>
      </c>
      <c r="T19" s="95" t="b">
        <f aca="false">IF(IFERROR(INDEX(tsk_Name,GanttView[[#This Row],[_Row]])="",TRUE()),FALSE(),N(INDEX(tsk_Variance,GanttView[[#This Row],[_Row]]))&gt;0)</f>
        <v>1</v>
      </c>
      <c r="U19" s="96" t="n">
        <f aca="false">IF(IFERROR(INDEX(tsk_Name,GanttView[[#This Row],[_Row]])="",TRUE()),0,N(INDEX(tsk_Deadline,GanttView[[#This Row],[_Row]])))</f>
        <v>0</v>
      </c>
      <c r="V19" s="95" t="b">
        <f aca="false">IF(IFERROR(INDEX(tsk_Name,GanttView[[#This Row],[_Row]])="",TRUE()),FALSE(),INDEX(tsk_Critical,GanttView[[#This Row],[_Row]])="Yes")</f>
        <v>1</v>
      </c>
    </row>
    <row r="20" customFormat="false" ht="15" hidden="false" customHeight="false" outlineLevel="1" collapsed="false">
      <c r="A20" s="89" t="n">
        <f aca="false">IF(IFERROR(INDEX(tsk_Name,GanttView[[#This Row],[_Row]])="",TRUE()),"",INDEX(tsk_ID,GanttView[[#This Row],[_Row]]))</f>
        <v>15</v>
      </c>
      <c r="B20" s="90" t="str">
        <f aca="false">IF(IFERROR(INDEX(tsk_Name,GanttView[[#This Row],[_Row]])="",TRUE()),"",REPT("    ",INDEX(tsk_Level,GanttView[[#This Row],[_Row]])-1)&amp;INDEX(tsk_Name,GanttView[[#This Row],[_Row]]))</f>
        <v>    Frontend</v>
      </c>
      <c r="C20" s="91" t="n">
        <f aca="false">IF(IFERROR(INDEX(tsk_Name,GanttView[[#This Row],[_Row]])="",TRUE()),"",INDEX(tsk_FcStart,GanttView[[#This Row],[_Row]]))</f>
        <v>46302</v>
      </c>
      <c r="D20" s="91" t="n">
        <f aca="false">IF(IFERROR(INDEX(tsk_Name,GanttView[[#This Row],[_Row]])="",TRUE()),"",INDEX(tsk_FcFinish,GanttView[[#This Row],[_Row]]))</f>
        <v>46332</v>
      </c>
      <c r="E20" s="92" t="n">
        <f aca="false">IF(IFERROR(INDEX(tsk_Name,GanttView[[#This Row],[_Row]])="",TRUE()),"",INDEX(tsk_Progress,GanttView[[#This Row],[_Row]]))</f>
        <v>0.428571428571429</v>
      </c>
      <c r="F20" s="90" t="str">
        <f aca="false">IF(IFERROR(INDEX(tsk_Name,GanttView[[#This Row],[_Row]])="",TRUE()),"",INDEX(tsk_ResourceNames,GanttView[[#This Row],[_Row]])&amp;"")</f>
        <v/>
      </c>
      <c r="G20" s="89" t="str">
        <f aca="false">IF(IFERROR(INDEX(tsk_Name,GanttView[[#This Row],[_Row]])="",TRUE()),"",INDEX(tsk_WBS,GanttView[[#This Row],[_Row]]))</f>
        <v>3.2</v>
      </c>
      <c r="H20" s="89" t="n">
        <f aca="false">IF(IFERROR(INDEX(tsk_Name,GanttView[[#This Row],[_Row]])="",TRUE()),"",IF(INDEX(tsk_IsSummary,GanttView[[#This Row],[_Row]]),NETWORKDAYS.INTL(INDEX(tsk_FcStart,GanttView[[#This Row],[_Row]]),INDEX(tsk_FcFinish,GanttView[[#This Row],[_Row]]),WorkWeek,Holidays),N(INDEX(tsk_Duration,GanttView[[#This Row],[_Row]]))))</f>
        <v>23</v>
      </c>
      <c r="I20" s="91" t="n">
        <f aca="false">IF(IFERROR(INDEX(tsk_Name,GanttView[[#This Row],[_Row]])="",TRUE()),"",INDEX(tsk_PlanStart,GanttView[[#This Row],[_Row]]))</f>
        <v>46297</v>
      </c>
      <c r="J20" s="91" t="n">
        <f aca="false">IF(IFERROR(INDEX(tsk_Name,GanttView[[#This Row],[_Row]])="",TRUE()),"",INDEX(tsk_PlanFinish,GanttView[[#This Row],[_Row]]))</f>
        <v>46324</v>
      </c>
      <c r="K20" s="93" t="str">
        <f aca="false">IF(IFERROR(INDEX(tsk_Name,GanttView[[#This Row],[_Row]])="",TRUE()),"",INDEX(tsk_Status,GanttView[[#This Row],[_Row]]))</f>
        <v>Behind</v>
      </c>
      <c r="L20" s="93" t="str">
        <f aca="false">IF(IFERROR(INDEX(tsk_Name,GanttView[[#This Row],[_Row]])="",TRUE()),"",INDEX(tsk_Show,GanttView[[#This Row],[_Row]])&amp;"")</f>
        <v>Yes</v>
      </c>
      <c r="M20" s="94" t="n">
        <f aca="false">ROW()-ROW(GanttView[[#Headers],[ID]])</f>
        <v>15</v>
      </c>
      <c r="N20" s="95" t="b">
        <f aca="false">IF(IFERROR(INDEX(tsk_Name,GanttView[[#This Row],[_Row]])="",TRUE()),FALSE(),INDEX(tsk_IsSummary,GanttView[[#This Row],[_Row]]))</f>
        <v>1</v>
      </c>
      <c r="O20" s="95" t="b">
        <f aca="false">IF(IFERROR(INDEX(tsk_Name,GanttView[[#This Row],[_Row]])="",TRUE()),FALSE(),AND(INDEX(tsk_IsLeaf,GanttView[[#This Row],[_Row]])=1,N(INDEX(tsk_Duration,GanttView[[#This Row],[_Row]]))=0))</f>
        <v>0</v>
      </c>
      <c r="P20" s="96" t="n">
        <f aca="false">IF(IFERROR(INDEX(tsk_Name,GanttView[[#This Row],[_Row]])="",TRUE()),0,IF(AND(INDEX(tsk_IsLeaf,GanttView[[#This Row],[_Row]])=1,NOT(GanttView[[#This Row],[_IsMilestone]]),N(GanttView[[#This Row],[%]])&gt;0),GanttView[[#This Row],[Start]],0))</f>
        <v>0</v>
      </c>
      <c r="Q20" s="96" t="n">
        <f aca="false">IF(GanttView[[#This Row],[_DoneFrom]]=0,0,IF(GanttView[[#This Row],[%]]&gt;=1,GanttView[[#This Row],[Finish]],MAX(GanttView[[#This Row],[_DoneFrom]],GanttView[[#This Row],[Start]]+ROUND((GanttView[[#This Row],[Finish]]-GanttView[[#This Row],[Start]]+1)*GanttView[[#This Row],[%]],0)-1)))</f>
        <v>0</v>
      </c>
      <c r="R20" s="96" t="n">
        <f aca="false">IF(IFERROR(INDEX(tsk_Name,GanttView[[#This Row],[_Row]])="",TRUE()),0,IF(OR(INDEX(tsk_IsLeaf,GanttView[[#This Row],[_Row]])&lt;&gt;1,GanttView[[#This Row],[_IsMilestone]],N(GanttView[[#This Row],[%]])&gt;=1),0,IF(GanttView[[#This Row],[_DoneTo]]&gt;0,GanttView[[#This Row],[_DoneTo]]+1,GanttView[[#This Row],[Start]])))</f>
        <v>0</v>
      </c>
      <c r="S20" s="96" t="n">
        <f aca="false">IF(GanttView[[#This Row],[_RemFrom]]=0,0,GanttView[[#This Row],[Finish]])</f>
        <v>0</v>
      </c>
      <c r="T20" s="95" t="b">
        <f aca="false">IF(IFERROR(INDEX(tsk_Name,GanttView[[#This Row],[_Row]])="",TRUE()),FALSE(),N(INDEX(tsk_Variance,GanttView[[#This Row],[_Row]]))&gt;0)</f>
        <v>1</v>
      </c>
      <c r="U20" s="96" t="n">
        <f aca="false">IF(IFERROR(INDEX(tsk_Name,GanttView[[#This Row],[_Row]])="",TRUE()),0,N(INDEX(tsk_Deadline,GanttView[[#This Row],[_Row]])))</f>
        <v>0</v>
      </c>
      <c r="V20" s="95" t="b">
        <f aca="false">IF(IFERROR(INDEX(tsk_Name,GanttView[[#This Row],[_Row]])="",TRUE()),FALSE(),INDEX(tsk_Critical,GanttView[[#This Row],[_Row]])="Yes")</f>
        <v>1</v>
      </c>
    </row>
    <row r="21" customFormat="false" ht="15" hidden="false" customHeight="false" outlineLevel="2" collapsed="false">
      <c r="A21" s="89" t="n">
        <f aca="false">IF(IFERROR(INDEX(tsk_Name,GanttView[[#This Row],[_Row]])="",TRUE()),"",INDEX(tsk_ID,GanttView[[#This Row],[_Row]]))</f>
        <v>16</v>
      </c>
      <c r="B21" s="90" t="str">
        <f aca="false">IF(IFERROR(INDEX(tsk_Name,GanttView[[#This Row],[_Row]])="",TRUE()),"",REPT("    ",INDEX(tsk_Level,GanttView[[#This Row],[_Row]])-1)&amp;INDEX(tsk_Name,GanttView[[#This Row],[_Row]]))</f>
        <v>        UI component library</v>
      </c>
      <c r="C21" s="91" t="n">
        <f aca="false">IF(IFERROR(INDEX(tsk_Name,GanttView[[#This Row],[_Row]])="",TRUE()),"",INDEX(tsk_FcStart,GanttView[[#This Row],[_Row]]))</f>
        <v>46302</v>
      </c>
      <c r="D21" s="91" t="n">
        <f aca="false">IF(IFERROR(INDEX(tsk_Name,GanttView[[#This Row],[_Row]])="",TRUE()),"",INDEX(tsk_FcFinish,GanttView[[#This Row],[_Row]]))</f>
        <v>46311</v>
      </c>
      <c r="E21" s="92" t="n">
        <f aca="false">IF(IFERROR(INDEX(tsk_Name,GanttView[[#This Row],[_Row]])="",TRUE()),"",INDEX(tsk_Progress,GanttView[[#This Row],[_Row]]))</f>
        <v>1</v>
      </c>
      <c r="F21" s="90" t="str">
        <f aca="false">IF(IFERROR(INDEX(tsk_Name,GanttView[[#This Row],[_Row]])="",TRUE()),"",INDEX(tsk_ResourceNames,GanttView[[#This Row],[_Row]])&amp;"")</f>
        <v>Sam Rivera</v>
      </c>
      <c r="G21" s="89" t="str">
        <f aca="false">IF(IFERROR(INDEX(tsk_Name,GanttView[[#This Row],[_Row]])="",TRUE()),"",INDEX(tsk_WBS,GanttView[[#This Row],[_Row]]))</f>
        <v>3.2.1</v>
      </c>
      <c r="H21" s="89" t="n">
        <f aca="false">IF(IFERROR(INDEX(tsk_Name,GanttView[[#This Row],[_Row]])="",TRUE()),"",IF(INDEX(tsk_IsSummary,GanttView[[#This Row],[_Row]]),NETWORKDAYS.INTL(INDEX(tsk_FcStart,GanttView[[#This Row],[_Row]]),INDEX(tsk_FcFinish,GanttView[[#This Row],[_Row]]),WorkWeek,Holidays),N(INDEX(tsk_Duration,GanttView[[#This Row],[_Row]]))))</f>
        <v>6</v>
      </c>
      <c r="I21" s="91" t="n">
        <f aca="false">IF(IFERROR(INDEX(tsk_Name,GanttView[[#This Row],[_Row]])="",TRUE()),"",INDEX(tsk_PlanStart,GanttView[[#This Row],[_Row]]))</f>
        <v>46297</v>
      </c>
      <c r="J21" s="91" t="n">
        <f aca="false">IF(IFERROR(INDEX(tsk_Name,GanttView[[#This Row],[_Row]])="",TRUE()),"",INDEX(tsk_PlanFinish,GanttView[[#This Row],[_Row]]))</f>
        <v>46304</v>
      </c>
      <c r="K21" s="93" t="str">
        <f aca="false">IF(IFERROR(INDEX(tsk_Name,GanttView[[#This Row],[_Row]])="",TRUE()),"",INDEX(tsk_Status,GanttView[[#This Row],[_Row]]))</f>
        <v>Complete</v>
      </c>
      <c r="L21" s="93" t="str">
        <f aca="false">IF(IFERROR(INDEX(tsk_Name,GanttView[[#This Row],[_Row]])="",TRUE()),"",INDEX(tsk_Show,GanttView[[#This Row],[_Row]])&amp;"")</f>
        <v>Yes</v>
      </c>
      <c r="M21" s="94" t="n">
        <f aca="false">ROW()-ROW(GanttView[[#Headers],[ID]])</f>
        <v>16</v>
      </c>
      <c r="N21" s="95" t="b">
        <f aca="false">IF(IFERROR(INDEX(tsk_Name,GanttView[[#This Row],[_Row]])="",TRUE()),FALSE(),INDEX(tsk_IsSummary,GanttView[[#This Row],[_Row]]))</f>
        <v>0</v>
      </c>
      <c r="O21" s="95" t="b">
        <f aca="false">IF(IFERROR(INDEX(tsk_Name,GanttView[[#This Row],[_Row]])="",TRUE()),FALSE(),AND(INDEX(tsk_IsLeaf,GanttView[[#This Row],[_Row]])=1,N(INDEX(tsk_Duration,GanttView[[#This Row],[_Row]]))=0))</f>
        <v>0</v>
      </c>
      <c r="P21" s="96" t="n">
        <f aca="false">IF(IFERROR(INDEX(tsk_Name,GanttView[[#This Row],[_Row]])="",TRUE()),0,IF(AND(INDEX(tsk_IsLeaf,GanttView[[#This Row],[_Row]])=1,NOT(GanttView[[#This Row],[_IsMilestone]]),N(GanttView[[#This Row],[%]])&gt;0),GanttView[[#This Row],[Start]],0))</f>
        <v>46302</v>
      </c>
      <c r="Q21" s="96" t="n">
        <f aca="false">IF(GanttView[[#This Row],[_DoneFrom]]=0,0,IF(GanttView[[#This Row],[%]]&gt;=1,GanttView[[#This Row],[Finish]],MAX(GanttView[[#This Row],[_DoneFrom]],GanttView[[#This Row],[Start]]+ROUND((GanttView[[#This Row],[Finish]]-GanttView[[#This Row],[Start]]+1)*GanttView[[#This Row],[%]],0)-1)))</f>
        <v>46311</v>
      </c>
      <c r="R21" s="96" t="n">
        <f aca="false">IF(IFERROR(INDEX(tsk_Name,GanttView[[#This Row],[_Row]])="",TRUE()),0,IF(OR(INDEX(tsk_IsLeaf,GanttView[[#This Row],[_Row]])&lt;&gt;1,GanttView[[#This Row],[_IsMilestone]],N(GanttView[[#This Row],[%]])&gt;=1),0,IF(GanttView[[#This Row],[_DoneTo]]&gt;0,GanttView[[#This Row],[_DoneTo]]+1,GanttView[[#This Row],[Start]])))</f>
        <v>0</v>
      </c>
      <c r="S21" s="96" t="n">
        <f aca="false">IF(GanttView[[#This Row],[_RemFrom]]=0,0,GanttView[[#This Row],[Finish]])</f>
        <v>0</v>
      </c>
      <c r="T21" s="95" t="b">
        <f aca="false">IF(IFERROR(INDEX(tsk_Name,GanttView[[#This Row],[_Row]])="",TRUE()),FALSE(),N(INDEX(tsk_Variance,GanttView[[#This Row],[_Row]]))&gt;0)</f>
        <v>1</v>
      </c>
      <c r="U21" s="96" t="n">
        <f aca="false">IF(IFERROR(INDEX(tsk_Name,GanttView[[#This Row],[_Row]])="",TRUE()),0,N(INDEX(tsk_Deadline,GanttView[[#This Row],[_Row]])))</f>
        <v>0</v>
      </c>
      <c r="V21" s="95" t="b">
        <f aca="false">IF(IFERROR(INDEX(tsk_Name,GanttView[[#This Row],[_Row]])="",TRUE()),FALSE(),INDEX(tsk_Critical,GanttView[[#This Row],[_Row]])="Yes")</f>
        <v>0</v>
      </c>
    </row>
    <row r="22" customFormat="false" ht="15" hidden="false" customHeight="false" outlineLevel="2" collapsed="false">
      <c r="A22" s="89" t="n">
        <f aca="false">IF(IFERROR(INDEX(tsk_Name,GanttView[[#This Row],[_Row]])="",TRUE()),"",INDEX(tsk_ID,GanttView[[#This Row],[_Row]]))</f>
        <v>17</v>
      </c>
      <c r="B22" s="90" t="str">
        <f aca="false">IF(IFERROR(INDEX(tsk_Name,GanttView[[#This Row],[_Row]])="",TRUE()),"",REPT("    ",INDEX(tsk_Level,GanttView[[#This Row],[_Row]])-1)&amp;INDEX(tsk_Name,GanttView[[#This Row],[_Row]]))</f>
        <v>        Feature screens</v>
      </c>
      <c r="C22" s="91" t="n">
        <f aca="false">IF(IFERROR(INDEX(tsk_Name,GanttView[[#This Row],[_Row]])="",TRUE()),"",INDEX(tsk_FcStart,GanttView[[#This Row],[_Row]]))</f>
        <v>46314</v>
      </c>
      <c r="D22" s="91" t="n">
        <f aca="false">IF(IFERROR(INDEX(tsk_Name,GanttView[[#This Row],[_Row]])="",TRUE()),"",INDEX(tsk_FcFinish,GanttView[[#This Row],[_Row]]))</f>
        <v>46331</v>
      </c>
      <c r="E22" s="92" t="n">
        <f aca="false">IF(IFERROR(INDEX(tsk_Name,GanttView[[#This Row],[_Row]])="",TRUE()),"",INDEX(tsk_Progress,GanttView[[#This Row],[_Row]]))</f>
        <v>0.25</v>
      </c>
      <c r="F22" s="90" t="str">
        <f aca="false">IF(IFERROR(INDEX(tsk_Name,GanttView[[#This Row],[_Row]])="",TRUE()),"",INDEX(tsk_ResourceNames,GanttView[[#This Row],[_Row]])&amp;"")</f>
        <v>Sam Rivera, Casey Kim[50%]</v>
      </c>
      <c r="G22" s="89" t="str">
        <f aca="false">IF(IFERROR(INDEX(tsk_Name,GanttView[[#This Row],[_Row]])="",TRUE()),"",INDEX(tsk_WBS,GanttView[[#This Row],[_Row]]))</f>
        <v>3.2.2</v>
      </c>
      <c r="H22" s="89" t="n">
        <f aca="false">IF(IFERROR(INDEX(tsk_Name,GanttView[[#This Row],[_Row]])="",TRUE()),"",IF(INDEX(tsk_IsSummary,GanttView[[#This Row],[_Row]]),NETWORKDAYS.INTL(INDEX(tsk_FcStart,GanttView[[#This Row],[_Row]]),INDEX(tsk_FcFinish,GanttView[[#This Row],[_Row]]),WorkWeek,Holidays),N(INDEX(tsk_Duration,GanttView[[#This Row],[_Row]]))))</f>
        <v>12</v>
      </c>
      <c r="I22" s="91" t="n">
        <f aca="false">IF(IFERROR(INDEX(tsk_Name,GanttView[[#This Row],[_Row]])="",TRUE()),"",INDEX(tsk_PlanStart,GanttView[[#This Row],[_Row]]))</f>
        <v>46308</v>
      </c>
      <c r="J22" s="91" t="n">
        <f aca="false">IF(IFERROR(INDEX(tsk_Name,GanttView[[#This Row],[_Row]])="",TRUE()),"",INDEX(tsk_PlanFinish,GanttView[[#This Row],[_Row]]))</f>
        <v>46323</v>
      </c>
      <c r="K22" s="93" t="str">
        <f aca="false">IF(IFERROR(INDEX(tsk_Name,GanttView[[#This Row],[_Row]])="",TRUE()),"",INDEX(tsk_Status,GanttView[[#This Row],[_Row]]))</f>
        <v>Behind</v>
      </c>
      <c r="L22" s="93" t="str">
        <f aca="false">IF(IFERROR(INDEX(tsk_Name,GanttView[[#This Row],[_Row]])="",TRUE()),"",INDEX(tsk_Show,GanttView[[#This Row],[_Row]])&amp;"")</f>
        <v>Yes</v>
      </c>
      <c r="M22" s="94" t="n">
        <f aca="false">ROW()-ROW(GanttView[[#Headers],[ID]])</f>
        <v>17</v>
      </c>
      <c r="N22" s="95" t="b">
        <f aca="false">IF(IFERROR(INDEX(tsk_Name,GanttView[[#This Row],[_Row]])="",TRUE()),FALSE(),INDEX(tsk_IsSummary,GanttView[[#This Row],[_Row]]))</f>
        <v>0</v>
      </c>
      <c r="O22" s="95" t="b">
        <f aca="false">IF(IFERROR(INDEX(tsk_Name,GanttView[[#This Row],[_Row]])="",TRUE()),FALSE(),AND(INDEX(tsk_IsLeaf,GanttView[[#This Row],[_Row]])=1,N(INDEX(tsk_Duration,GanttView[[#This Row],[_Row]]))=0))</f>
        <v>0</v>
      </c>
      <c r="P22" s="96" t="n">
        <f aca="false">IF(IFERROR(INDEX(tsk_Name,GanttView[[#This Row],[_Row]])="",TRUE()),0,IF(AND(INDEX(tsk_IsLeaf,GanttView[[#This Row],[_Row]])=1,NOT(GanttView[[#This Row],[_IsMilestone]]),N(GanttView[[#This Row],[%]])&gt;0),GanttView[[#This Row],[Start]],0))</f>
        <v>46314</v>
      </c>
      <c r="Q22" s="96" t="n">
        <f aca="false">IF(GanttView[[#This Row],[_DoneFrom]]=0,0,IF(GanttView[[#This Row],[%]]&gt;=1,GanttView[[#This Row],[Finish]],MAX(GanttView[[#This Row],[_DoneFrom]],GanttView[[#This Row],[Start]]+ROUND((GanttView[[#This Row],[Finish]]-GanttView[[#This Row],[Start]]+1)*GanttView[[#This Row],[%]],0)-1)))</f>
        <v>46318</v>
      </c>
      <c r="R22" s="96" t="n">
        <f aca="false">IF(IFERROR(INDEX(tsk_Name,GanttView[[#This Row],[_Row]])="",TRUE()),0,IF(OR(INDEX(tsk_IsLeaf,GanttView[[#This Row],[_Row]])&lt;&gt;1,GanttView[[#This Row],[_IsMilestone]],N(GanttView[[#This Row],[%]])&gt;=1),0,IF(GanttView[[#This Row],[_DoneTo]]&gt;0,GanttView[[#This Row],[_DoneTo]]+1,GanttView[[#This Row],[Start]])))</f>
        <v>46319</v>
      </c>
      <c r="S22" s="96" t="n">
        <f aca="false">IF(GanttView[[#This Row],[_RemFrom]]=0,0,GanttView[[#This Row],[Finish]])</f>
        <v>46331</v>
      </c>
      <c r="T22" s="95" t="b">
        <f aca="false">IF(IFERROR(INDEX(tsk_Name,GanttView[[#This Row],[_Row]])="",TRUE()),FALSE(),N(INDEX(tsk_Variance,GanttView[[#This Row],[_Row]]))&gt;0)</f>
        <v>1</v>
      </c>
      <c r="U22" s="96" t="n">
        <f aca="false">IF(IFERROR(INDEX(tsk_Name,GanttView[[#This Row],[_Row]])="",TRUE()),0,N(INDEX(tsk_Deadline,GanttView[[#This Row],[_Row]])))</f>
        <v>0</v>
      </c>
      <c r="V22" s="95" t="b">
        <f aca="false">IF(IFERROR(INDEX(tsk_Name,GanttView[[#This Row],[_Row]])="",TRUE()),FALSE(),INDEX(tsk_Critical,GanttView[[#This Row],[_Row]])="Yes")</f>
        <v>1</v>
      </c>
    </row>
    <row r="23" customFormat="false" ht="15" hidden="false" customHeight="false" outlineLevel="2" collapsed="false">
      <c r="A23" s="89" t="n">
        <f aca="false">IF(IFERROR(INDEX(tsk_Name,GanttView[[#This Row],[_Row]])="",TRUE()),"",INDEX(tsk_ID,GanttView[[#This Row],[_Row]]))</f>
        <v>18</v>
      </c>
      <c r="B23" s="90" t="str">
        <f aca="false">IF(IFERROR(INDEX(tsk_Name,GanttView[[#This Row],[_Row]])="",TRUE()),"",REPT("    ",INDEX(tsk_Level,GanttView[[#This Row],[_Row]])-1)&amp;INDEX(tsk_Name,GanttView[[#This Row],[_Row]]))</f>
        <v>        Accessibility review</v>
      </c>
      <c r="C23" s="91" t="n">
        <f aca="false">IF(IFERROR(INDEX(tsk_Name,GanttView[[#This Row],[_Row]])="",TRUE()),"",INDEX(tsk_FcStart,GanttView[[#This Row],[_Row]]))</f>
        <v>46330</v>
      </c>
      <c r="D23" s="91" t="n">
        <f aca="false">IF(IFERROR(INDEX(tsk_Name,GanttView[[#This Row],[_Row]])="",TRUE()),"",INDEX(tsk_FcFinish,GanttView[[#This Row],[_Row]]))</f>
        <v>46332</v>
      </c>
      <c r="E23" s="92" t="n">
        <f aca="false">IF(IFERROR(INDEX(tsk_Name,GanttView[[#This Row],[_Row]])="",TRUE()),"",INDEX(tsk_Progress,GanttView[[#This Row],[_Row]]))</f>
        <v>0</v>
      </c>
      <c r="F23" s="90" t="str">
        <f aca="false">IF(IFERROR(INDEX(tsk_Name,GanttView[[#This Row],[_Row]])="",TRUE()),"",INDEX(tsk_ResourceNames,GanttView[[#This Row],[_Row]])&amp;"")</f>
        <v>Casey Kim[50%]</v>
      </c>
      <c r="G23" s="89" t="str">
        <f aca="false">IF(IFERROR(INDEX(tsk_Name,GanttView[[#This Row],[_Row]])="",TRUE()),"",INDEX(tsk_WBS,GanttView[[#This Row],[_Row]]))</f>
        <v>3.2.3</v>
      </c>
      <c r="H23" s="89" t="n">
        <f aca="false">IF(IFERROR(INDEX(tsk_Name,GanttView[[#This Row],[_Row]])="",TRUE()),"",IF(INDEX(tsk_IsSummary,GanttView[[#This Row],[_Row]]),NETWORKDAYS.INTL(INDEX(tsk_FcStart,GanttView[[#This Row],[_Row]]),INDEX(tsk_FcFinish,GanttView[[#This Row],[_Row]]),WorkWeek,Holidays),N(INDEX(tsk_Duration,GanttView[[#This Row],[_Row]]))))</f>
        <v>3</v>
      </c>
      <c r="I23" s="91" t="n">
        <f aca="false">IF(IFERROR(INDEX(tsk_Name,GanttView[[#This Row],[_Row]])="",TRUE()),"",INDEX(tsk_PlanStart,GanttView[[#This Row],[_Row]]))</f>
        <v>46322</v>
      </c>
      <c r="J23" s="91" t="n">
        <f aca="false">IF(IFERROR(INDEX(tsk_Name,GanttView[[#This Row],[_Row]])="",TRUE()),"",INDEX(tsk_PlanFinish,GanttView[[#This Row],[_Row]]))</f>
        <v>46324</v>
      </c>
      <c r="K23" s="93" t="str">
        <f aca="false">IF(IFERROR(INDEX(tsk_Name,GanttView[[#This Row],[_Row]])="",TRUE()),"",INDEX(tsk_Status,GanttView[[#This Row],[_Row]]))</f>
        <v>Not Started</v>
      </c>
      <c r="L23" s="93" t="str">
        <f aca="false">IF(IFERROR(INDEX(tsk_Name,GanttView[[#This Row],[_Row]])="",TRUE()),"",INDEX(tsk_Show,GanttView[[#This Row],[_Row]])&amp;"")</f>
        <v>Yes</v>
      </c>
      <c r="M23" s="94" t="n">
        <f aca="false">ROW()-ROW(GanttView[[#Headers],[ID]])</f>
        <v>18</v>
      </c>
      <c r="N23" s="95" t="b">
        <f aca="false">IF(IFERROR(INDEX(tsk_Name,GanttView[[#This Row],[_Row]])="",TRUE()),FALSE(),INDEX(tsk_IsSummary,GanttView[[#This Row],[_Row]]))</f>
        <v>0</v>
      </c>
      <c r="O23" s="95" t="b">
        <f aca="false">IF(IFERROR(INDEX(tsk_Name,GanttView[[#This Row],[_Row]])="",TRUE()),FALSE(),AND(INDEX(tsk_IsLeaf,GanttView[[#This Row],[_Row]])=1,N(INDEX(tsk_Duration,GanttView[[#This Row],[_Row]]))=0))</f>
        <v>0</v>
      </c>
      <c r="P23" s="96" t="n">
        <f aca="false">IF(IFERROR(INDEX(tsk_Name,GanttView[[#This Row],[_Row]])="",TRUE()),0,IF(AND(INDEX(tsk_IsLeaf,GanttView[[#This Row],[_Row]])=1,NOT(GanttView[[#This Row],[_IsMilestone]]),N(GanttView[[#This Row],[%]])&gt;0),GanttView[[#This Row],[Start]],0))</f>
        <v>0</v>
      </c>
      <c r="Q23" s="96" t="n">
        <f aca="false">IF(GanttView[[#This Row],[_DoneFrom]]=0,0,IF(GanttView[[#This Row],[%]]&gt;=1,GanttView[[#This Row],[Finish]],MAX(GanttView[[#This Row],[_DoneFrom]],GanttView[[#This Row],[Start]]+ROUND((GanttView[[#This Row],[Finish]]-GanttView[[#This Row],[Start]]+1)*GanttView[[#This Row],[%]],0)-1)))</f>
        <v>0</v>
      </c>
      <c r="R23" s="96" t="n">
        <f aca="false">IF(IFERROR(INDEX(tsk_Name,GanttView[[#This Row],[_Row]])="",TRUE()),0,IF(OR(INDEX(tsk_IsLeaf,GanttView[[#This Row],[_Row]])&lt;&gt;1,GanttView[[#This Row],[_IsMilestone]],N(GanttView[[#This Row],[%]])&gt;=1),0,IF(GanttView[[#This Row],[_DoneTo]]&gt;0,GanttView[[#This Row],[_DoneTo]]+1,GanttView[[#This Row],[Start]])))</f>
        <v>46330</v>
      </c>
      <c r="S23" s="96" t="n">
        <f aca="false">IF(GanttView[[#This Row],[_RemFrom]]=0,0,GanttView[[#This Row],[Finish]])</f>
        <v>46332</v>
      </c>
      <c r="T23" s="95" t="b">
        <f aca="false">IF(IFERROR(INDEX(tsk_Name,GanttView[[#This Row],[_Row]])="",TRUE()),FALSE(),N(INDEX(tsk_Variance,GanttView[[#This Row],[_Row]]))&gt;0)</f>
        <v>1</v>
      </c>
      <c r="U23" s="96" t="n">
        <f aca="false">IF(IFERROR(INDEX(tsk_Name,GanttView[[#This Row],[_Row]])="",TRUE()),0,N(INDEX(tsk_Deadline,GanttView[[#This Row],[_Row]])))</f>
        <v>0</v>
      </c>
      <c r="V23" s="95" t="b">
        <f aca="false">IF(IFERROR(INDEX(tsk_Name,GanttView[[#This Row],[_Row]])="",TRUE()),FALSE(),INDEX(tsk_Critical,GanttView[[#This Row],[_Row]])="Yes")</f>
        <v>1</v>
      </c>
    </row>
    <row r="24" customFormat="false" ht="15" hidden="false" customHeight="false" outlineLevel="1" collapsed="false">
      <c r="A24" s="89" t="n">
        <f aca="false">IF(IFERROR(INDEX(tsk_Name,GanttView[[#This Row],[_Row]])="",TRUE()),"",INDEX(tsk_ID,GanttView[[#This Row],[_Row]]))</f>
        <v>19</v>
      </c>
      <c r="B24" s="90" t="str">
        <f aca="false">IF(IFERROR(INDEX(tsk_Name,GanttView[[#This Row],[_Row]])="",TRUE()),"",REPT("    ",INDEX(tsk_Level,GanttView[[#This Row],[_Row]])-1)&amp;INDEX(tsk_Name,GanttView[[#This Row],[_Row]]))</f>
        <v>    Build complete</v>
      </c>
      <c r="C24" s="91" t="n">
        <f aca="false">IF(IFERROR(INDEX(tsk_Name,GanttView[[#This Row],[_Row]])="",TRUE()),"",INDEX(tsk_FcStart,GanttView[[#This Row],[_Row]]))</f>
        <v>46335</v>
      </c>
      <c r="D24" s="91" t="n">
        <f aca="false">IF(IFERROR(INDEX(tsk_Name,GanttView[[#This Row],[_Row]])="",TRUE()),"",INDEX(tsk_FcFinish,GanttView[[#This Row],[_Row]]))</f>
        <v>46335</v>
      </c>
      <c r="E24" s="92" t="n">
        <f aca="false">IF(IFERROR(INDEX(tsk_Name,GanttView[[#This Row],[_Row]])="",TRUE()),"",INDEX(tsk_Progress,GanttView[[#This Row],[_Row]]))</f>
        <v>0</v>
      </c>
      <c r="F24" s="90" t="str">
        <f aca="false">IF(IFERROR(INDEX(tsk_Name,GanttView[[#This Row],[_Row]])="",TRUE()),"",INDEX(tsk_ResourceNames,GanttView[[#This Row],[_Row]])&amp;"")</f>
        <v/>
      </c>
      <c r="G24" s="89" t="str">
        <f aca="false">IF(IFERROR(INDEX(tsk_Name,GanttView[[#This Row],[_Row]])="",TRUE()),"",INDEX(tsk_WBS,GanttView[[#This Row],[_Row]]))</f>
        <v>3.3</v>
      </c>
      <c r="H24" s="89" t="n">
        <f aca="false">IF(IFERROR(INDEX(tsk_Name,GanttView[[#This Row],[_Row]])="",TRUE()),"",IF(INDEX(tsk_IsSummary,GanttView[[#This Row],[_Row]]),NETWORKDAYS.INTL(INDEX(tsk_FcStart,GanttView[[#This Row],[_Row]]),INDEX(tsk_FcFinish,GanttView[[#This Row],[_Row]]),WorkWeek,Holidays),N(INDEX(tsk_Duration,GanttView[[#This Row],[_Row]]))))</f>
        <v>0</v>
      </c>
      <c r="I24" s="91" t="n">
        <f aca="false">IF(IFERROR(INDEX(tsk_Name,GanttView[[#This Row],[_Row]])="",TRUE()),"",INDEX(tsk_PlanStart,GanttView[[#This Row],[_Row]]))</f>
        <v>46325</v>
      </c>
      <c r="J24" s="91" t="n">
        <f aca="false">IF(IFERROR(INDEX(tsk_Name,GanttView[[#This Row],[_Row]])="",TRUE()),"",INDEX(tsk_PlanFinish,GanttView[[#This Row],[_Row]]))</f>
        <v>46325</v>
      </c>
      <c r="K24" s="93" t="str">
        <f aca="false">IF(IFERROR(INDEX(tsk_Name,GanttView[[#This Row],[_Row]])="",TRUE()),"",INDEX(tsk_Status,GanttView[[#This Row],[_Row]]))</f>
        <v>Not Started</v>
      </c>
      <c r="L24" s="93" t="str">
        <f aca="false">IF(IFERROR(INDEX(tsk_Name,GanttView[[#This Row],[_Row]])="",TRUE()),"",INDEX(tsk_Show,GanttView[[#This Row],[_Row]])&amp;"")</f>
        <v>Yes</v>
      </c>
      <c r="M24" s="94" t="n">
        <f aca="false">ROW()-ROW(GanttView[[#Headers],[ID]])</f>
        <v>19</v>
      </c>
      <c r="N24" s="95" t="b">
        <f aca="false">IF(IFERROR(INDEX(tsk_Name,GanttView[[#This Row],[_Row]])="",TRUE()),FALSE(),INDEX(tsk_IsSummary,GanttView[[#This Row],[_Row]]))</f>
        <v>0</v>
      </c>
      <c r="O24" s="95" t="b">
        <f aca="false">IF(IFERROR(INDEX(tsk_Name,GanttView[[#This Row],[_Row]])="",TRUE()),FALSE(),AND(INDEX(tsk_IsLeaf,GanttView[[#This Row],[_Row]])=1,N(INDEX(tsk_Duration,GanttView[[#This Row],[_Row]]))=0))</f>
        <v>1</v>
      </c>
      <c r="P24" s="96" t="n">
        <f aca="false">IF(IFERROR(INDEX(tsk_Name,GanttView[[#This Row],[_Row]])="",TRUE()),0,IF(AND(INDEX(tsk_IsLeaf,GanttView[[#This Row],[_Row]])=1,NOT(GanttView[[#This Row],[_IsMilestone]]),N(GanttView[[#This Row],[%]])&gt;0),GanttView[[#This Row],[Start]],0))</f>
        <v>0</v>
      </c>
      <c r="Q24" s="96" t="n">
        <f aca="false">IF(GanttView[[#This Row],[_DoneFrom]]=0,0,IF(GanttView[[#This Row],[%]]&gt;=1,GanttView[[#This Row],[Finish]],MAX(GanttView[[#This Row],[_DoneFrom]],GanttView[[#This Row],[Start]]+ROUND((GanttView[[#This Row],[Finish]]-GanttView[[#This Row],[Start]]+1)*GanttView[[#This Row],[%]],0)-1)))</f>
        <v>0</v>
      </c>
      <c r="R24" s="96" t="n">
        <f aca="false">IF(IFERROR(INDEX(tsk_Name,GanttView[[#This Row],[_Row]])="",TRUE()),0,IF(OR(INDEX(tsk_IsLeaf,GanttView[[#This Row],[_Row]])&lt;&gt;1,GanttView[[#This Row],[_IsMilestone]],N(GanttView[[#This Row],[%]])&gt;=1),0,IF(GanttView[[#This Row],[_DoneTo]]&gt;0,GanttView[[#This Row],[_DoneTo]]+1,GanttView[[#This Row],[Start]])))</f>
        <v>0</v>
      </c>
      <c r="S24" s="96" t="n">
        <f aca="false">IF(GanttView[[#This Row],[_RemFrom]]=0,0,GanttView[[#This Row],[Finish]])</f>
        <v>0</v>
      </c>
      <c r="T24" s="95" t="b">
        <f aca="false">IF(IFERROR(INDEX(tsk_Name,GanttView[[#This Row],[_Row]])="",TRUE()),FALSE(),N(INDEX(tsk_Variance,GanttView[[#This Row],[_Row]]))&gt;0)</f>
        <v>1</v>
      </c>
      <c r="U24" s="96" t="n">
        <f aca="false">IF(IFERROR(INDEX(tsk_Name,GanttView[[#This Row],[_Row]])="",TRUE()),0,N(INDEX(tsk_Deadline,GanttView[[#This Row],[_Row]])))</f>
        <v>46332</v>
      </c>
      <c r="V24" s="95" t="b">
        <f aca="false">IF(IFERROR(INDEX(tsk_Name,GanttView[[#This Row],[_Row]])="",TRUE()),FALSE(),INDEX(tsk_Critical,GanttView[[#This Row],[_Row]])="Yes")</f>
        <v>1</v>
      </c>
    </row>
    <row r="25" customFormat="false" ht="15" hidden="false" customHeight="false" outlineLevel="0" collapsed="false">
      <c r="A25" s="89" t="n">
        <f aca="false">IF(IFERROR(INDEX(tsk_Name,GanttView[[#This Row],[_Row]])="",TRUE()),"",INDEX(tsk_ID,GanttView[[#This Row],[_Row]]))</f>
        <v>20</v>
      </c>
      <c r="B25" s="90" t="str">
        <f aca="false">IF(IFERROR(INDEX(tsk_Name,GanttView[[#This Row],[_Row]])="",TRUE()),"",REPT("    ",INDEX(tsk_Level,GanttView[[#This Row],[_Row]])-1)&amp;INDEX(tsk_Name,GanttView[[#This Row],[_Row]]))</f>
        <v>Test &amp; Release</v>
      </c>
      <c r="C25" s="91" t="n">
        <f aca="false">IF(IFERROR(INDEX(tsk_Name,GanttView[[#This Row],[_Row]])="",TRUE()),"",INDEX(tsk_FcStart,GanttView[[#This Row],[_Row]]))</f>
        <v>46336</v>
      </c>
      <c r="D25" s="91" t="n">
        <f aca="false">IF(IFERROR(INDEX(tsk_Name,GanttView[[#This Row],[_Row]])="",TRUE()),"",INDEX(tsk_FcFinish,GanttView[[#This Row],[_Row]]))</f>
        <v>46391</v>
      </c>
      <c r="E25" s="92" t="n">
        <f aca="false">IF(IFERROR(INDEX(tsk_Name,GanttView[[#This Row],[_Row]])="",TRUE()),"",INDEX(tsk_Progress,GanttView[[#This Row],[_Row]]))</f>
        <v>0</v>
      </c>
      <c r="F25" s="90" t="str">
        <f aca="false">IF(IFERROR(INDEX(tsk_Name,GanttView[[#This Row],[_Row]])="",TRUE()),"",INDEX(tsk_ResourceNames,GanttView[[#This Row],[_Row]])&amp;"")</f>
        <v/>
      </c>
      <c r="G25" s="89" t="str">
        <f aca="false">IF(IFERROR(INDEX(tsk_Name,GanttView[[#This Row],[_Row]])="",TRUE()),"",INDEX(tsk_WBS,GanttView[[#This Row],[_Row]]))</f>
        <v>4</v>
      </c>
      <c r="H25" s="89" t="n">
        <f aca="false">IF(IFERROR(INDEX(tsk_Name,GanttView[[#This Row],[_Row]])="",TRUE()),"",IF(INDEX(tsk_IsSummary,GanttView[[#This Row],[_Row]]),NETWORKDAYS.INTL(INDEX(tsk_FcStart,GanttView[[#This Row],[_Row]]),INDEX(tsk_FcFinish,GanttView[[#This Row],[_Row]]),WorkWeek,Holidays),N(INDEX(tsk_Duration,GanttView[[#This Row],[_Row]]))))</f>
        <v>36</v>
      </c>
      <c r="I25" s="91" t="n">
        <f aca="false">IF(IFERROR(INDEX(tsk_Name,GanttView[[#This Row],[_Row]])="",TRUE()),"",INDEX(tsk_PlanStart,GanttView[[#This Row],[_Row]]))</f>
        <v>46328</v>
      </c>
      <c r="J25" s="91" t="n">
        <f aca="false">IF(IFERROR(INDEX(tsk_Name,GanttView[[#This Row],[_Row]])="",TRUE()),"",INDEX(tsk_PlanFinish,GanttView[[#This Row],[_Row]]))</f>
        <v>46391</v>
      </c>
      <c r="K25" s="93" t="str">
        <f aca="false">IF(IFERROR(INDEX(tsk_Name,GanttView[[#This Row],[_Row]])="",TRUE()),"",INDEX(tsk_Status,GanttView[[#This Row],[_Row]]))</f>
        <v>Not Started</v>
      </c>
      <c r="L25" s="93" t="str">
        <f aca="false">IF(IFERROR(INDEX(tsk_Name,GanttView[[#This Row],[_Row]])="",TRUE()),"",INDEX(tsk_Show,GanttView[[#This Row],[_Row]])&amp;"")</f>
        <v>Yes</v>
      </c>
      <c r="M25" s="94" t="n">
        <f aca="false">ROW()-ROW(GanttView[[#Headers],[ID]])</f>
        <v>20</v>
      </c>
      <c r="N25" s="95" t="b">
        <f aca="false">IF(IFERROR(INDEX(tsk_Name,GanttView[[#This Row],[_Row]])="",TRUE()),FALSE(),INDEX(tsk_IsSummary,GanttView[[#This Row],[_Row]]))</f>
        <v>1</v>
      </c>
      <c r="O25" s="95" t="b">
        <f aca="false">IF(IFERROR(INDEX(tsk_Name,GanttView[[#This Row],[_Row]])="",TRUE()),FALSE(),AND(INDEX(tsk_IsLeaf,GanttView[[#This Row],[_Row]])=1,N(INDEX(tsk_Duration,GanttView[[#This Row],[_Row]]))=0))</f>
        <v>0</v>
      </c>
      <c r="P25" s="96" t="n">
        <f aca="false">IF(IFERROR(INDEX(tsk_Name,GanttView[[#This Row],[_Row]])="",TRUE()),0,IF(AND(INDEX(tsk_IsLeaf,GanttView[[#This Row],[_Row]])=1,NOT(GanttView[[#This Row],[_IsMilestone]]),N(GanttView[[#This Row],[%]])&gt;0),GanttView[[#This Row],[Start]],0))</f>
        <v>0</v>
      </c>
      <c r="Q25" s="96" t="n">
        <f aca="false">IF(GanttView[[#This Row],[_DoneFrom]]=0,0,IF(GanttView[[#This Row],[%]]&gt;=1,GanttView[[#This Row],[Finish]],MAX(GanttView[[#This Row],[_DoneFrom]],GanttView[[#This Row],[Start]]+ROUND((GanttView[[#This Row],[Finish]]-GanttView[[#This Row],[Start]]+1)*GanttView[[#This Row],[%]],0)-1)))</f>
        <v>0</v>
      </c>
      <c r="R25" s="96" t="n">
        <f aca="false">IF(IFERROR(INDEX(tsk_Name,GanttView[[#This Row],[_Row]])="",TRUE()),0,IF(OR(INDEX(tsk_IsLeaf,GanttView[[#This Row],[_Row]])&lt;&gt;1,GanttView[[#This Row],[_IsMilestone]],N(GanttView[[#This Row],[%]])&gt;=1),0,IF(GanttView[[#This Row],[_DoneTo]]&gt;0,GanttView[[#This Row],[_DoneTo]]+1,GanttView[[#This Row],[Start]])))</f>
        <v>0</v>
      </c>
      <c r="S25" s="96" t="n">
        <f aca="false">IF(GanttView[[#This Row],[_RemFrom]]=0,0,GanttView[[#This Row],[Finish]])</f>
        <v>0</v>
      </c>
      <c r="T25" s="95" t="b">
        <f aca="false">IF(IFERROR(INDEX(tsk_Name,GanttView[[#This Row],[_Row]])="",TRUE()),FALSE(),N(INDEX(tsk_Variance,GanttView[[#This Row],[_Row]]))&gt;0)</f>
        <v>0</v>
      </c>
      <c r="U25" s="96" t="n">
        <f aca="false">IF(IFERROR(INDEX(tsk_Name,GanttView[[#This Row],[_Row]])="",TRUE()),0,N(INDEX(tsk_Deadline,GanttView[[#This Row],[_Row]])))</f>
        <v>0</v>
      </c>
      <c r="V25" s="95" t="b">
        <f aca="false">IF(IFERROR(INDEX(tsk_Name,GanttView[[#This Row],[_Row]])="",TRUE()),FALSE(),INDEX(tsk_Critical,GanttView[[#This Row],[_Row]])="Yes")</f>
        <v>1</v>
      </c>
    </row>
    <row r="26" customFormat="false" ht="15" hidden="false" customHeight="false" outlineLevel="1" collapsed="false">
      <c r="A26" s="89" t="n">
        <f aca="false">IF(IFERROR(INDEX(tsk_Name,GanttView[[#This Row],[_Row]])="",TRUE()),"",INDEX(tsk_ID,GanttView[[#This Row],[_Row]]))</f>
        <v>21</v>
      </c>
      <c r="B26" s="90" t="str">
        <f aca="false">IF(IFERROR(INDEX(tsk_Name,GanttView[[#This Row],[_Row]])="",TRUE()),"",REPT("    ",INDEX(tsk_Level,GanttView[[#This Row],[_Row]])-1)&amp;INDEX(tsk_Name,GanttView[[#This Row],[_Row]]))</f>
        <v>    System integration testing</v>
      </c>
      <c r="C26" s="91" t="n">
        <f aca="false">IF(IFERROR(INDEX(tsk_Name,GanttView[[#This Row],[_Row]])="",TRUE()),"",INDEX(tsk_FcStart,GanttView[[#This Row],[_Row]]))</f>
        <v>46336</v>
      </c>
      <c r="D26" s="91" t="n">
        <f aca="false">IF(IFERROR(INDEX(tsk_Name,GanttView[[#This Row],[_Row]])="",TRUE()),"",INDEX(tsk_FcFinish,GanttView[[#This Row],[_Row]]))</f>
        <v>46345</v>
      </c>
      <c r="E26" s="92" t="n">
        <f aca="false">IF(IFERROR(INDEX(tsk_Name,GanttView[[#This Row],[_Row]])="",TRUE()),"",INDEX(tsk_Progress,GanttView[[#This Row],[_Row]]))</f>
        <v>0</v>
      </c>
      <c r="F26" s="90" t="str">
        <f aca="false">IF(IFERROR(INDEX(tsk_Name,GanttView[[#This Row],[_Row]])="",TRUE()),"",INDEX(tsk_ResourceNames,GanttView[[#This Row],[_Row]])&amp;"")</f>
        <v>Taylor Morgan, Sam Rivera[50%]</v>
      </c>
      <c r="G26" s="89" t="str">
        <f aca="false">IF(IFERROR(INDEX(tsk_Name,GanttView[[#This Row],[_Row]])="",TRUE()),"",INDEX(tsk_WBS,GanttView[[#This Row],[_Row]]))</f>
        <v>4.1</v>
      </c>
      <c r="H26" s="89" t="n">
        <f aca="false">IF(IFERROR(INDEX(tsk_Name,GanttView[[#This Row],[_Row]])="",TRUE()),"",IF(INDEX(tsk_IsSummary,GanttView[[#This Row],[_Row]]),NETWORKDAYS.INTL(INDEX(tsk_FcStart,GanttView[[#This Row],[_Row]]),INDEX(tsk_FcFinish,GanttView[[#This Row],[_Row]]),WorkWeek,Holidays),N(INDEX(tsk_Duration,GanttView[[#This Row],[_Row]]))))</f>
        <v>8</v>
      </c>
      <c r="I26" s="91" t="n">
        <f aca="false">IF(IFERROR(INDEX(tsk_Name,GanttView[[#This Row],[_Row]])="",TRUE()),"",INDEX(tsk_PlanStart,GanttView[[#This Row],[_Row]]))</f>
        <v>46328</v>
      </c>
      <c r="J26" s="91" t="n">
        <f aca="false">IF(IFERROR(INDEX(tsk_Name,GanttView[[#This Row],[_Row]])="",TRUE()),"",INDEX(tsk_PlanFinish,GanttView[[#This Row],[_Row]]))</f>
        <v>46337</v>
      </c>
      <c r="K26" s="93" t="str">
        <f aca="false">IF(IFERROR(INDEX(tsk_Name,GanttView[[#This Row],[_Row]])="",TRUE()),"",INDEX(tsk_Status,GanttView[[#This Row],[_Row]]))</f>
        <v>Not Started</v>
      </c>
      <c r="L26" s="93" t="str">
        <f aca="false">IF(IFERROR(INDEX(tsk_Name,GanttView[[#This Row],[_Row]])="",TRUE()),"",INDEX(tsk_Show,GanttView[[#This Row],[_Row]])&amp;"")</f>
        <v>Yes</v>
      </c>
      <c r="M26" s="94" t="n">
        <f aca="false">ROW()-ROW(GanttView[[#Headers],[ID]])</f>
        <v>21</v>
      </c>
      <c r="N26" s="95" t="b">
        <f aca="false">IF(IFERROR(INDEX(tsk_Name,GanttView[[#This Row],[_Row]])="",TRUE()),FALSE(),INDEX(tsk_IsSummary,GanttView[[#This Row],[_Row]]))</f>
        <v>0</v>
      </c>
      <c r="O26" s="95" t="b">
        <f aca="false">IF(IFERROR(INDEX(tsk_Name,GanttView[[#This Row],[_Row]])="",TRUE()),FALSE(),AND(INDEX(tsk_IsLeaf,GanttView[[#This Row],[_Row]])=1,N(INDEX(tsk_Duration,GanttView[[#This Row],[_Row]]))=0))</f>
        <v>0</v>
      </c>
      <c r="P26" s="96" t="n">
        <f aca="false">IF(IFERROR(INDEX(tsk_Name,GanttView[[#This Row],[_Row]])="",TRUE()),0,IF(AND(INDEX(tsk_IsLeaf,GanttView[[#This Row],[_Row]])=1,NOT(GanttView[[#This Row],[_IsMilestone]]),N(GanttView[[#This Row],[%]])&gt;0),GanttView[[#This Row],[Start]],0))</f>
        <v>0</v>
      </c>
      <c r="Q26" s="96" t="n">
        <f aca="false">IF(GanttView[[#This Row],[_DoneFrom]]=0,0,IF(GanttView[[#This Row],[%]]&gt;=1,GanttView[[#This Row],[Finish]],MAX(GanttView[[#This Row],[_DoneFrom]],GanttView[[#This Row],[Start]]+ROUND((GanttView[[#This Row],[Finish]]-GanttView[[#This Row],[Start]]+1)*GanttView[[#This Row],[%]],0)-1)))</f>
        <v>0</v>
      </c>
      <c r="R26" s="96" t="n">
        <f aca="false">IF(IFERROR(INDEX(tsk_Name,GanttView[[#This Row],[_Row]])="",TRUE()),0,IF(OR(INDEX(tsk_IsLeaf,GanttView[[#This Row],[_Row]])&lt;&gt;1,GanttView[[#This Row],[_IsMilestone]],N(GanttView[[#This Row],[%]])&gt;=1),0,IF(GanttView[[#This Row],[_DoneTo]]&gt;0,GanttView[[#This Row],[_DoneTo]]+1,GanttView[[#This Row],[Start]])))</f>
        <v>46336</v>
      </c>
      <c r="S26" s="96" t="n">
        <f aca="false">IF(GanttView[[#This Row],[_RemFrom]]=0,0,GanttView[[#This Row],[Finish]])</f>
        <v>46345</v>
      </c>
      <c r="T26" s="95" t="b">
        <f aca="false">IF(IFERROR(INDEX(tsk_Name,GanttView[[#This Row],[_Row]])="",TRUE()),FALSE(),N(INDEX(tsk_Variance,GanttView[[#This Row],[_Row]]))&gt;0)</f>
        <v>1</v>
      </c>
      <c r="U26" s="96" t="n">
        <f aca="false">IF(IFERROR(INDEX(tsk_Name,GanttView[[#This Row],[_Row]])="",TRUE()),0,N(INDEX(tsk_Deadline,GanttView[[#This Row],[_Row]])))</f>
        <v>0</v>
      </c>
      <c r="V26" s="95" t="b">
        <f aca="false">IF(IFERROR(INDEX(tsk_Name,GanttView[[#This Row],[_Row]])="",TRUE()),FALSE(),INDEX(tsk_Critical,GanttView[[#This Row],[_Row]])="Yes")</f>
        <v>0</v>
      </c>
    </row>
    <row r="27" customFormat="false" ht="15" hidden="false" customHeight="false" outlineLevel="1" collapsed="false">
      <c r="A27" s="89" t="n">
        <f aca="false">IF(IFERROR(INDEX(tsk_Name,GanttView[[#This Row],[_Row]])="",TRUE()),"",INDEX(tsk_ID,GanttView[[#This Row],[_Row]]))</f>
        <v>22</v>
      </c>
      <c r="B27" s="90" t="str">
        <f aca="false">IF(IFERROR(INDEX(tsk_Name,GanttView[[#This Row],[_Row]])="",TRUE()),"",REPT("    ",INDEX(tsk_Level,GanttView[[#This Row],[_Row]])-1)&amp;INDEX(tsk_Name,GanttView[[#This Row],[_Row]]))</f>
        <v>    User acceptance testing</v>
      </c>
      <c r="C27" s="91" t="n">
        <f aca="false">IF(IFERROR(INDEX(tsk_Name,GanttView[[#This Row],[_Row]])="",TRUE()),"",INDEX(tsk_FcStart,GanttView[[#This Row],[_Row]]))</f>
        <v>46363</v>
      </c>
      <c r="D27" s="91" t="n">
        <f aca="false">IF(IFERROR(INDEX(tsk_Name,GanttView[[#This Row],[_Row]])="",TRUE()),"",INDEX(tsk_FcFinish,GanttView[[#This Row],[_Row]]))</f>
        <v>46370</v>
      </c>
      <c r="E27" s="92" t="n">
        <f aca="false">IF(IFERROR(INDEX(tsk_Name,GanttView[[#This Row],[_Row]])="",TRUE()),"",INDEX(tsk_Progress,GanttView[[#This Row],[_Row]]))</f>
        <v>0</v>
      </c>
      <c r="F27" s="90" t="str">
        <f aca="false">IF(IFERROR(INDEX(tsk_Name,GanttView[[#This Row],[_Row]])="",TRUE()),"",INDEX(tsk_ResourceNames,GanttView[[#This Row],[_Row]])&amp;"")</f>
        <v>Morgan Patel, Taylor Morgan</v>
      </c>
      <c r="G27" s="89" t="str">
        <f aca="false">IF(IFERROR(INDEX(tsk_Name,GanttView[[#This Row],[_Row]])="",TRUE()),"",INDEX(tsk_WBS,GanttView[[#This Row],[_Row]]))</f>
        <v>4.2</v>
      </c>
      <c r="H27" s="89" t="n">
        <f aca="false">IF(IFERROR(INDEX(tsk_Name,GanttView[[#This Row],[_Row]])="",TRUE()),"",IF(INDEX(tsk_IsSummary,GanttView[[#This Row],[_Row]]),NETWORKDAYS.INTL(INDEX(tsk_FcStart,GanttView[[#This Row],[_Row]]),INDEX(tsk_FcFinish,GanttView[[#This Row],[_Row]]),WorkWeek,Holidays),N(INDEX(tsk_Duration,GanttView[[#This Row],[_Row]]))))</f>
        <v>6</v>
      </c>
      <c r="I27" s="91" t="n">
        <f aca="false">IF(IFERROR(INDEX(tsk_Name,GanttView[[#This Row],[_Row]])="",TRUE()),"",INDEX(tsk_PlanStart,GanttView[[#This Row],[_Row]]))</f>
        <v>46363</v>
      </c>
      <c r="J27" s="91" t="n">
        <f aca="false">IF(IFERROR(INDEX(tsk_Name,GanttView[[#This Row],[_Row]])="",TRUE()),"",INDEX(tsk_PlanFinish,GanttView[[#This Row],[_Row]]))</f>
        <v>46370</v>
      </c>
      <c r="K27" s="93" t="str">
        <f aca="false">IF(IFERROR(INDEX(tsk_Name,GanttView[[#This Row],[_Row]])="",TRUE()),"",INDEX(tsk_Status,GanttView[[#This Row],[_Row]]))</f>
        <v>Not Started</v>
      </c>
      <c r="L27" s="93" t="str">
        <f aca="false">IF(IFERROR(INDEX(tsk_Name,GanttView[[#This Row],[_Row]])="",TRUE()),"",INDEX(tsk_Show,GanttView[[#This Row],[_Row]])&amp;"")</f>
        <v>Yes</v>
      </c>
      <c r="M27" s="94" t="n">
        <f aca="false">ROW()-ROW(GanttView[[#Headers],[ID]])</f>
        <v>22</v>
      </c>
      <c r="N27" s="95" t="b">
        <f aca="false">IF(IFERROR(INDEX(tsk_Name,GanttView[[#This Row],[_Row]])="",TRUE()),FALSE(),INDEX(tsk_IsSummary,GanttView[[#This Row],[_Row]]))</f>
        <v>0</v>
      </c>
      <c r="O27" s="95" t="b">
        <f aca="false">IF(IFERROR(INDEX(tsk_Name,GanttView[[#This Row],[_Row]])="",TRUE()),FALSE(),AND(INDEX(tsk_IsLeaf,GanttView[[#This Row],[_Row]])=1,N(INDEX(tsk_Duration,GanttView[[#This Row],[_Row]]))=0))</f>
        <v>0</v>
      </c>
      <c r="P27" s="96" t="n">
        <f aca="false">IF(IFERROR(INDEX(tsk_Name,GanttView[[#This Row],[_Row]])="",TRUE()),0,IF(AND(INDEX(tsk_IsLeaf,GanttView[[#This Row],[_Row]])=1,NOT(GanttView[[#This Row],[_IsMilestone]]),N(GanttView[[#This Row],[%]])&gt;0),GanttView[[#This Row],[Start]],0))</f>
        <v>0</v>
      </c>
      <c r="Q27" s="96" t="n">
        <f aca="false">IF(GanttView[[#This Row],[_DoneFrom]]=0,0,IF(GanttView[[#This Row],[%]]&gt;=1,GanttView[[#This Row],[Finish]],MAX(GanttView[[#This Row],[_DoneFrom]],GanttView[[#This Row],[Start]]+ROUND((GanttView[[#This Row],[Finish]]-GanttView[[#This Row],[Start]]+1)*GanttView[[#This Row],[%]],0)-1)))</f>
        <v>0</v>
      </c>
      <c r="R27" s="96" t="n">
        <f aca="false">IF(IFERROR(INDEX(tsk_Name,GanttView[[#This Row],[_Row]])="",TRUE()),0,IF(OR(INDEX(tsk_IsLeaf,GanttView[[#This Row],[_Row]])&lt;&gt;1,GanttView[[#This Row],[_IsMilestone]],N(GanttView[[#This Row],[%]])&gt;=1),0,IF(GanttView[[#This Row],[_DoneTo]]&gt;0,GanttView[[#This Row],[_DoneTo]]+1,GanttView[[#This Row],[Start]])))</f>
        <v>46363</v>
      </c>
      <c r="S27" s="96" t="n">
        <f aca="false">IF(GanttView[[#This Row],[_RemFrom]]=0,0,GanttView[[#This Row],[Finish]])</f>
        <v>46370</v>
      </c>
      <c r="T27" s="95" t="b">
        <f aca="false">IF(IFERROR(INDEX(tsk_Name,GanttView[[#This Row],[_Row]])="",TRUE()),FALSE(),N(INDEX(tsk_Variance,GanttView[[#This Row],[_Row]]))&gt;0)</f>
        <v>0</v>
      </c>
      <c r="U27" s="96" t="n">
        <f aca="false">IF(IFERROR(INDEX(tsk_Name,GanttView[[#This Row],[_Row]])="",TRUE()),0,N(INDEX(tsk_Deadline,GanttView[[#This Row],[_Row]])))</f>
        <v>0</v>
      </c>
      <c r="V27" s="95" t="b">
        <f aca="false">IF(IFERROR(INDEX(tsk_Name,GanttView[[#This Row],[_Row]])="",TRUE()),FALSE(),INDEX(tsk_Critical,GanttView[[#This Row],[_Row]])="Yes")</f>
        <v>1</v>
      </c>
    </row>
    <row r="28" customFormat="false" ht="15" hidden="false" customHeight="false" outlineLevel="1" collapsed="false">
      <c r="A28" s="89" t="n">
        <f aca="false">IF(IFERROR(INDEX(tsk_Name,GanttView[[#This Row],[_Row]])="",TRUE()),"",INDEX(tsk_ID,GanttView[[#This Row],[_Row]]))</f>
        <v>23</v>
      </c>
      <c r="B28" s="90" t="str">
        <f aca="false">IF(IFERROR(INDEX(tsk_Name,GanttView[[#This Row],[_Row]])="",TRUE()),"",REPT("    ",INDEX(tsk_Level,GanttView[[#This Row],[_Row]])-1)&amp;INDEX(tsk_Name,GanttView[[#This Row],[_Row]]))</f>
        <v>    Training &amp; user guides</v>
      </c>
      <c r="C28" s="91" t="n">
        <f aca="false">IF(IFERROR(INDEX(tsk_Name,GanttView[[#This Row],[_Row]])="",TRUE()),"",INDEX(tsk_FcStart,GanttView[[#This Row],[_Row]]))</f>
        <v>46338</v>
      </c>
      <c r="D28" s="91" t="n">
        <f aca="false">IF(IFERROR(INDEX(tsk_Name,GanttView[[#This Row],[_Row]])="",TRUE()),"",INDEX(tsk_FcFinish,GanttView[[#This Row],[_Row]]))</f>
        <v>46344</v>
      </c>
      <c r="E28" s="92" t="n">
        <f aca="false">IF(IFERROR(INDEX(tsk_Name,GanttView[[#This Row],[_Row]])="",TRUE()),"",INDEX(tsk_Progress,GanttView[[#This Row],[_Row]]))</f>
        <v>0</v>
      </c>
      <c r="F28" s="90" t="str">
        <f aca="false">IF(IFERROR(INDEX(tsk_Name,GanttView[[#This Row],[_Row]])="",TRUE()),"",INDEX(tsk_ResourceNames,GanttView[[#This Row],[_Row]])&amp;"")</f>
        <v>Casey Kim[50%]</v>
      </c>
      <c r="G28" s="89" t="str">
        <f aca="false">IF(IFERROR(INDEX(tsk_Name,GanttView[[#This Row],[_Row]])="",TRUE()),"",INDEX(tsk_WBS,GanttView[[#This Row],[_Row]]))</f>
        <v>4.3</v>
      </c>
      <c r="H28" s="89" t="n">
        <f aca="false">IF(IFERROR(INDEX(tsk_Name,GanttView[[#This Row],[_Row]])="",TRUE()),"",IF(INDEX(tsk_IsSummary,GanttView[[#This Row],[_Row]]),NETWORKDAYS.INTL(INDEX(tsk_FcStart,GanttView[[#This Row],[_Row]]),INDEX(tsk_FcFinish,GanttView[[#This Row],[_Row]]),WorkWeek,Holidays),N(INDEX(tsk_Duration,GanttView[[#This Row],[_Row]]))))</f>
        <v>5</v>
      </c>
      <c r="I28" s="91" t="n">
        <f aca="false">IF(IFERROR(INDEX(tsk_Name,GanttView[[#This Row],[_Row]])="",TRUE()),"",INDEX(tsk_PlanStart,GanttView[[#This Row],[_Row]]))</f>
        <v>46330</v>
      </c>
      <c r="J28" s="91" t="n">
        <f aca="false">IF(IFERROR(INDEX(tsk_Name,GanttView[[#This Row],[_Row]])="",TRUE()),"",INDEX(tsk_PlanFinish,GanttView[[#This Row],[_Row]]))</f>
        <v>46336</v>
      </c>
      <c r="K28" s="93" t="str">
        <f aca="false">IF(IFERROR(INDEX(tsk_Name,GanttView[[#This Row],[_Row]])="",TRUE()),"",INDEX(tsk_Status,GanttView[[#This Row],[_Row]]))</f>
        <v>Not Started</v>
      </c>
      <c r="L28" s="93" t="str">
        <f aca="false">IF(IFERROR(INDEX(tsk_Name,GanttView[[#This Row],[_Row]])="",TRUE()),"",INDEX(tsk_Show,GanttView[[#This Row],[_Row]])&amp;"")</f>
        <v>Yes</v>
      </c>
      <c r="M28" s="94" t="n">
        <f aca="false">ROW()-ROW(GanttView[[#Headers],[ID]])</f>
        <v>23</v>
      </c>
      <c r="N28" s="95" t="b">
        <f aca="false">IF(IFERROR(INDEX(tsk_Name,GanttView[[#This Row],[_Row]])="",TRUE()),FALSE(),INDEX(tsk_IsSummary,GanttView[[#This Row],[_Row]]))</f>
        <v>0</v>
      </c>
      <c r="O28" s="95" t="b">
        <f aca="false">IF(IFERROR(INDEX(tsk_Name,GanttView[[#This Row],[_Row]])="",TRUE()),FALSE(),AND(INDEX(tsk_IsLeaf,GanttView[[#This Row],[_Row]])=1,N(INDEX(tsk_Duration,GanttView[[#This Row],[_Row]]))=0))</f>
        <v>0</v>
      </c>
      <c r="P28" s="96" t="n">
        <f aca="false">IF(IFERROR(INDEX(tsk_Name,GanttView[[#This Row],[_Row]])="",TRUE()),0,IF(AND(INDEX(tsk_IsLeaf,GanttView[[#This Row],[_Row]])=1,NOT(GanttView[[#This Row],[_IsMilestone]]),N(GanttView[[#This Row],[%]])&gt;0),GanttView[[#This Row],[Start]],0))</f>
        <v>0</v>
      </c>
      <c r="Q28" s="96" t="n">
        <f aca="false">IF(GanttView[[#This Row],[_DoneFrom]]=0,0,IF(GanttView[[#This Row],[%]]&gt;=1,GanttView[[#This Row],[Finish]],MAX(GanttView[[#This Row],[_DoneFrom]],GanttView[[#This Row],[Start]]+ROUND((GanttView[[#This Row],[Finish]]-GanttView[[#This Row],[Start]]+1)*GanttView[[#This Row],[%]],0)-1)))</f>
        <v>0</v>
      </c>
      <c r="R28" s="96" t="n">
        <f aca="false">IF(IFERROR(INDEX(tsk_Name,GanttView[[#This Row],[_Row]])="",TRUE()),0,IF(OR(INDEX(tsk_IsLeaf,GanttView[[#This Row],[_Row]])&lt;&gt;1,GanttView[[#This Row],[_IsMilestone]],N(GanttView[[#This Row],[%]])&gt;=1),0,IF(GanttView[[#This Row],[_DoneTo]]&gt;0,GanttView[[#This Row],[_DoneTo]]+1,GanttView[[#This Row],[Start]])))</f>
        <v>46338</v>
      </c>
      <c r="S28" s="96" t="n">
        <f aca="false">IF(GanttView[[#This Row],[_RemFrom]]=0,0,GanttView[[#This Row],[Finish]])</f>
        <v>46344</v>
      </c>
      <c r="T28" s="95" t="b">
        <f aca="false">IF(IFERROR(INDEX(tsk_Name,GanttView[[#This Row],[_Row]])="",TRUE()),FALSE(),N(INDEX(tsk_Variance,GanttView[[#This Row],[_Row]]))&gt;0)</f>
        <v>1</v>
      </c>
      <c r="U28" s="96" t="n">
        <f aca="false">IF(IFERROR(INDEX(tsk_Name,GanttView[[#This Row],[_Row]])="",TRUE()),0,N(INDEX(tsk_Deadline,GanttView[[#This Row],[_Row]])))</f>
        <v>0</v>
      </c>
      <c r="V28" s="95" t="b">
        <f aca="false">IF(IFERROR(INDEX(tsk_Name,GanttView[[#This Row],[_Row]])="",TRUE()),FALSE(),INDEX(tsk_Critical,GanttView[[#This Row],[_Row]])="Yes")</f>
        <v>0</v>
      </c>
    </row>
    <row r="29" customFormat="false" ht="15" hidden="false" customHeight="false" outlineLevel="1" collapsed="false">
      <c r="A29" s="89" t="n">
        <f aca="false">IF(IFERROR(INDEX(tsk_Name,GanttView[[#This Row],[_Row]])="",TRUE()),"",INDEX(tsk_ID,GanttView[[#This Row],[_Row]]))</f>
        <v>24</v>
      </c>
      <c r="B29" s="90" t="str">
        <f aca="false">IF(IFERROR(INDEX(tsk_Name,GanttView[[#This Row],[_Row]])="",TRUE()),"",REPT("    ",INDEX(tsk_Level,GanttView[[#This Row],[_Row]])-1)&amp;INDEX(tsk_Name,GanttView[[#This Row],[_Row]]))</f>
        <v>    Go-live readiness review</v>
      </c>
      <c r="C29" s="91" t="n">
        <f aca="false">IF(IFERROR(INDEX(tsk_Name,GanttView[[#This Row],[_Row]])="",TRUE()),"",INDEX(tsk_FcStart,GanttView[[#This Row],[_Row]]))</f>
        <v>46371</v>
      </c>
      <c r="D29" s="91" t="n">
        <f aca="false">IF(IFERROR(INDEX(tsk_Name,GanttView[[#This Row],[_Row]])="",TRUE()),"",INDEX(tsk_FcFinish,GanttView[[#This Row],[_Row]]))</f>
        <v>46371</v>
      </c>
      <c r="E29" s="92" t="n">
        <f aca="false">IF(IFERROR(INDEX(tsk_Name,GanttView[[#This Row],[_Row]])="",TRUE()),"",INDEX(tsk_Progress,GanttView[[#This Row],[_Row]]))</f>
        <v>0</v>
      </c>
      <c r="F29" s="90" t="str">
        <f aca="false">IF(IFERROR(INDEX(tsk_Name,GanttView[[#This Row],[_Row]])="",TRUE()),"",INDEX(tsk_ResourceNames,GanttView[[#This Row],[_Row]])&amp;"")</f>
        <v>Priya Sharma</v>
      </c>
      <c r="G29" s="89" t="str">
        <f aca="false">IF(IFERROR(INDEX(tsk_Name,GanttView[[#This Row],[_Row]])="",TRUE()),"",INDEX(tsk_WBS,GanttView[[#This Row],[_Row]]))</f>
        <v>4.4</v>
      </c>
      <c r="H29" s="89" t="n">
        <f aca="false">IF(IFERROR(INDEX(tsk_Name,GanttView[[#This Row],[_Row]])="",TRUE()),"",IF(INDEX(tsk_IsSummary,GanttView[[#This Row],[_Row]]),NETWORKDAYS.INTL(INDEX(tsk_FcStart,GanttView[[#This Row],[_Row]]),INDEX(tsk_FcFinish,GanttView[[#This Row],[_Row]]),WorkWeek,Holidays),N(INDEX(tsk_Duration,GanttView[[#This Row],[_Row]]))))</f>
        <v>1</v>
      </c>
      <c r="I29" s="91" t="n">
        <f aca="false">IF(IFERROR(INDEX(tsk_Name,GanttView[[#This Row],[_Row]])="",TRUE()),"",INDEX(tsk_PlanStart,GanttView[[#This Row],[_Row]]))</f>
        <v>46371</v>
      </c>
      <c r="J29" s="91" t="n">
        <f aca="false">IF(IFERROR(INDEX(tsk_Name,GanttView[[#This Row],[_Row]])="",TRUE()),"",INDEX(tsk_PlanFinish,GanttView[[#This Row],[_Row]]))</f>
        <v>46371</v>
      </c>
      <c r="K29" s="93" t="str">
        <f aca="false">IF(IFERROR(INDEX(tsk_Name,GanttView[[#This Row],[_Row]])="",TRUE()),"",INDEX(tsk_Status,GanttView[[#This Row],[_Row]]))</f>
        <v>Not Started</v>
      </c>
      <c r="L29" s="93" t="str">
        <f aca="false">IF(IFERROR(INDEX(tsk_Name,GanttView[[#This Row],[_Row]])="",TRUE()),"",INDEX(tsk_Show,GanttView[[#This Row],[_Row]])&amp;"")</f>
        <v>Yes</v>
      </c>
      <c r="M29" s="94" t="n">
        <f aca="false">ROW()-ROW(GanttView[[#Headers],[ID]])</f>
        <v>24</v>
      </c>
      <c r="N29" s="95" t="b">
        <f aca="false">IF(IFERROR(INDEX(tsk_Name,GanttView[[#This Row],[_Row]])="",TRUE()),FALSE(),INDEX(tsk_IsSummary,GanttView[[#This Row],[_Row]]))</f>
        <v>0</v>
      </c>
      <c r="O29" s="95" t="b">
        <f aca="false">IF(IFERROR(INDEX(tsk_Name,GanttView[[#This Row],[_Row]])="",TRUE()),FALSE(),AND(INDEX(tsk_IsLeaf,GanttView[[#This Row],[_Row]])=1,N(INDEX(tsk_Duration,GanttView[[#This Row],[_Row]]))=0))</f>
        <v>0</v>
      </c>
      <c r="P29" s="96" t="n">
        <f aca="false">IF(IFERROR(INDEX(tsk_Name,GanttView[[#This Row],[_Row]])="",TRUE()),0,IF(AND(INDEX(tsk_IsLeaf,GanttView[[#This Row],[_Row]])=1,NOT(GanttView[[#This Row],[_IsMilestone]]),N(GanttView[[#This Row],[%]])&gt;0),GanttView[[#This Row],[Start]],0))</f>
        <v>0</v>
      </c>
      <c r="Q29" s="96" t="n">
        <f aca="false">IF(GanttView[[#This Row],[_DoneFrom]]=0,0,IF(GanttView[[#This Row],[%]]&gt;=1,GanttView[[#This Row],[Finish]],MAX(GanttView[[#This Row],[_DoneFrom]],GanttView[[#This Row],[Start]]+ROUND((GanttView[[#This Row],[Finish]]-GanttView[[#This Row],[Start]]+1)*GanttView[[#This Row],[%]],0)-1)))</f>
        <v>0</v>
      </c>
      <c r="R29" s="96" t="n">
        <f aca="false">IF(IFERROR(INDEX(tsk_Name,GanttView[[#This Row],[_Row]])="",TRUE()),0,IF(OR(INDEX(tsk_IsLeaf,GanttView[[#This Row],[_Row]])&lt;&gt;1,GanttView[[#This Row],[_IsMilestone]],N(GanttView[[#This Row],[%]])&gt;=1),0,IF(GanttView[[#This Row],[_DoneTo]]&gt;0,GanttView[[#This Row],[_DoneTo]]+1,GanttView[[#This Row],[Start]])))</f>
        <v>46371</v>
      </c>
      <c r="S29" s="96" t="n">
        <f aca="false">IF(GanttView[[#This Row],[_RemFrom]]=0,0,GanttView[[#This Row],[Finish]])</f>
        <v>46371</v>
      </c>
      <c r="T29" s="95" t="b">
        <f aca="false">IF(IFERROR(INDEX(tsk_Name,GanttView[[#This Row],[_Row]])="",TRUE()),FALSE(),N(INDEX(tsk_Variance,GanttView[[#This Row],[_Row]]))&gt;0)</f>
        <v>0</v>
      </c>
      <c r="U29" s="96" t="n">
        <f aca="false">IF(IFERROR(INDEX(tsk_Name,GanttView[[#This Row],[_Row]])="",TRUE()),0,N(INDEX(tsk_Deadline,GanttView[[#This Row],[_Row]])))</f>
        <v>0</v>
      </c>
      <c r="V29" s="95" t="b">
        <f aca="false">IF(IFERROR(INDEX(tsk_Name,GanttView[[#This Row],[_Row]])="",TRUE()),FALSE(),INDEX(tsk_Critical,GanttView[[#This Row],[_Row]])="Yes")</f>
        <v>1</v>
      </c>
    </row>
    <row r="30" customFormat="false" ht="15" hidden="false" customHeight="false" outlineLevel="1" collapsed="false">
      <c r="A30" s="89" t="n">
        <f aca="false">IF(IFERROR(INDEX(tsk_Name,GanttView[[#This Row],[_Row]])="",TRUE()),"",INDEX(tsk_ID,GanttView[[#This Row],[_Row]]))</f>
        <v>25</v>
      </c>
      <c r="B30" s="90" t="str">
        <f aca="false">IF(IFERROR(INDEX(tsk_Name,GanttView[[#This Row],[_Row]])="",TRUE()),"",REPT("    ",INDEX(tsk_Level,GanttView[[#This Row],[_Row]])-1)&amp;INDEX(tsk_Name,GanttView[[#This Row],[_Row]]))</f>
        <v>    Go-live</v>
      </c>
      <c r="C30" s="91" t="n">
        <f aca="false">IF(IFERROR(INDEX(tsk_Name,GanttView[[#This Row],[_Row]])="",TRUE()),"",INDEX(tsk_FcStart,GanttView[[#This Row],[_Row]]))</f>
        <v>46371</v>
      </c>
      <c r="D30" s="91" t="n">
        <f aca="false">IF(IFERROR(INDEX(tsk_Name,GanttView[[#This Row],[_Row]])="",TRUE()),"",INDEX(tsk_FcFinish,GanttView[[#This Row],[_Row]]))</f>
        <v>46371</v>
      </c>
      <c r="E30" s="92" t="n">
        <f aca="false">IF(IFERROR(INDEX(tsk_Name,GanttView[[#This Row],[_Row]])="",TRUE()),"",INDEX(tsk_Progress,GanttView[[#This Row],[_Row]]))</f>
        <v>0</v>
      </c>
      <c r="F30" s="90" t="str">
        <f aca="false">IF(IFERROR(INDEX(tsk_Name,GanttView[[#This Row],[_Row]])="",TRUE()),"",INDEX(tsk_ResourceNames,GanttView[[#This Row],[_Row]])&amp;"")</f>
        <v/>
      </c>
      <c r="G30" s="89" t="str">
        <f aca="false">IF(IFERROR(INDEX(tsk_Name,GanttView[[#This Row],[_Row]])="",TRUE()),"",INDEX(tsk_WBS,GanttView[[#This Row],[_Row]]))</f>
        <v>4.5</v>
      </c>
      <c r="H30" s="89" t="n">
        <f aca="false">IF(IFERROR(INDEX(tsk_Name,GanttView[[#This Row],[_Row]])="",TRUE()),"",IF(INDEX(tsk_IsSummary,GanttView[[#This Row],[_Row]]),NETWORKDAYS.INTL(INDEX(tsk_FcStart,GanttView[[#This Row],[_Row]]),INDEX(tsk_FcFinish,GanttView[[#This Row],[_Row]]),WorkWeek,Holidays),N(INDEX(tsk_Duration,GanttView[[#This Row],[_Row]]))))</f>
        <v>0</v>
      </c>
      <c r="I30" s="91" t="n">
        <f aca="false">IF(IFERROR(INDEX(tsk_Name,GanttView[[#This Row],[_Row]])="",TRUE()),"",INDEX(tsk_PlanStart,GanttView[[#This Row],[_Row]]))</f>
        <v>46371</v>
      </c>
      <c r="J30" s="91" t="n">
        <f aca="false">IF(IFERROR(INDEX(tsk_Name,GanttView[[#This Row],[_Row]])="",TRUE()),"",INDEX(tsk_PlanFinish,GanttView[[#This Row],[_Row]]))</f>
        <v>46371</v>
      </c>
      <c r="K30" s="93" t="str">
        <f aca="false">IF(IFERROR(INDEX(tsk_Name,GanttView[[#This Row],[_Row]])="",TRUE()),"",INDEX(tsk_Status,GanttView[[#This Row],[_Row]]))</f>
        <v>Not Started</v>
      </c>
      <c r="L30" s="93" t="str">
        <f aca="false">IF(IFERROR(INDEX(tsk_Name,GanttView[[#This Row],[_Row]])="",TRUE()),"",INDEX(tsk_Show,GanttView[[#This Row],[_Row]])&amp;"")</f>
        <v>Yes</v>
      </c>
      <c r="M30" s="94" t="n">
        <f aca="false">ROW()-ROW(GanttView[[#Headers],[ID]])</f>
        <v>25</v>
      </c>
      <c r="N30" s="95" t="b">
        <f aca="false">IF(IFERROR(INDEX(tsk_Name,GanttView[[#This Row],[_Row]])="",TRUE()),FALSE(),INDEX(tsk_IsSummary,GanttView[[#This Row],[_Row]]))</f>
        <v>0</v>
      </c>
      <c r="O30" s="95" t="b">
        <f aca="false">IF(IFERROR(INDEX(tsk_Name,GanttView[[#This Row],[_Row]])="",TRUE()),FALSE(),AND(INDEX(tsk_IsLeaf,GanttView[[#This Row],[_Row]])=1,N(INDEX(tsk_Duration,GanttView[[#This Row],[_Row]]))=0))</f>
        <v>1</v>
      </c>
      <c r="P30" s="96" t="n">
        <f aca="false">IF(IFERROR(INDEX(tsk_Name,GanttView[[#This Row],[_Row]])="",TRUE()),0,IF(AND(INDEX(tsk_IsLeaf,GanttView[[#This Row],[_Row]])=1,NOT(GanttView[[#This Row],[_IsMilestone]]),N(GanttView[[#This Row],[%]])&gt;0),GanttView[[#This Row],[Start]],0))</f>
        <v>0</v>
      </c>
      <c r="Q30" s="96" t="n">
        <f aca="false">IF(GanttView[[#This Row],[_DoneFrom]]=0,0,IF(GanttView[[#This Row],[%]]&gt;=1,GanttView[[#This Row],[Finish]],MAX(GanttView[[#This Row],[_DoneFrom]],GanttView[[#This Row],[Start]]+ROUND((GanttView[[#This Row],[Finish]]-GanttView[[#This Row],[Start]]+1)*GanttView[[#This Row],[%]],0)-1)))</f>
        <v>0</v>
      </c>
      <c r="R30" s="96" t="n">
        <f aca="false">IF(IFERROR(INDEX(tsk_Name,GanttView[[#This Row],[_Row]])="",TRUE()),0,IF(OR(INDEX(tsk_IsLeaf,GanttView[[#This Row],[_Row]])&lt;&gt;1,GanttView[[#This Row],[_IsMilestone]],N(GanttView[[#This Row],[%]])&gt;=1),0,IF(GanttView[[#This Row],[_DoneTo]]&gt;0,GanttView[[#This Row],[_DoneTo]]+1,GanttView[[#This Row],[Start]])))</f>
        <v>0</v>
      </c>
      <c r="S30" s="96" t="n">
        <f aca="false">IF(GanttView[[#This Row],[_RemFrom]]=0,0,GanttView[[#This Row],[Finish]])</f>
        <v>0</v>
      </c>
      <c r="T30" s="95" t="b">
        <f aca="false">IF(IFERROR(INDEX(tsk_Name,GanttView[[#This Row],[_Row]])="",TRUE()),FALSE(),N(INDEX(tsk_Variance,GanttView[[#This Row],[_Row]]))&gt;0)</f>
        <v>0</v>
      </c>
      <c r="U30" s="96" t="n">
        <f aca="false">IF(IFERROR(INDEX(tsk_Name,GanttView[[#This Row],[_Row]])="",TRUE()),0,N(INDEX(tsk_Deadline,GanttView[[#This Row],[_Row]])))</f>
        <v>46374</v>
      </c>
      <c r="V30" s="95" t="b">
        <f aca="false">IF(IFERROR(INDEX(tsk_Name,GanttView[[#This Row],[_Row]])="",TRUE()),FALSE(),INDEX(tsk_Critical,GanttView[[#This Row],[_Row]])="Yes")</f>
        <v>1</v>
      </c>
    </row>
    <row r="31" customFormat="false" ht="15" hidden="false" customHeight="false" outlineLevel="1" collapsed="false">
      <c r="A31" s="89" t="n">
        <f aca="false">IF(IFERROR(INDEX(tsk_Name,GanttView[[#This Row],[_Row]])="",TRUE()),"",INDEX(tsk_ID,GanttView[[#This Row],[_Row]]))</f>
        <v>26</v>
      </c>
      <c r="B31" s="90" t="str">
        <f aca="false">IF(IFERROR(INDEX(tsk_Name,GanttView[[#This Row],[_Row]])="",TRUE()),"",REPT("    ",INDEX(tsk_Level,GanttView[[#This Row],[_Row]])-1)&amp;INDEX(tsk_Name,GanttView[[#This Row],[_Row]]))</f>
        <v>    Hypercare support</v>
      </c>
      <c r="C31" s="91" t="n">
        <f aca="false">IF(IFERROR(INDEX(tsk_Name,GanttView[[#This Row],[_Row]])="",TRUE()),"",INDEX(tsk_FcStart,GanttView[[#This Row],[_Row]]))</f>
        <v>46372</v>
      </c>
      <c r="D31" s="91" t="n">
        <f aca="false">IF(IFERROR(INDEX(tsk_Name,GanttView[[#This Row],[_Row]])="",TRUE()),"",INDEX(tsk_FcFinish,GanttView[[#This Row],[_Row]]))</f>
        <v>46391</v>
      </c>
      <c r="E31" s="92" t="n">
        <f aca="false">IF(IFERROR(INDEX(tsk_Name,GanttView[[#This Row],[_Row]])="",TRUE()),"",INDEX(tsk_Progress,GanttView[[#This Row],[_Row]]))</f>
        <v>0</v>
      </c>
      <c r="F31" s="90" t="str">
        <f aca="false">IF(IFERROR(INDEX(tsk_Name,GanttView[[#This Row],[_Row]])="",TRUE()),"",INDEX(tsk_ResourceNames,GanttView[[#This Row],[_Row]])&amp;"")</f>
        <v>Jordan Lee[50%]</v>
      </c>
      <c r="G31" s="89" t="str">
        <f aca="false">IF(IFERROR(INDEX(tsk_Name,GanttView[[#This Row],[_Row]])="",TRUE()),"",INDEX(tsk_WBS,GanttView[[#This Row],[_Row]]))</f>
        <v>4.6</v>
      </c>
      <c r="H31" s="89" t="n">
        <f aca="false">IF(IFERROR(INDEX(tsk_Name,GanttView[[#This Row],[_Row]])="",TRUE()),"",IF(INDEX(tsk_IsSummary,GanttView[[#This Row],[_Row]]),NETWORKDAYS.INTL(INDEX(tsk_FcStart,GanttView[[#This Row],[_Row]]),INDEX(tsk_FcFinish,GanttView[[#This Row],[_Row]]),WorkWeek,Holidays),N(INDEX(tsk_Duration,GanttView[[#This Row],[_Row]]))))</f>
        <v>10</v>
      </c>
      <c r="I31" s="91" t="n">
        <f aca="false">IF(IFERROR(INDEX(tsk_Name,GanttView[[#This Row],[_Row]])="",TRUE()),"",INDEX(tsk_PlanStart,GanttView[[#This Row],[_Row]]))</f>
        <v>46372</v>
      </c>
      <c r="J31" s="91" t="n">
        <f aca="false">IF(IFERROR(INDEX(tsk_Name,GanttView[[#This Row],[_Row]])="",TRUE()),"",INDEX(tsk_PlanFinish,GanttView[[#This Row],[_Row]]))</f>
        <v>46391</v>
      </c>
      <c r="K31" s="93" t="str">
        <f aca="false">IF(IFERROR(INDEX(tsk_Name,GanttView[[#This Row],[_Row]])="",TRUE()),"",INDEX(tsk_Status,GanttView[[#This Row],[_Row]]))</f>
        <v>Not Started</v>
      </c>
      <c r="L31" s="93" t="str">
        <f aca="false">IF(IFERROR(INDEX(tsk_Name,GanttView[[#This Row],[_Row]])="",TRUE()),"",INDEX(tsk_Show,GanttView[[#This Row],[_Row]])&amp;"")</f>
        <v>Yes</v>
      </c>
      <c r="M31" s="94" t="n">
        <f aca="false">ROW()-ROW(GanttView[[#Headers],[ID]])</f>
        <v>26</v>
      </c>
      <c r="N31" s="95" t="b">
        <f aca="false">IF(IFERROR(INDEX(tsk_Name,GanttView[[#This Row],[_Row]])="",TRUE()),FALSE(),INDEX(tsk_IsSummary,GanttView[[#This Row],[_Row]]))</f>
        <v>0</v>
      </c>
      <c r="O31" s="95" t="b">
        <f aca="false">IF(IFERROR(INDEX(tsk_Name,GanttView[[#This Row],[_Row]])="",TRUE()),FALSE(),AND(INDEX(tsk_IsLeaf,GanttView[[#This Row],[_Row]])=1,N(INDEX(tsk_Duration,GanttView[[#This Row],[_Row]]))=0))</f>
        <v>0</v>
      </c>
      <c r="P31" s="96" t="n">
        <f aca="false">IF(IFERROR(INDEX(tsk_Name,GanttView[[#This Row],[_Row]])="",TRUE()),0,IF(AND(INDEX(tsk_IsLeaf,GanttView[[#This Row],[_Row]])=1,NOT(GanttView[[#This Row],[_IsMilestone]]),N(GanttView[[#This Row],[%]])&gt;0),GanttView[[#This Row],[Start]],0))</f>
        <v>0</v>
      </c>
      <c r="Q31" s="96" t="n">
        <f aca="false">IF(GanttView[[#This Row],[_DoneFrom]]=0,0,IF(GanttView[[#This Row],[%]]&gt;=1,GanttView[[#This Row],[Finish]],MAX(GanttView[[#This Row],[_DoneFrom]],GanttView[[#This Row],[Start]]+ROUND((GanttView[[#This Row],[Finish]]-GanttView[[#This Row],[Start]]+1)*GanttView[[#This Row],[%]],0)-1)))</f>
        <v>0</v>
      </c>
      <c r="R31" s="96" t="n">
        <f aca="false">IF(IFERROR(INDEX(tsk_Name,GanttView[[#This Row],[_Row]])="",TRUE()),0,IF(OR(INDEX(tsk_IsLeaf,GanttView[[#This Row],[_Row]])&lt;&gt;1,GanttView[[#This Row],[_IsMilestone]],N(GanttView[[#This Row],[%]])&gt;=1),0,IF(GanttView[[#This Row],[_DoneTo]]&gt;0,GanttView[[#This Row],[_DoneTo]]+1,GanttView[[#This Row],[Start]])))</f>
        <v>46372</v>
      </c>
      <c r="S31" s="96" t="n">
        <f aca="false">IF(GanttView[[#This Row],[_RemFrom]]=0,0,GanttView[[#This Row],[Finish]])</f>
        <v>46391</v>
      </c>
      <c r="T31" s="95" t="b">
        <f aca="false">IF(IFERROR(INDEX(tsk_Name,GanttView[[#This Row],[_Row]])="",TRUE()),FALSE(),N(INDEX(tsk_Variance,GanttView[[#This Row],[_Row]]))&gt;0)</f>
        <v>0</v>
      </c>
      <c r="U31" s="96" t="n">
        <f aca="false">IF(IFERROR(INDEX(tsk_Name,GanttView[[#This Row],[_Row]])="",TRUE()),0,N(INDEX(tsk_Deadline,GanttView[[#This Row],[_Row]])))</f>
        <v>0</v>
      </c>
      <c r="V31" s="95" t="b">
        <f aca="false">IF(IFERROR(INDEX(tsk_Name,GanttView[[#This Row],[_Row]])="",TRUE()),FALSE(),INDEX(tsk_Critical,GanttView[[#This Row],[_Row]])="Yes")</f>
        <v>1</v>
      </c>
    </row>
    <row r="32" customFormat="false" ht="15" hidden="false" customHeight="false" outlineLevel="0" collapsed="false">
      <c r="A32" s="89" t="n">
        <f aca="false">IF(IFERROR(INDEX(tsk_Name,GanttView[[#This Row],[_Row]])="",TRUE()),"",INDEX(tsk_ID,GanttView[[#This Row],[_Row]]))</f>
        <v>27</v>
      </c>
      <c r="B32" s="90" t="str">
        <f aca="false">IF(IFERROR(INDEX(tsk_Name,GanttView[[#This Row],[_Row]])="",TRUE()),"",REPT("    ",INDEX(tsk_Level,GanttView[[#This Row],[_Row]])-1)&amp;INDEX(tsk_Name,GanttView[[#This Row],[_Row]]))</f>
        <v>Project Close</v>
      </c>
      <c r="C32" s="91" t="n">
        <f aca="false">IF(IFERROR(INDEX(tsk_Name,GanttView[[#This Row],[_Row]])="",TRUE()),"",INDEX(tsk_FcStart,GanttView[[#This Row],[_Row]]))</f>
        <v>46342</v>
      </c>
      <c r="D32" s="91" t="n">
        <f aca="false">IF(IFERROR(INDEX(tsk_Name,GanttView[[#This Row],[_Row]])="",TRUE()),"",INDEX(tsk_FcFinish,GanttView[[#This Row],[_Row]]))</f>
        <v>46393</v>
      </c>
      <c r="E32" s="92" t="n">
        <f aca="false">IF(IFERROR(INDEX(tsk_Name,GanttView[[#This Row],[_Row]])="",TRUE()),"",INDEX(tsk_Progress,GanttView[[#This Row],[_Row]]))</f>
        <v>0</v>
      </c>
      <c r="F32" s="90" t="str">
        <f aca="false">IF(IFERROR(INDEX(tsk_Name,GanttView[[#This Row],[_Row]])="",TRUE()),"",INDEX(tsk_ResourceNames,GanttView[[#This Row],[_Row]])&amp;"")</f>
        <v/>
      </c>
      <c r="G32" s="89" t="str">
        <f aca="false">IF(IFERROR(INDEX(tsk_Name,GanttView[[#This Row],[_Row]])="",TRUE()),"",INDEX(tsk_WBS,GanttView[[#This Row],[_Row]]))</f>
        <v>5</v>
      </c>
      <c r="H32" s="89" t="n">
        <f aca="false">IF(IFERROR(INDEX(tsk_Name,GanttView[[#This Row],[_Row]])="",TRUE()),"",IF(INDEX(tsk_IsSummary,GanttView[[#This Row],[_Row]]),NETWORKDAYS.INTL(INDEX(tsk_FcStart,GanttView[[#This Row],[_Row]]),INDEX(tsk_FcFinish,GanttView[[#This Row],[_Row]]),WorkWeek,Holidays),N(INDEX(tsk_Duration,GanttView[[#This Row],[_Row]]))))</f>
        <v>34</v>
      </c>
      <c r="I32" s="91" t="n">
        <f aca="false">IF(IFERROR(INDEX(tsk_Name,GanttView[[#This Row],[_Row]])="",TRUE()),"",INDEX(tsk_PlanStart,GanttView[[#This Row],[_Row]]))</f>
        <v>46342</v>
      </c>
      <c r="J32" s="91" t="n">
        <f aca="false">IF(IFERROR(INDEX(tsk_Name,GanttView[[#This Row],[_Row]])="",TRUE()),"",INDEX(tsk_PlanFinish,GanttView[[#This Row],[_Row]]))</f>
        <v>46393</v>
      </c>
      <c r="K32" s="93" t="str">
        <f aca="false">IF(IFERROR(INDEX(tsk_Name,GanttView[[#This Row],[_Row]])="",TRUE()),"",INDEX(tsk_Status,GanttView[[#This Row],[_Row]]))</f>
        <v>Not Started</v>
      </c>
      <c r="L32" s="93" t="str">
        <f aca="false">IF(IFERROR(INDEX(tsk_Name,GanttView[[#This Row],[_Row]])="",TRUE()),"",INDEX(tsk_Show,GanttView[[#This Row],[_Row]])&amp;"")</f>
        <v>Yes</v>
      </c>
      <c r="M32" s="94" t="n">
        <f aca="false">ROW()-ROW(GanttView[[#Headers],[ID]])</f>
        <v>27</v>
      </c>
      <c r="N32" s="95" t="b">
        <f aca="false">IF(IFERROR(INDEX(tsk_Name,GanttView[[#This Row],[_Row]])="",TRUE()),FALSE(),INDEX(tsk_IsSummary,GanttView[[#This Row],[_Row]]))</f>
        <v>1</v>
      </c>
      <c r="O32" s="95" t="b">
        <f aca="false">IF(IFERROR(INDEX(tsk_Name,GanttView[[#This Row],[_Row]])="",TRUE()),FALSE(),AND(INDEX(tsk_IsLeaf,GanttView[[#This Row],[_Row]])=1,N(INDEX(tsk_Duration,GanttView[[#This Row],[_Row]]))=0))</f>
        <v>0</v>
      </c>
      <c r="P32" s="96" t="n">
        <f aca="false">IF(IFERROR(INDEX(tsk_Name,GanttView[[#This Row],[_Row]])="",TRUE()),0,IF(AND(INDEX(tsk_IsLeaf,GanttView[[#This Row],[_Row]])=1,NOT(GanttView[[#This Row],[_IsMilestone]]),N(GanttView[[#This Row],[%]])&gt;0),GanttView[[#This Row],[Start]],0))</f>
        <v>0</v>
      </c>
      <c r="Q32" s="96" t="n">
        <f aca="false">IF(GanttView[[#This Row],[_DoneFrom]]=0,0,IF(GanttView[[#This Row],[%]]&gt;=1,GanttView[[#This Row],[Finish]],MAX(GanttView[[#This Row],[_DoneFrom]],GanttView[[#This Row],[Start]]+ROUND((GanttView[[#This Row],[Finish]]-GanttView[[#This Row],[Start]]+1)*GanttView[[#This Row],[%]],0)-1)))</f>
        <v>0</v>
      </c>
      <c r="R32" s="96" t="n">
        <f aca="false">IF(IFERROR(INDEX(tsk_Name,GanttView[[#This Row],[_Row]])="",TRUE()),0,IF(OR(INDEX(tsk_IsLeaf,GanttView[[#This Row],[_Row]])&lt;&gt;1,GanttView[[#This Row],[_IsMilestone]],N(GanttView[[#This Row],[%]])&gt;=1),0,IF(GanttView[[#This Row],[_DoneTo]]&gt;0,GanttView[[#This Row],[_DoneTo]]+1,GanttView[[#This Row],[Start]])))</f>
        <v>0</v>
      </c>
      <c r="S32" s="96" t="n">
        <f aca="false">IF(GanttView[[#This Row],[_RemFrom]]=0,0,GanttView[[#This Row],[Finish]])</f>
        <v>0</v>
      </c>
      <c r="T32" s="95" t="b">
        <f aca="false">IF(IFERROR(INDEX(tsk_Name,GanttView[[#This Row],[_Row]])="",TRUE()),FALSE(),N(INDEX(tsk_Variance,GanttView[[#This Row],[_Row]]))&gt;0)</f>
        <v>0</v>
      </c>
      <c r="U32" s="96" t="n">
        <f aca="false">IF(IFERROR(INDEX(tsk_Name,GanttView[[#This Row],[_Row]])="",TRUE()),0,N(INDEX(tsk_Deadline,GanttView[[#This Row],[_Row]])))</f>
        <v>0</v>
      </c>
      <c r="V32" s="95" t="b">
        <f aca="false">IF(IFERROR(INDEX(tsk_Name,GanttView[[#This Row],[_Row]])="",TRUE()),FALSE(),INDEX(tsk_Critical,GanttView[[#This Row],[_Row]])="Yes")</f>
        <v>1</v>
      </c>
    </row>
    <row r="33" customFormat="false" ht="15" hidden="false" customHeight="false" outlineLevel="1" collapsed="false">
      <c r="A33" s="89" t="n">
        <f aca="false">IF(IFERROR(INDEX(tsk_Name,GanttView[[#This Row],[_Row]])="",TRUE()),"",INDEX(tsk_ID,GanttView[[#This Row],[_Row]]))</f>
        <v>28</v>
      </c>
      <c r="B33" s="90" t="str">
        <f aca="false">IF(IFERROR(INDEX(tsk_Name,GanttView[[#This Row],[_Row]])="",TRUE()),"",REPT("    ",INDEX(tsk_Level,GanttView[[#This Row],[_Row]])-1)&amp;INDEX(tsk_Name,GanttView[[#This Row],[_Row]]))</f>
        <v>    Steering committee update</v>
      </c>
      <c r="C33" s="91" t="n">
        <f aca="false">IF(IFERROR(INDEX(tsk_Name,GanttView[[#This Row],[_Row]])="",TRUE()),"",INDEX(tsk_FcStart,GanttView[[#This Row],[_Row]]))</f>
        <v>46342</v>
      </c>
      <c r="D33" s="91" t="n">
        <f aca="false">IF(IFERROR(INDEX(tsk_Name,GanttView[[#This Row],[_Row]])="",TRUE()),"",INDEX(tsk_FcFinish,GanttView[[#This Row],[_Row]]))</f>
        <v>46342</v>
      </c>
      <c r="E33" s="92" t="n">
        <f aca="false">IF(IFERROR(INDEX(tsk_Name,GanttView[[#This Row],[_Row]])="",TRUE()),"",INDEX(tsk_Progress,GanttView[[#This Row],[_Row]]))</f>
        <v>0</v>
      </c>
      <c r="F33" s="90" t="str">
        <f aca="false">IF(IFERROR(INDEX(tsk_Name,GanttView[[#This Row],[_Row]])="",TRUE()),"",INDEX(tsk_ResourceNames,GanttView[[#This Row],[_Row]])&amp;"")</f>
        <v>Priya Sharma</v>
      </c>
      <c r="G33" s="89" t="str">
        <f aca="false">IF(IFERROR(INDEX(tsk_Name,GanttView[[#This Row],[_Row]])="",TRUE()),"",INDEX(tsk_WBS,GanttView[[#This Row],[_Row]]))</f>
        <v>5.1</v>
      </c>
      <c r="H33" s="89" t="n">
        <f aca="false">IF(IFERROR(INDEX(tsk_Name,GanttView[[#This Row],[_Row]])="",TRUE()),"",IF(INDEX(tsk_IsSummary,GanttView[[#This Row],[_Row]]),NETWORKDAYS.INTL(INDEX(tsk_FcStart,GanttView[[#This Row],[_Row]]),INDEX(tsk_FcFinish,GanttView[[#This Row],[_Row]]),WorkWeek,Holidays),N(INDEX(tsk_Duration,GanttView[[#This Row],[_Row]]))))</f>
        <v>1</v>
      </c>
      <c r="I33" s="91" t="n">
        <f aca="false">IF(IFERROR(INDEX(tsk_Name,GanttView[[#This Row],[_Row]])="",TRUE()),"",INDEX(tsk_PlanStart,GanttView[[#This Row],[_Row]]))</f>
        <v>46342</v>
      </c>
      <c r="J33" s="91" t="n">
        <f aca="false">IF(IFERROR(INDEX(tsk_Name,GanttView[[#This Row],[_Row]])="",TRUE()),"",INDEX(tsk_PlanFinish,GanttView[[#This Row],[_Row]]))</f>
        <v>46342</v>
      </c>
      <c r="K33" s="93" t="str">
        <f aca="false">IF(IFERROR(INDEX(tsk_Name,GanttView[[#This Row],[_Row]])="",TRUE()),"",INDEX(tsk_Status,GanttView[[#This Row],[_Row]]))</f>
        <v>Not Started</v>
      </c>
      <c r="L33" s="93" t="str">
        <f aca="false">IF(IFERROR(INDEX(tsk_Name,GanttView[[#This Row],[_Row]])="",TRUE()),"",INDEX(tsk_Show,GanttView[[#This Row],[_Row]])&amp;"")</f>
        <v>Yes</v>
      </c>
      <c r="M33" s="94" t="n">
        <f aca="false">ROW()-ROW(GanttView[[#Headers],[ID]])</f>
        <v>28</v>
      </c>
      <c r="N33" s="95" t="b">
        <f aca="false">IF(IFERROR(INDEX(tsk_Name,GanttView[[#This Row],[_Row]])="",TRUE()),FALSE(),INDEX(tsk_IsSummary,GanttView[[#This Row],[_Row]]))</f>
        <v>0</v>
      </c>
      <c r="O33" s="95" t="b">
        <f aca="false">IF(IFERROR(INDEX(tsk_Name,GanttView[[#This Row],[_Row]])="",TRUE()),FALSE(),AND(INDEX(tsk_IsLeaf,GanttView[[#This Row],[_Row]])=1,N(INDEX(tsk_Duration,GanttView[[#This Row],[_Row]]))=0))</f>
        <v>0</v>
      </c>
      <c r="P33" s="96" t="n">
        <f aca="false">IF(IFERROR(INDEX(tsk_Name,GanttView[[#This Row],[_Row]])="",TRUE()),0,IF(AND(INDEX(tsk_IsLeaf,GanttView[[#This Row],[_Row]])=1,NOT(GanttView[[#This Row],[_IsMilestone]]),N(GanttView[[#This Row],[%]])&gt;0),GanttView[[#This Row],[Start]],0))</f>
        <v>0</v>
      </c>
      <c r="Q33" s="96" t="n">
        <f aca="false">IF(GanttView[[#This Row],[_DoneFrom]]=0,0,IF(GanttView[[#This Row],[%]]&gt;=1,GanttView[[#This Row],[Finish]],MAX(GanttView[[#This Row],[_DoneFrom]],GanttView[[#This Row],[Start]]+ROUND((GanttView[[#This Row],[Finish]]-GanttView[[#This Row],[Start]]+1)*GanttView[[#This Row],[%]],0)-1)))</f>
        <v>0</v>
      </c>
      <c r="R33" s="96" t="n">
        <f aca="false">IF(IFERROR(INDEX(tsk_Name,GanttView[[#This Row],[_Row]])="",TRUE()),0,IF(OR(INDEX(tsk_IsLeaf,GanttView[[#This Row],[_Row]])&lt;&gt;1,GanttView[[#This Row],[_IsMilestone]],N(GanttView[[#This Row],[%]])&gt;=1),0,IF(GanttView[[#This Row],[_DoneTo]]&gt;0,GanttView[[#This Row],[_DoneTo]]+1,GanttView[[#This Row],[Start]])))</f>
        <v>46342</v>
      </c>
      <c r="S33" s="96" t="n">
        <f aca="false">IF(GanttView[[#This Row],[_RemFrom]]=0,0,GanttView[[#This Row],[Finish]])</f>
        <v>46342</v>
      </c>
      <c r="T33" s="95" t="b">
        <f aca="false">IF(IFERROR(INDEX(tsk_Name,GanttView[[#This Row],[_Row]])="",TRUE()),FALSE(),N(INDEX(tsk_Variance,GanttView[[#This Row],[_Row]]))&gt;0)</f>
        <v>0</v>
      </c>
      <c r="U33" s="96" t="n">
        <f aca="false">IF(IFERROR(INDEX(tsk_Name,GanttView[[#This Row],[_Row]])="",TRUE()),0,N(INDEX(tsk_Deadline,GanttView[[#This Row],[_Row]])))</f>
        <v>0</v>
      </c>
      <c r="V33" s="95" t="b">
        <f aca="false">IF(IFERROR(INDEX(tsk_Name,GanttView[[#This Row],[_Row]])="",TRUE()),FALSE(),INDEX(tsk_Critical,GanttView[[#This Row],[_Row]])="Yes")</f>
        <v>0</v>
      </c>
    </row>
    <row r="34" customFormat="false" ht="15" hidden="false" customHeight="false" outlineLevel="1" collapsed="false">
      <c r="A34" s="89" t="n">
        <f aca="false">IF(IFERROR(INDEX(tsk_Name,GanttView[[#This Row],[_Row]])="",TRUE()),"",INDEX(tsk_ID,GanttView[[#This Row],[_Row]]))</f>
        <v>29</v>
      </c>
      <c r="B34" s="90" t="str">
        <f aca="false">IF(IFERROR(INDEX(tsk_Name,GanttView[[#This Row],[_Row]])="",TRUE()),"",REPT("    ",INDEX(tsk_Level,GanttView[[#This Row],[_Row]])-1)&amp;INDEX(tsk_Name,GanttView[[#This Row],[_Row]]))</f>
        <v>    Lessons learned</v>
      </c>
      <c r="C34" s="91" t="n">
        <f aca="false">IF(IFERROR(INDEX(tsk_Name,GanttView[[#This Row],[_Row]])="",TRUE()),"",INDEX(tsk_FcStart,GanttView[[#This Row],[_Row]]))</f>
        <v>46392</v>
      </c>
      <c r="D34" s="91" t="n">
        <f aca="false">IF(IFERROR(INDEX(tsk_Name,GanttView[[#This Row],[_Row]])="",TRUE()),"",INDEX(tsk_FcFinish,GanttView[[#This Row],[_Row]]))</f>
        <v>46393</v>
      </c>
      <c r="E34" s="92" t="n">
        <f aca="false">IF(IFERROR(INDEX(tsk_Name,GanttView[[#This Row],[_Row]])="",TRUE()),"",INDEX(tsk_Progress,GanttView[[#This Row],[_Row]]))</f>
        <v>0</v>
      </c>
      <c r="F34" s="90" t="str">
        <f aca="false">IF(IFERROR(INDEX(tsk_Name,GanttView[[#This Row],[_Row]])="",TRUE()),"",INDEX(tsk_ResourceNames,GanttView[[#This Row],[_Row]])&amp;"")</f>
        <v>Priya Sharma</v>
      </c>
      <c r="G34" s="89" t="str">
        <f aca="false">IF(IFERROR(INDEX(tsk_Name,GanttView[[#This Row],[_Row]])="",TRUE()),"",INDEX(tsk_WBS,GanttView[[#This Row],[_Row]]))</f>
        <v>5.2</v>
      </c>
      <c r="H34" s="89" t="n">
        <f aca="false">IF(IFERROR(INDEX(tsk_Name,GanttView[[#This Row],[_Row]])="",TRUE()),"",IF(INDEX(tsk_IsSummary,GanttView[[#This Row],[_Row]]),NETWORKDAYS.INTL(INDEX(tsk_FcStart,GanttView[[#This Row],[_Row]]),INDEX(tsk_FcFinish,GanttView[[#This Row],[_Row]]),WorkWeek,Holidays),N(INDEX(tsk_Duration,GanttView[[#This Row],[_Row]]))))</f>
        <v>2</v>
      </c>
      <c r="I34" s="91" t="n">
        <f aca="false">IF(IFERROR(INDEX(tsk_Name,GanttView[[#This Row],[_Row]])="",TRUE()),"",INDEX(tsk_PlanStart,GanttView[[#This Row],[_Row]]))</f>
        <v>46392</v>
      </c>
      <c r="J34" s="91" t="n">
        <f aca="false">IF(IFERROR(INDEX(tsk_Name,GanttView[[#This Row],[_Row]])="",TRUE()),"",INDEX(tsk_PlanFinish,GanttView[[#This Row],[_Row]]))</f>
        <v>46393</v>
      </c>
      <c r="K34" s="93" t="str">
        <f aca="false">IF(IFERROR(INDEX(tsk_Name,GanttView[[#This Row],[_Row]])="",TRUE()),"",INDEX(tsk_Status,GanttView[[#This Row],[_Row]]))</f>
        <v>Not Started</v>
      </c>
      <c r="L34" s="93" t="str">
        <f aca="false">IF(IFERROR(INDEX(tsk_Name,GanttView[[#This Row],[_Row]])="",TRUE()),"",INDEX(tsk_Show,GanttView[[#This Row],[_Row]])&amp;"")</f>
        <v>Yes</v>
      </c>
      <c r="M34" s="94" t="n">
        <f aca="false">ROW()-ROW(GanttView[[#Headers],[ID]])</f>
        <v>29</v>
      </c>
      <c r="N34" s="95" t="b">
        <f aca="false">IF(IFERROR(INDEX(tsk_Name,GanttView[[#This Row],[_Row]])="",TRUE()),FALSE(),INDEX(tsk_IsSummary,GanttView[[#This Row],[_Row]]))</f>
        <v>0</v>
      </c>
      <c r="O34" s="95" t="b">
        <f aca="false">IF(IFERROR(INDEX(tsk_Name,GanttView[[#This Row],[_Row]])="",TRUE()),FALSE(),AND(INDEX(tsk_IsLeaf,GanttView[[#This Row],[_Row]])=1,N(INDEX(tsk_Duration,GanttView[[#This Row],[_Row]]))=0))</f>
        <v>0</v>
      </c>
      <c r="P34" s="96" t="n">
        <f aca="false">IF(IFERROR(INDEX(tsk_Name,GanttView[[#This Row],[_Row]])="",TRUE()),0,IF(AND(INDEX(tsk_IsLeaf,GanttView[[#This Row],[_Row]])=1,NOT(GanttView[[#This Row],[_IsMilestone]]),N(GanttView[[#This Row],[%]])&gt;0),GanttView[[#This Row],[Start]],0))</f>
        <v>0</v>
      </c>
      <c r="Q34" s="96" t="n">
        <f aca="false">IF(GanttView[[#This Row],[_DoneFrom]]=0,0,IF(GanttView[[#This Row],[%]]&gt;=1,GanttView[[#This Row],[Finish]],MAX(GanttView[[#This Row],[_DoneFrom]],GanttView[[#This Row],[Start]]+ROUND((GanttView[[#This Row],[Finish]]-GanttView[[#This Row],[Start]]+1)*GanttView[[#This Row],[%]],0)-1)))</f>
        <v>0</v>
      </c>
      <c r="R34" s="96" t="n">
        <f aca="false">IF(IFERROR(INDEX(tsk_Name,GanttView[[#This Row],[_Row]])="",TRUE()),0,IF(OR(INDEX(tsk_IsLeaf,GanttView[[#This Row],[_Row]])&lt;&gt;1,GanttView[[#This Row],[_IsMilestone]],N(GanttView[[#This Row],[%]])&gt;=1),0,IF(GanttView[[#This Row],[_DoneTo]]&gt;0,GanttView[[#This Row],[_DoneTo]]+1,GanttView[[#This Row],[Start]])))</f>
        <v>46392</v>
      </c>
      <c r="S34" s="96" t="n">
        <f aca="false">IF(GanttView[[#This Row],[_RemFrom]]=0,0,GanttView[[#This Row],[Finish]])</f>
        <v>46393</v>
      </c>
      <c r="T34" s="95" t="b">
        <f aca="false">IF(IFERROR(INDEX(tsk_Name,GanttView[[#This Row],[_Row]])="",TRUE()),FALSE(),N(INDEX(tsk_Variance,GanttView[[#This Row],[_Row]]))&gt;0)</f>
        <v>0</v>
      </c>
      <c r="U34" s="96" t="n">
        <f aca="false">IF(IFERROR(INDEX(tsk_Name,GanttView[[#This Row],[_Row]])="",TRUE()),0,N(INDEX(tsk_Deadline,GanttView[[#This Row],[_Row]])))</f>
        <v>0</v>
      </c>
      <c r="V34" s="95" t="b">
        <f aca="false">IF(IFERROR(INDEX(tsk_Name,GanttView[[#This Row],[_Row]])="",TRUE()),FALSE(),INDEX(tsk_Critical,GanttView[[#This Row],[_Row]])="Yes")</f>
        <v>1</v>
      </c>
    </row>
    <row r="35" customFormat="false" ht="15" hidden="false" customHeight="false" outlineLevel="1" collapsed="false">
      <c r="A35" s="89" t="n">
        <f aca="false">IF(IFERROR(INDEX(tsk_Name,GanttView[[#This Row],[_Row]])="",TRUE()),"",INDEX(tsk_ID,GanttView[[#This Row],[_Row]]))</f>
        <v>30</v>
      </c>
      <c r="B35" s="90" t="str">
        <f aca="false">IF(IFERROR(INDEX(tsk_Name,GanttView[[#This Row],[_Row]])="",TRUE()),"",REPT("    ",INDEX(tsk_Level,GanttView[[#This Row],[_Row]])-1)&amp;INDEX(tsk_Name,GanttView[[#This Row],[_Row]]))</f>
        <v>    Project closed</v>
      </c>
      <c r="C35" s="91" t="n">
        <f aca="false">IF(IFERROR(INDEX(tsk_Name,GanttView[[#This Row],[_Row]])="",TRUE()),"",INDEX(tsk_FcStart,GanttView[[#This Row],[_Row]]))</f>
        <v>46393</v>
      </c>
      <c r="D35" s="91" t="n">
        <f aca="false">IF(IFERROR(INDEX(tsk_Name,GanttView[[#This Row],[_Row]])="",TRUE()),"",INDEX(tsk_FcFinish,GanttView[[#This Row],[_Row]]))</f>
        <v>46393</v>
      </c>
      <c r="E35" s="92" t="n">
        <f aca="false">IF(IFERROR(INDEX(tsk_Name,GanttView[[#This Row],[_Row]])="",TRUE()),"",INDEX(tsk_Progress,GanttView[[#This Row],[_Row]]))</f>
        <v>0</v>
      </c>
      <c r="F35" s="90" t="str">
        <f aca="false">IF(IFERROR(INDEX(tsk_Name,GanttView[[#This Row],[_Row]])="",TRUE()),"",INDEX(tsk_ResourceNames,GanttView[[#This Row],[_Row]])&amp;"")</f>
        <v/>
      </c>
      <c r="G35" s="89" t="str">
        <f aca="false">IF(IFERROR(INDEX(tsk_Name,GanttView[[#This Row],[_Row]])="",TRUE()),"",INDEX(tsk_WBS,GanttView[[#This Row],[_Row]]))</f>
        <v>5.3</v>
      </c>
      <c r="H35" s="89" t="n">
        <f aca="false">IF(IFERROR(INDEX(tsk_Name,GanttView[[#This Row],[_Row]])="",TRUE()),"",IF(INDEX(tsk_IsSummary,GanttView[[#This Row],[_Row]]),NETWORKDAYS.INTL(INDEX(tsk_FcStart,GanttView[[#This Row],[_Row]]),INDEX(tsk_FcFinish,GanttView[[#This Row],[_Row]]),WorkWeek,Holidays),N(INDEX(tsk_Duration,GanttView[[#This Row],[_Row]]))))</f>
        <v>0</v>
      </c>
      <c r="I35" s="91" t="n">
        <f aca="false">IF(IFERROR(INDEX(tsk_Name,GanttView[[#This Row],[_Row]])="",TRUE()),"",INDEX(tsk_PlanStart,GanttView[[#This Row],[_Row]]))</f>
        <v>46393</v>
      </c>
      <c r="J35" s="91" t="n">
        <f aca="false">IF(IFERROR(INDEX(tsk_Name,GanttView[[#This Row],[_Row]])="",TRUE()),"",INDEX(tsk_PlanFinish,GanttView[[#This Row],[_Row]]))</f>
        <v>46393</v>
      </c>
      <c r="K35" s="93" t="str">
        <f aca="false">IF(IFERROR(INDEX(tsk_Name,GanttView[[#This Row],[_Row]])="",TRUE()),"",INDEX(tsk_Status,GanttView[[#This Row],[_Row]]))</f>
        <v>Not Started</v>
      </c>
      <c r="L35" s="93" t="str">
        <f aca="false">IF(IFERROR(INDEX(tsk_Name,GanttView[[#This Row],[_Row]])="",TRUE()),"",INDEX(tsk_Show,GanttView[[#This Row],[_Row]])&amp;"")</f>
        <v>Yes</v>
      </c>
      <c r="M35" s="94" t="n">
        <f aca="false">ROW()-ROW(GanttView[[#Headers],[ID]])</f>
        <v>30</v>
      </c>
      <c r="N35" s="95" t="b">
        <f aca="false">IF(IFERROR(INDEX(tsk_Name,GanttView[[#This Row],[_Row]])="",TRUE()),FALSE(),INDEX(tsk_IsSummary,GanttView[[#This Row],[_Row]]))</f>
        <v>0</v>
      </c>
      <c r="O35" s="95" t="b">
        <f aca="false">IF(IFERROR(INDEX(tsk_Name,GanttView[[#This Row],[_Row]])="",TRUE()),FALSE(),AND(INDEX(tsk_IsLeaf,GanttView[[#This Row],[_Row]])=1,N(INDEX(tsk_Duration,GanttView[[#This Row],[_Row]]))=0))</f>
        <v>1</v>
      </c>
      <c r="P35" s="96" t="n">
        <f aca="false">IF(IFERROR(INDEX(tsk_Name,GanttView[[#This Row],[_Row]])="",TRUE()),0,IF(AND(INDEX(tsk_IsLeaf,GanttView[[#This Row],[_Row]])=1,NOT(GanttView[[#This Row],[_IsMilestone]]),N(GanttView[[#This Row],[%]])&gt;0),GanttView[[#This Row],[Start]],0))</f>
        <v>0</v>
      </c>
      <c r="Q35" s="96" t="n">
        <f aca="false">IF(GanttView[[#This Row],[_DoneFrom]]=0,0,IF(GanttView[[#This Row],[%]]&gt;=1,GanttView[[#This Row],[Finish]],MAX(GanttView[[#This Row],[_DoneFrom]],GanttView[[#This Row],[Start]]+ROUND((GanttView[[#This Row],[Finish]]-GanttView[[#This Row],[Start]]+1)*GanttView[[#This Row],[%]],0)-1)))</f>
        <v>0</v>
      </c>
      <c r="R35" s="96" t="n">
        <f aca="false">IF(IFERROR(INDEX(tsk_Name,GanttView[[#This Row],[_Row]])="",TRUE()),0,IF(OR(INDEX(tsk_IsLeaf,GanttView[[#This Row],[_Row]])&lt;&gt;1,GanttView[[#This Row],[_IsMilestone]],N(GanttView[[#This Row],[%]])&gt;=1),0,IF(GanttView[[#This Row],[_DoneTo]]&gt;0,GanttView[[#This Row],[_DoneTo]]+1,GanttView[[#This Row],[Start]])))</f>
        <v>0</v>
      </c>
      <c r="S35" s="96" t="n">
        <f aca="false">IF(GanttView[[#This Row],[_RemFrom]]=0,0,GanttView[[#This Row],[Finish]])</f>
        <v>0</v>
      </c>
      <c r="T35" s="95" t="b">
        <f aca="false">IF(IFERROR(INDEX(tsk_Name,GanttView[[#This Row],[_Row]])="",TRUE()),FALSE(),N(INDEX(tsk_Variance,GanttView[[#This Row],[_Row]]))&gt;0)</f>
        <v>0</v>
      </c>
      <c r="U35" s="96" t="n">
        <f aca="false">IF(IFERROR(INDEX(tsk_Name,GanttView[[#This Row],[_Row]])="",TRUE()),0,N(INDEX(tsk_Deadline,GanttView[[#This Row],[_Row]])))</f>
        <v>0</v>
      </c>
      <c r="V35" s="95" t="b">
        <f aca="false">IF(IFERROR(INDEX(tsk_Name,GanttView[[#This Row],[_Row]])="",TRUE()),FALSE(),INDEX(tsk_Critical,GanttView[[#This Row],[_Row]])="Yes")</f>
        <v>1</v>
      </c>
    </row>
    <row r="36" customFormat="false" ht="15" hidden="false" customHeight="false" outlineLevel="0" collapsed="false">
      <c r="A36" s="89" t="str">
        <f aca="false">IF(IFERROR(INDEX(tsk_Name,GanttView[[#This Row],[_Row]])="",TRUE()),"",INDEX(tsk_ID,GanttView[[#This Row],[_Row]]))</f>
        <v/>
      </c>
      <c r="B36" s="90" t="str">
        <f aca="false">IF(IFERROR(INDEX(tsk_Name,GanttView[[#This Row],[_Row]])="",TRUE()),"",REPT("    ",INDEX(tsk_Level,GanttView[[#This Row],[_Row]])-1)&amp;INDEX(tsk_Name,GanttView[[#This Row],[_Row]]))</f>
        <v/>
      </c>
      <c r="C36" s="91" t="str">
        <f aca="false">IF(IFERROR(INDEX(tsk_Name,GanttView[[#This Row],[_Row]])="",TRUE()),"",INDEX(tsk_FcStart,GanttView[[#This Row],[_Row]]))</f>
        <v/>
      </c>
      <c r="D36" s="91" t="str">
        <f aca="false">IF(IFERROR(INDEX(tsk_Name,GanttView[[#This Row],[_Row]])="",TRUE()),"",INDEX(tsk_FcFinish,GanttView[[#This Row],[_Row]]))</f>
        <v/>
      </c>
      <c r="E36" s="92" t="str">
        <f aca="false">IF(IFERROR(INDEX(tsk_Name,GanttView[[#This Row],[_Row]])="",TRUE()),"",INDEX(tsk_Progress,GanttView[[#This Row],[_Row]]))</f>
        <v/>
      </c>
      <c r="F36" s="90" t="str">
        <f aca="false">IF(IFERROR(INDEX(tsk_Name,GanttView[[#This Row],[_Row]])="",TRUE()),"",INDEX(tsk_ResourceNames,GanttView[[#This Row],[_Row]])&amp;"")</f>
        <v/>
      </c>
      <c r="G36" s="89" t="str">
        <f aca="false">IF(IFERROR(INDEX(tsk_Name,GanttView[[#This Row],[_Row]])="",TRUE()),"",INDEX(tsk_WBS,GanttView[[#This Row],[_Row]]))</f>
        <v/>
      </c>
      <c r="H36" s="89" t="str">
        <f aca="false">IF(IFERROR(INDEX(tsk_Name,GanttView[[#This Row],[_Row]])="",TRUE()),"",IF(INDEX(tsk_IsSummary,GanttView[[#This Row],[_Row]]),NETWORKDAYS.INTL(INDEX(tsk_FcStart,GanttView[[#This Row],[_Row]]),INDEX(tsk_FcFinish,GanttView[[#This Row],[_Row]]),WorkWeek,Holidays),N(INDEX(tsk_Duration,GanttView[[#This Row],[_Row]]))))</f>
        <v/>
      </c>
      <c r="I36" s="91" t="str">
        <f aca="false">IF(IFERROR(INDEX(tsk_Name,GanttView[[#This Row],[_Row]])="",TRUE()),"",INDEX(tsk_PlanStart,GanttView[[#This Row],[_Row]]))</f>
        <v/>
      </c>
      <c r="J36" s="91" t="str">
        <f aca="false">IF(IFERROR(INDEX(tsk_Name,GanttView[[#This Row],[_Row]])="",TRUE()),"",INDEX(tsk_PlanFinish,GanttView[[#This Row],[_Row]]))</f>
        <v/>
      </c>
      <c r="K36" s="93" t="str">
        <f aca="false">IF(IFERROR(INDEX(tsk_Name,GanttView[[#This Row],[_Row]])="",TRUE()),"",INDEX(tsk_Status,GanttView[[#This Row],[_Row]]))</f>
        <v/>
      </c>
      <c r="L36" s="93" t="str">
        <f aca="false">IF(IFERROR(INDEX(tsk_Name,GanttView[[#This Row],[_Row]])="",TRUE()),"",INDEX(tsk_Show,GanttView[[#This Row],[_Row]])&amp;"")</f>
        <v/>
      </c>
      <c r="M36" s="94" t="n">
        <f aca="false">ROW()-ROW(GanttView[[#Headers],[ID]])</f>
        <v>31</v>
      </c>
      <c r="N36" s="95" t="b">
        <f aca="false">IF(IFERROR(INDEX(tsk_Name,GanttView[[#This Row],[_Row]])="",TRUE()),FALSE(),INDEX(tsk_IsSummary,GanttView[[#This Row],[_Row]]))</f>
        <v>0</v>
      </c>
      <c r="O36" s="95" t="b">
        <f aca="false">IF(IFERROR(INDEX(tsk_Name,GanttView[[#This Row],[_Row]])="",TRUE()),FALSE(),AND(INDEX(tsk_IsLeaf,GanttView[[#This Row],[_Row]])=1,N(INDEX(tsk_Duration,GanttView[[#This Row],[_Row]]))=0))</f>
        <v>0</v>
      </c>
      <c r="P36" s="96" t="n">
        <f aca="false">IF(IFERROR(INDEX(tsk_Name,GanttView[[#This Row],[_Row]])="",TRUE()),0,IF(AND(INDEX(tsk_IsLeaf,GanttView[[#This Row],[_Row]])=1,NOT(GanttView[[#This Row],[_IsMilestone]]),N(GanttView[[#This Row],[%]])&gt;0),GanttView[[#This Row],[Start]],0))</f>
        <v>0</v>
      </c>
      <c r="Q36" s="96" t="n">
        <f aca="false">IF(GanttView[[#This Row],[_DoneFrom]]=0,0,IF(GanttView[[#This Row],[%]]&gt;=1,GanttView[[#This Row],[Finish]],MAX(GanttView[[#This Row],[_DoneFrom]],GanttView[[#This Row],[Start]]+ROUND((GanttView[[#This Row],[Finish]]-GanttView[[#This Row],[Start]]+1)*GanttView[[#This Row],[%]],0)-1)))</f>
        <v>0</v>
      </c>
      <c r="R36" s="96" t="n">
        <f aca="false">IF(IFERROR(INDEX(tsk_Name,GanttView[[#This Row],[_Row]])="",TRUE()),0,IF(OR(INDEX(tsk_IsLeaf,GanttView[[#This Row],[_Row]])&lt;&gt;1,GanttView[[#This Row],[_IsMilestone]],N(GanttView[[#This Row],[%]])&gt;=1),0,IF(GanttView[[#This Row],[_DoneTo]]&gt;0,GanttView[[#This Row],[_DoneTo]]+1,GanttView[[#This Row],[Start]])))</f>
        <v>0</v>
      </c>
      <c r="S36" s="96" t="n">
        <f aca="false">IF(GanttView[[#This Row],[_RemFrom]]=0,0,GanttView[[#This Row],[Finish]])</f>
        <v>0</v>
      </c>
      <c r="T36" s="95" t="b">
        <f aca="false">IF(IFERROR(INDEX(tsk_Name,GanttView[[#This Row],[_Row]])="",TRUE()),FALSE(),N(INDEX(tsk_Variance,GanttView[[#This Row],[_Row]]))&gt;0)</f>
        <v>0</v>
      </c>
      <c r="U36" s="96" t="n">
        <f aca="false">IF(IFERROR(INDEX(tsk_Name,GanttView[[#This Row],[_Row]])="",TRUE()),0,N(INDEX(tsk_Deadline,GanttView[[#This Row],[_Row]])))</f>
        <v>0</v>
      </c>
      <c r="V36" s="95" t="b">
        <f aca="false">IF(IFERROR(INDEX(tsk_Name,GanttView[[#This Row],[_Row]])="",TRUE()),FALSE(),INDEX(tsk_Critical,GanttView[[#This Row],[_Row]])="Yes")</f>
        <v>0</v>
      </c>
    </row>
    <row r="37" customFormat="false" ht="15" hidden="false" customHeight="false" outlineLevel="0" collapsed="false">
      <c r="A37" s="89" t="str">
        <f aca="false">IF(IFERROR(INDEX(tsk_Name,GanttView[[#This Row],[_Row]])="",TRUE()),"",INDEX(tsk_ID,GanttView[[#This Row],[_Row]]))</f>
        <v/>
      </c>
      <c r="B37" s="90" t="str">
        <f aca="false">IF(IFERROR(INDEX(tsk_Name,GanttView[[#This Row],[_Row]])="",TRUE()),"",REPT("    ",INDEX(tsk_Level,GanttView[[#This Row],[_Row]])-1)&amp;INDEX(tsk_Name,GanttView[[#This Row],[_Row]]))</f>
        <v/>
      </c>
      <c r="C37" s="91" t="str">
        <f aca="false">IF(IFERROR(INDEX(tsk_Name,GanttView[[#This Row],[_Row]])="",TRUE()),"",INDEX(tsk_FcStart,GanttView[[#This Row],[_Row]]))</f>
        <v/>
      </c>
      <c r="D37" s="91" t="str">
        <f aca="false">IF(IFERROR(INDEX(tsk_Name,GanttView[[#This Row],[_Row]])="",TRUE()),"",INDEX(tsk_FcFinish,GanttView[[#This Row],[_Row]]))</f>
        <v/>
      </c>
      <c r="E37" s="92" t="str">
        <f aca="false">IF(IFERROR(INDEX(tsk_Name,GanttView[[#This Row],[_Row]])="",TRUE()),"",INDEX(tsk_Progress,GanttView[[#This Row],[_Row]]))</f>
        <v/>
      </c>
      <c r="F37" s="90" t="str">
        <f aca="false">IF(IFERROR(INDEX(tsk_Name,GanttView[[#This Row],[_Row]])="",TRUE()),"",INDEX(tsk_ResourceNames,GanttView[[#This Row],[_Row]])&amp;"")</f>
        <v/>
      </c>
      <c r="G37" s="89" t="str">
        <f aca="false">IF(IFERROR(INDEX(tsk_Name,GanttView[[#This Row],[_Row]])="",TRUE()),"",INDEX(tsk_WBS,GanttView[[#This Row],[_Row]]))</f>
        <v/>
      </c>
      <c r="H37" s="89" t="str">
        <f aca="false">IF(IFERROR(INDEX(tsk_Name,GanttView[[#This Row],[_Row]])="",TRUE()),"",IF(INDEX(tsk_IsSummary,GanttView[[#This Row],[_Row]]),NETWORKDAYS.INTL(INDEX(tsk_FcStart,GanttView[[#This Row],[_Row]]),INDEX(tsk_FcFinish,GanttView[[#This Row],[_Row]]),WorkWeek,Holidays),N(INDEX(tsk_Duration,GanttView[[#This Row],[_Row]]))))</f>
        <v/>
      </c>
      <c r="I37" s="91" t="str">
        <f aca="false">IF(IFERROR(INDEX(tsk_Name,GanttView[[#This Row],[_Row]])="",TRUE()),"",INDEX(tsk_PlanStart,GanttView[[#This Row],[_Row]]))</f>
        <v/>
      </c>
      <c r="J37" s="91" t="str">
        <f aca="false">IF(IFERROR(INDEX(tsk_Name,GanttView[[#This Row],[_Row]])="",TRUE()),"",INDEX(tsk_PlanFinish,GanttView[[#This Row],[_Row]]))</f>
        <v/>
      </c>
      <c r="K37" s="93" t="str">
        <f aca="false">IF(IFERROR(INDEX(tsk_Name,GanttView[[#This Row],[_Row]])="",TRUE()),"",INDEX(tsk_Status,GanttView[[#This Row],[_Row]]))</f>
        <v/>
      </c>
      <c r="L37" s="93" t="str">
        <f aca="false">IF(IFERROR(INDEX(tsk_Name,GanttView[[#This Row],[_Row]])="",TRUE()),"",INDEX(tsk_Show,GanttView[[#This Row],[_Row]])&amp;"")</f>
        <v/>
      </c>
      <c r="M37" s="94" t="n">
        <f aca="false">ROW()-ROW(GanttView[[#Headers],[ID]])</f>
        <v>32</v>
      </c>
      <c r="N37" s="95" t="b">
        <f aca="false">IF(IFERROR(INDEX(tsk_Name,GanttView[[#This Row],[_Row]])="",TRUE()),FALSE(),INDEX(tsk_IsSummary,GanttView[[#This Row],[_Row]]))</f>
        <v>0</v>
      </c>
      <c r="O37" s="95" t="b">
        <f aca="false">IF(IFERROR(INDEX(tsk_Name,GanttView[[#This Row],[_Row]])="",TRUE()),FALSE(),AND(INDEX(tsk_IsLeaf,GanttView[[#This Row],[_Row]])=1,N(INDEX(tsk_Duration,GanttView[[#This Row],[_Row]]))=0))</f>
        <v>0</v>
      </c>
      <c r="P37" s="96" t="n">
        <f aca="false">IF(IFERROR(INDEX(tsk_Name,GanttView[[#This Row],[_Row]])="",TRUE()),0,IF(AND(INDEX(tsk_IsLeaf,GanttView[[#This Row],[_Row]])=1,NOT(GanttView[[#This Row],[_IsMilestone]]),N(GanttView[[#This Row],[%]])&gt;0),GanttView[[#This Row],[Start]],0))</f>
        <v>0</v>
      </c>
      <c r="Q37" s="96" t="n">
        <f aca="false">IF(GanttView[[#This Row],[_DoneFrom]]=0,0,IF(GanttView[[#This Row],[%]]&gt;=1,GanttView[[#This Row],[Finish]],MAX(GanttView[[#This Row],[_DoneFrom]],GanttView[[#This Row],[Start]]+ROUND((GanttView[[#This Row],[Finish]]-GanttView[[#This Row],[Start]]+1)*GanttView[[#This Row],[%]],0)-1)))</f>
        <v>0</v>
      </c>
      <c r="R37" s="96" t="n">
        <f aca="false">IF(IFERROR(INDEX(tsk_Name,GanttView[[#This Row],[_Row]])="",TRUE()),0,IF(OR(INDEX(tsk_IsLeaf,GanttView[[#This Row],[_Row]])&lt;&gt;1,GanttView[[#This Row],[_IsMilestone]],N(GanttView[[#This Row],[%]])&gt;=1),0,IF(GanttView[[#This Row],[_DoneTo]]&gt;0,GanttView[[#This Row],[_DoneTo]]+1,GanttView[[#This Row],[Start]])))</f>
        <v>0</v>
      </c>
      <c r="S37" s="96" t="n">
        <f aca="false">IF(GanttView[[#This Row],[_RemFrom]]=0,0,GanttView[[#This Row],[Finish]])</f>
        <v>0</v>
      </c>
      <c r="T37" s="95" t="b">
        <f aca="false">IF(IFERROR(INDEX(tsk_Name,GanttView[[#This Row],[_Row]])="",TRUE()),FALSE(),N(INDEX(tsk_Variance,GanttView[[#This Row],[_Row]]))&gt;0)</f>
        <v>0</v>
      </c>
      <c r="U37" s="96" t="n">
        <f aca="false">IF(IFERROR(INDEX(tsk_Name,GanttView[[#This Row],[_Row]])="",TRUE()),0,N(INDEX(tsk_Deadline,GanttView[[#This Row],[_Row]])))</f>
        <v>0</v>
      </c>
      <c r="V37" s="95" t="b">
        <f aca="false">IF(IFERROR(INDEX(tsk_Name,GanttView[[#This Row],[_Row]])="",TRUE()),FALSE(),INDEX(tsk_Critical,GanttView[[#This Row],[_Row]])="Yes")</f>
        <v>0</v>
      </c>
    </row>
    <row r="38" customFormat="false" ht="15" hidden="false" customHeight="false" outlineLevel="0" collapsed="false">
      <c r="A38" s="89" t="str">
        <f aca="false">IF(IFERROR(INDEX(tsk_Name,GanttView[[#This Row],[_Row]])="",TRUE()),"",INDEX(tsk_ID,GanttView[[#This Row],[_Row]]))</f>
        <v/>
      </c>
      <c r="B38" s="90" t="str">
        <f aca="false">IF(IFERROR(INDEX(tsk_Name,GanttView[[#This Row],[_Row]])="",TRUE()),"",REPT("    ",INDEX(tsk_Level,GanttView[[#This Row],[_Row]])-1)&amp;INDEX(tsk_Name,GanttView[[#This Row],[_Row]]))</f>
        <v/>
      </c>
      <c r="C38" s="91" t="str">
        <f aca="false">IF(IFERROR(INDEX(tsk_Name,GanttView[[#This Row],[_Row]])="",TRUE()),"",INDEX(tsk_FcStart,GanttView[[#This Row],[_Row]]))</f>
        <v/>
      </c>
      <c r="D38" s="91" t="str">
        <f aca="false">IF(IFERROR(INDEX(tsk_Name,GanttView[[#This Row],[_Row]])="",TRUE()),"",INDEX(tsk_FcFinish,GanttView[[#This Row],[_Row]]))</f>
        <v/>
      </c>
      <c r="E38" s="92" t="str">
        <f aca="false">IF(IFERROR(INDEX(tsk_Name,GanttView[[#This Row],[_Row]])="",TRUE()),"",INDEX(tsk_Progress,GanttView[[#This Row],[_Row]]))</f>
        <v/>
      </c>
      <c r="F38" s="90" t="str">
        <f aca="false">IF(IFERROR(INDEX(tsk_Name,GanttView[[#This Row],[_Row]])="",TRUE()),"",INDEX(tsk_ResourceNames,GanttView[[#This Row],[_Row]])&amp;"")</f>
        <v/>
      </c>
      <c r="G38" s="89" t="str">
        <f aca="false">IF(IFERROR(INDEX(tsk_Name,GanttView[[#This Row],[_Row]])="",TRUE()),"",INDEX(tsk_WBS,GanttView[[#This Row],[_Row]]))</f>
        <v/>
      </c>
      <c r="H38" s="89" t="str">
        <f aca="false">IF(IFERROR(INDEX(tsk_Name,GanttView[[#This Row],[_Row]])="",TRUE()),"",IF(INDEX(tsk_IsSummary,GanttView[[#This Row],[_Row]]),NETWORKDAYS.INTL(INDEX(tsk_FcStart,GanttView[[#This Row],[_Row]]),INDEX(tsk_FcFinish,GanttView[[#This Row],[_Row]]),WorkWeek,Holidays),N(INDEX(tsk_Duration,GanttView[[#This Row],[_Row]]))))</f>
        <v/>
      </c>
      <c r="I38" s="91" t="str">
        <f aca="false">IF(IFERROR(INDEX(tsk_Name,GanttView[[#This Row],[_Row]])="",TRUE()),"",INDEX(tsk_PlanStart,GanttView[[#This Row],[_Row]]))</f>
        <v/>
      </c>
      <c r="J38" s="91" t="str">
        <f aca="false">IF(IFERROR(INDEX(tsk_Name,GanttView[[#This Row],[_Row]])="",TRUE()),"",INDEX(tsk_PlanFinish,GanttView[[#This Row],[_Row]]))</f>
        <v/>
      </c>
      <c r="K38" s="93" t="str">
        <f aca="false">IF(IFERROR(INDEX(tsk_Name,GanttView[[#This Row],[_Row]])="",TRUE()),"",INDEX(tsk_Status,GanttView[[#This Row],[_Row]]))</f>
        <v/>
      </c>
      <c r="L38" s="93" t="str">
        <f aca="false">IF(IFERROR(INDEX(tsk_Name,GanttView[[#This Row],[_Row]])="",TRUE()),"",INDEX(tsk_Show,GanttView[[#This Row],[_Row]])&amp;"")</f>
        <v/>
      </c>
      <c r="M38" s="94" t="n">
        <f aca="false">ROW()-ROW(GanttView[[#Headers],[ID]])</f>
        <v>33</v>
      </c>
      <c r="N38" s="95" t="b">
        <f aca="false">IF(IFERROR(INDEX(tsk_Name,GanttView[[#This Row],[_Row]])="",TRUE()),FALSE(),INDEX(tsk_IsSummary,GanttView[[#This Row],[_Row]]))</f>
        <v>0</v>
      </c>
      <c r="O38" s="95" t="b">
        <f aca="false">IF(IFERROR(INDEX(tsk_Name,GanttView[[#This Row],[_Row]])="",TRUE()),FALSE(),AND(INDEX(tsk_IsLeaf,GanttView[[#This Row],[_Row]])=1,N(INDEX(tsk_Duration,GanttView[[#This Row],[_Row]]))=0))</f>
        <v>0</v>
      </c>
      <c r="P38" s="96" t="n">
        <f aca="false">IF(IFERROR(INDEX(tsk_Name,GanttView[[#This Row],[_Row]])="",TRUE()),0,IF(AND(INDEX(tsk_IsLeaf,GanttView[[#This Row],[_Row]])=1,NOT(GanttView[[#This Row],[_IsMilestone]]),N(GanttView[[#This Row],[%]])&gt;0),GanttView[[#This Row],[Start]],0))</f>
        <v>0</v>
      </c>
      <c r="Q38" s="96" t="n">
        <f aca="false">IF(GanttView[[#This Row],[_DoneFrom]]=0,0,IF(GanttView[[#This Row],[%]]&gt;=1,GanttView[[#This Row],[Finish]],MAX(GanttView[[#This Row],[_DoneFrom]],GanttView[[#This Row],[Start]]+ROUND((GanttView[[#This Row],[Finish]]-GanttView[[#This Row],[Start]]+1)*GanttView[[#This Row],[%]],0)-1)))</f>
        <v>0</v>
      </c>
      <c r="R38" s="96" t="n">
        <f aca="false">IF(IFERROR(INDEX(tsk_Name,GanttView[[#This Row],[_Row]])="",TRUE()),0,IF(OR(INDEX(tsk_IsLeaf,GanttView[[#This Row],[_Row]])&lt;&gt;1,GanttView[[#This Row],[_IsMilestone]],N(GanttView[[#This Row],[%]])&gt;=1),0,IF(GanttView[[#This Row],[_DoneTo]]&gt;0,GanttView[[#This Row],[_DoneTo]]+1,GanttView[[#This Row],[Start]])))</f>
        <v>0</v>
      </c>
      <c r="S38" s="96" t="n">
        <f aca="false">IF(GanttView[[#This Row],[_RemFrom]]=0,0,GanttView[[#This Row],[Finish]])</f>
        <v>0</v>
      </c>
      <c r="T38" s="95" t="b">
        <f aca="false">IF(IFERROR(INDEX(tsk_Name,GanttView[[#This Row],[_Row]])="",TRUE()),FALSE(),N(INDEX(tsk_Variance,GanttView[[#This Row],[_Row]]))&gt;0)</f>
        <v>0</v>
      </c>
      <c r="U38" s="96" t="n">
        <f aca="false">IF(IFERROR(INDEX(tsk_Name,GanttView[[#This Row],[_Row]])="",TRUE()),0,N(INDEX(tsk_Deadline,GanttView[[#This Row],[_Row]])))</f>
        <v>0</v>
      </c>
      <c r="V38" s="95" t="b">
        <f aca="false">IF(IFERROR(INDEX(tsk_Name,GanttView[[#This Row],[_Row]])="",TRUE()),FALSE(),INDEX(tsk_Critical,GanttView[[#This Row],[_Row]])="Yes")</f>
        <v>0</v>
      </c>
    </row>
    <row r="39" customFormat="false" ht="15" hidden="false" customHeight="false" outlineLevel="0" collapsed="false">
      <c r="A39" s="89" t="str">
        <f aca="false">IF(IFERROR(INDEX(tsk_Name,GanttView[[#This Row],[_Row]])="",TRUE()),"",INDEX(tsk_ID,GanttView[[#This Row],[_Row]]))</f>
        <v/>
      </c>
      <c r="B39" s="90" t="str">
        <f aca="false">IF(IFERROR(INDEX(tsk_Name,GanttView[[#This Row],[_Row]])="",TRUE()),"",REPT("    ",INDEX(tsk_Level,GanttView[[#This Row],[_Row]])-1)&amp;INDEX(tsk_Name,GanttView[[#This Row],[_Row]]))</f>
        <v/>
      </c>
      <c r="C39" s="91" t="str">
        <f aca="false">IF(IFERROR(INDEX(tsk_Name,GanttView[[#This Row],[_Row]])="",TRUE()),"",INDEX(tsk_FcStart,GanttView[[#This Row],[_Row]]))</f>
        <v/>
      </c>
      <c r="D39" s="91" t="str">
        <f aca="false">IF(IFERROR(INDEX(tsk_Name,GanttView[[#This Row],[_Row]])="",TRUE()),"",INDEX(tsk_FcFinish,GanttView[[#This Row],[_Row]]))</f>
        <v/>
      </c>
      <c r="E39" s="92" t="str">
        <f aca="false">IF(IFERROR(INDEX(tsk_Name,GanttView[[#This Row],[_Row]])="",TRUE()),"",INDEX(tsk_Progress,GanttView[[#This Row],[_Row]]))</f>
        <v/>
      </c>
      <c r="F39" s="90" t="str">
        <f aca="false">IF(IFERROR(INDEX(tsk_Name,GanttView[[#This Row],[_Row]])="",TRUE()),"",INDEX(tsk_ResourceNames,GanttView[[#This Row],[_Row]])&amp;"")</f>
        <v/>
      </c>
      <c r="G39" s="89" t="str">
        <f aca="false">IF(IFERROR(INDEX(tsk_Name,GanttView[[#This Row],[_Row]])="",TRUE()),"",INDEX(tsk_WBS,GanttView[[#This Row],[_Row]]))</f>
        <v/>
      </c>
      <c r="H39" s="89" t="str">
        <f aca="false">IF(IFERROR(INDEX(tsk_Name,GanttView[[#This Row],[_Row]])="",TRUE()),"",IF(INDEX(tsk_IsSummary,GanttView[[#This Row],[_Row]]),NETWORKDAYS.INTL(INDEX(tsk_FcStart,GanttView[[#This Row],[_Row]]),INDEX(tsk_FcFinish,GanttView[[#This Row],[_Row]]),WorkWeek,Holidays),N(INDEX(tsk_Duration,GanttView[[#This Row],[_Row]]))))</f>
        <v/>
      </c>
      <c r="I39" s="91" t="str">
        <f aca="false">IF(IFERROR(INDEX(tsk_Name,GanttView[[#This Row],[_Row]])="",TRUE()),"",INDEX(tsk_PlanStart,GanttView[[#This Row],[_Row]]))</f>
        <v/>
      </c>
      <c r="J39" s="91" t="str">
        <f aca="false">IF(IFERROR(INDEX(tsk_Name,GanttView[[#This Row],[_Row]])="",TRUE()),"",INDEX(tsk_PlanFinish,GanttView[[#This Row],[_Row]]))</f>
        <v/>
      </c>
      <c r="K39" s="93" t="str">
        <f aca="false">IF(IFERROR(INDEX(tsk_Name,GanttView[[#This Row],[_Row]])="",TRUE()),"",INDEX(tsk_Status,GanttView[[#This Row],[_Row]]))</f>
        <v/>
      </c>
      <c r="L39" s="93" t="str">
        <f aca="false">IF(IFERROR(INDEX(tsk_Name,GanttView[[#This Row],[_Row]])="",TRUE()),"",INDEX(tsk_Show,GanttView[[#This Row],[_Row]])&amp;"")</f>
        <v/>
      </c>
      <c r="M39" s="94" t="n">
        <f aca="false">ROW()-ROW(GanttView[[#Headers],[ID]])</f>
        <v>34</v>
      </c>
      <c r="N39" s="95" t="b">
        <f aca="false">IF(IFERROR(INDEX(tsk_Name,GanttView[[#This Row],[_Row]])="",TRUE()),FALSE(),INDEX(tsk_IsSummary,GanttView[[#This Row],[_Row]]))</f>
        <v>0</v>
      </c>
      <c r="O39" s="95" t="b">
        <f aca="false">IF(IFERROR(INDEX(tsk_Name,GanttView[[#This Row],[_Row]])="",TRUE()),FALSE(),AND(INDEX(tsk_IsLeaf,GanttView[[#This Row],[_Row]])=1,N(INDEX(tsk_Duration,GanttView[[#This Row],[_Row]]))=0))</f>
        <v>0</v>
      </c>
      <c r="P39" s="96" t="n">
        <f aca="false">IF(IFERROR(INDEX(tsk_Name,GanttView[[#This Row],[_Row]])="",TRUE()),0,IF(AND(INDEX(tsk_IsLeaf,GanttView[[#This Row],[_Row]])=1,NOT(GanttView[[#This Row],[_IsMilestone]]),N(GanttView[[#This Row],[%]])&gt;0),GanttView[[#This Row],[Start]],0))</f>
        <v>0</v>
      </c>
      <c r="Q39" s="96" t="n">
        <f aca="false">IF(GanttView[[#This Row],[_DoneFrom]]=0,0,IF(GanttView[[#This Row],[%]]&gt;=1,GanttView[[#This Row],[Finish]],MAX(GanttView[[#This Row],[_DoneFrom]],GanttView[[#This Row],[Start]]+ROUND((GanttView[[#This Row],[Finish]]-GanttView[[#This Row],[Start]]+1)*GanttView[[#This Row],[%]],0)-1)))</f>
        <v>0</v>
      </c>
      <c r="R39" s="96" t="n">
        <f aca="false">IF(IFERROR(INDEX(tsk_Name,GanttView[[#This Row],[_Row]])="",TRUE()),0,IF(OR(INDEX(tsk_IsLeaf,GanttView[[#This Row],[_Row]])&lt;&gt;1,GanttView[[#This Row],[_IsMilestone]],N(GanttView[[#This Row],[%]])&gt;=1),0,IF(GanttView[[#This Row],[_DoneTo]]&gt;0,GanttView[[#This Row],[_DoneTo]]+1,GanttView[[#This Row],[Start]])))</f>
        <v>0</v>
      </c>
      <c r="S39" s="96" t="n">
        <f aca="false">IF(GanttView[[#This Row],[_RemFrom]]=0,0,GanttView[[#This Row],[Finish]])</f>
        <v>0</v>
      </c>
      <c r="T39" s="95" t="b">
        <f aca="false">IF(IFERROR(INDEX(tsk_Name,GanttView[[#This Row],[_Row]])="",TRUE()),FALSE(),N(INDEX(tsk_Variance,GanttView[[#This Row],[_Row]]))&gt;0)</f>
        <v>0</v>
      </c>
      <c r="U39" s="96" t="n">
        <f aca="false">IF(IFERROR(INDEX(tsk_Name,GanttView[[#This Row],[_Row]])="",TRUE()),0,N(INDEX(tsk_Deadline,GanttView[[#This Row],[_Row]])))</f>
        <v>0</v>
      </c>
      <c r="V39" s="95" t="b">
        <f aca="false">IF(IFERROR(INDEX(tsk_Name,GanttView[[#This Row],[_Row]])="",TRUE()),FALSE(),INDEX(tsk_Critical,GanttView[[#This Row],[_Row]])="Yes")</f>
        <v>0</v>
      </c>
    </row>
    <row r="40" customFormat="false" ht="15" hidden="false" customHeight="false" outlineLevel="0" collapsed="false">
      <c r="A40" s="89" t="str">
        <f aca="false">IF(IFERROR(INDEX(tsk_Name,GanttView[[#This Row],[_Row]])="",TRUE()),"",INDEX(tsk_ID,GanttView[[#This Row],[_Row]]))</f>
        <v/>
      </c>
      <c r="B40" s="90" t="str">
        <f aca="false">IF(IFERROR(INDEX(tsk_Name,GanttView[[#This Row],[_Row]])="",TRUE()),"",REPT("    ",INDEX(tsk_Level,GanttView[[#This Row],[_Row]])-1)&amp;INDEX(tsk_Name,GanttView[[#This Row],[_Row]]))</f>
        <v/>
      </c>
      <c r="C40" s="91" t="str">
        <f aca="false">IF(IFERROR(INDEX(tsk_Name,GanttView[[#This Row],[_Row]])="",TRUE()),"",INDEX(tsk_FcStart,GanttView[[#This Row],[_Row]]))</f>
        <v/>
      </c>
      <c r="D40" s="91" t="str">
        <f aca="false">IF(IFERROR(INDEX(tsk_Name,GanttView[[#This Row],[_Row]])="",TRUE()),"",INDEX(tsk_FcFinish,GanttView[[#This Row],[_Row]]))</f>
        <v/>
      </c>
      <c r="E40" s="92" t="str">
        <f aca="false">IF(IFERROR(INDEX(tsk_Name,GanttView[[#This Row],[_Row]])="",TRUE()),"",INDEX(tsk_Progress,GanttView[[#This Row],[_Row]]))</f>
        <v/>
      </c>
      <c r="F40" s="90" t="str">
        <f aca="false">IF(IFERROR(INDEX(tsk_Name,GanttView[[#This Row],[_Row]])="",TRUE()),"",INDEX(tsk_ResourceNames,GanttView[[#This Row],[_Row]])&amp;"")</f>
        <v/>
      </c>
      <c r="G40" s="89" t="str">
        <f aca="false">IF(IFERROR(INDEX(tsk_Name,GanttView[[#This Row],[_Row]])="",TRUE()),"",INDEX(tsk_WBS,GanttView[[#This Row],[_Row]]))</f>
        <v/>
      </c>
      <c r="H40" s="89" t="str">
        <f aca="false">IF(IFERROR(INDEX(tsk_Name,GanttView[[#This Row],[_Row]])="",TRUE()),"",IF(INDEX(tsk_IsSummary,GanttView[[#This Row],[_Row]]),NETWORKDAYS.INTL(INDEX(tsk_FcStart,GanttView[[#This Row],[_Row]]),INDEX(tsk_FcFinish,GanttView[[#This Row],[_Row]]),WorkWeek,Holidays),N(INDEX(tsk_Duration,GanttView[[#This Row],[_Row]]))))</f>
        <v/>
      </c>
      <c r="I40" s="91" t="str">
        <f aca="false">IF(IFERROR(INDEX(tsk_Name,GanttView[[#This Row],[_Row]])="",TRUE()),"",INDEX(tsk_PlanStart,GanttView[[#This Row],[_Row]]))</f>
        <v/>
      </c>
      <c r="J40" s="91" t="str">
        <f aca="false">IF(IFERROR(INDEX(tsk_Name,GanttView[[#This Row],[_Row]])="",TRUE()),"",INDEX(tsk_PlanFinish,GanttView[[#This Row],[_Row]]))</f>
        <v/>
      </c>
      <c r="K40" s="93" t="str">
        <f aca="false">IF(IFERROR(INDEX(tsk_Name,GanttView[[#This Row],[_Row]])="",TRUE()),"",INDEX(tsk_Status,GanttView[[#This Row],[_Row]]))</f>
        <v/>
      </c>
      <c r="L40" s="93" t="str">
        <f aca="false">IF(IFERROR(INDEX(tsk_Name,GanttView[[#This Row],[_Row]])="",TRUE()),"",INDEX(tsk_Show,GanttView[[#This Row],[_Row]])&amp;"")</f>
        <v/>
      </c>
      <c r="M40" s="94" t="n">
        <f aca="false">ROW()-ROW(GanttView[[#Headers],[ID]])</f>
        <v>35</v>
      </c>
      <c r="N40" s="95" t="b">
        <f aca="false">IF(IFERROR(INDEX(tsk_Name,GanttView[[#This Row],[_Row]])="",TRUE()),FALSE(),INDEX(tsk_IsSummary,GanttView[[#This Row],[_Row]]))</f>
        <v>0</v>
      </c>
      <c r="O40" s="95" t="b">
        <f aca="false">IF(IFERROR(INDEX(tsk_Name,GanttView[[#This Row],[_Row]])="",TRUE()),FALSE(),AND(INDEX(tsk_IsLeaf,GanttView[[#This Row],[_Row]])=1,N(INDEX(tsk_Duration,GanttView[[#This Row],[_Row]]))=0))</f>
        <v>0</v>
      </c>
      <c r="P40" s="96" t="n">
        <f aca="false">IF(IFERROR(INDEX(tsk_Name,GanttView[[#This Row],[_Row]])="",TRUE()),0,IF(AND(INDEX(tsk_IsLeaf,GanttView[[#This Row],[_Row]])=1,NOT(GanttView[[#This Row],[_IsMilestone]]),N(GanttView[[#This Row],[%]])&gt;0),GanttView[[#This Row],[Start]],0))</f>
        <v>0</v>
      </c>
      <c r="Q40" s="96" t="n">
        <f aca="false">IF(GanttView[[#This Row],[_DoneFrom]]=0,0,IF(GanttView[[#This Row],[%]]&gt;=1,GanttView[[#This Row],[Finish]],MAX(GanttView[[#This Row],[_DoneFrom]],GanttView[[#This Row],[Start]]+ROUND((GanttView[[#This Row],[Finish]]-GanttView[[#This Row],[Start]]+1)*GanttView[[#This Row],[%]],0)-1)))</f>
        <v>0</v>
      </c>
      <c r="R40" s="96" t="n">
        <f aca="false">IF(IFERROR(INDEX(tsk_Name,GanttView[[#This Row],[_Row]])="",TRUE()),0,IF(OR(INDEX(tsk_IsLeaf,GanttView[[#This Row],[_Row]])&lt;&gt;1,GanttView[[#This Row],[_IsMilestone]],N(GanttView[[#This Row],[%]])&gt;=1),0,IF(GanttView[[#This Row],[_DoneTo]]&gt;0,GanttView[[#This Row],[_DoneTo]]+1,GanttView[[#This Row],[Start]])))</f>
        <v>0</v>
      </c>
      <c r="S40" s="96" t="n">
        <f aca="false">IF(GanttView[[#This Row],[_RemFrom]]=0,0,GanttView[[#This Row],[Finish]])</f>
        <v>0</v>
      </c>
      <c r="T40" s="95" t="b">
        <f aca="false">IF(IFERROR(INDEX(tsk_Name,GanttView[[#This Row],[_Row]])="",TRUE()),FALSE(),N(INDEX(tsk_Variance,GanttView[[#This Row],[_Row]]))&gt;0)</f>
        <v>0</v>
      </c>
      <c r="U40" s="96" t="n">
        <f aca="false">IF(IFERROR(INDEX(tsk_Name,GanttView[[#This Row],[_Row]])="",TRUE()),0,N(INDEX(tsk_Deadline,GanttView[[#This Row],[_Row]])))</f>
        <v>0</v>
      </c>
      <c r="V40" s="95" t="b">
        <f aca="false">IF(IFERROR(INDEX(tsk_Name,GanttView[[#This Row],[_Row]])="",TRUE()),FALSE(),INDEX(tsk_Critical,GanttView[[#This Row],[_Row]])="Yes")</f>
        <v>0</v>
      </c>
    </row>
    <row r="41" customFormat="false" ht="15" hidden="false" customHeight="false" outlineLevel="0" collapsed="false">
      <c r="A41" s="89" t="str">
        <f aca="false">IF(IFERROR(INDEX(tsk_Name,GanttView[[#This Row],[_Row]])="",TRUE()),"",INDEX(tsk_ID,GanttView[[#This Row],[_Row]]))</f>
        <v/>
      </c>
      <c r="B41" s="90" t="str">
        <f aca="false">IF(IFERROR(INDEX(tsk_Name,GanttView[[#This Row],[_Row]])="",TRUE()),"",REPT("    ",INDEX(tsk_Level,GanttView[[#This Row],[_Row]])-1)&amp;INDEX(tsk_Name,GanttView[[#This Row],[_Row]]))</f>
        <v/>
      </c>
      <c r="C41" s="91" t="str">
        <f aca="false">IF(IFERROR(INDEX(tsk_Name,GanttView[[#This Row],[_Row]])="",TRUE()),"",INDEX(tsk_FcStart,GanttView[[#This Row],[_Row]]))</f>
        <v/>
      </c>
      <c r="D41" s="91" t="str">
        <f aca="false">IF(IFERROR(INDEX(tsk_Name,GanttView[[#This Row],[_Row]])="",TRUE()),"",INDEX(tsk_FcFinish,GanttView[[#This Row],[_Row]]))</f>
        <v/>
      </c>
      <c r="E41" s="92" t="str">
        <f aca="false">IF(IFERROR(INDEX(tsk_Name,GanttView[[#This Row],[_Row]])="",TRUE()),"",INDEX(tsk_Progress,GanttView[[#This Row],[_Row]]))</f>
        <v/>
      </c>
      <c r="F41" s="90" t="str">
        <f aca="false">IF(IFERROR(INDEX(tsk_Name,GanttView[[#This Row],[_Row]])="",TRUE()),"",INDEX(tsk_ResourceNames,GanttView[[#This Row],[_Row]])&amp;"")</f>
        <v/>
      </c>
      <c r="G41" s="89" t="str">
        <f aca="false">IF(IFERROR(INDEX(tsk_Name,GanttView[[#This Row],[_Row]])="",TRUE()),"",INDEX(tsk_WBS,GanttView[[#This Row],[_Row]]))</f>
        <v/>
      </c>
      <c r="H41" s="89" t="str">
        <f aca="false">IF(IFERROR(INDEX(tsk_Name,GanttView[[#This Row],[_Row]])="",TRUE()),"",IF(INDEX(tsk_IsSummary,GanttView[[#This Row],[_Row]]),NETWORKDAYS.INTL(INDEX(tsk_FcStart,GanttView[[#This Row],[_Row]]),INDEX(tsk_FcFinish,GanttView[[#This Row],[_Row]]),WorkWeek,Holidays),N(INDEX(tsk_Duration,GanttView[[#This Row],[_Row]]))))</f>
        <v/>
      </c>
      <c r="I41" s="91" t="str">
        <f aca="false">IF(IFERROR(INDEX(tsk_Name,GanttView[[#This Row],[_Row]])="",TRUE()),"",INDEX(tsk_PlanStart,GanttView[[#This Row],[_Row]]))</f>
        <v/>
      </c>
      <c r="J41" s="91" t="str">
        <f aca="false">IF(IFERROR(INDEX(tsk_Name,GanttView[[#This Row],[_Row]])="",TRUE()),"",INDEX(tsk_PlanFinish,GanttView[[#This Row],[_Row]]))</f>
        <v/>
      </c>
      <c r="K41" s="93" t="str">
        <f aca="false">IF(IFERROR(INDEX(tsk_Name,GanttView[[#This Row],[_Row]])="",TRUE()),"",INDEX(tsk_Status,GanttView[[#This Row],[_Row]]))</f>
        <v/>
      </c>
      <c r="L41" s="93" t="str">
        <f aca="false">IF(IFERROR(INDEX(tsk_Name,GanttView[[#This Row],[_Row]])="",TRUE()),"",INDEX(tsk_Show,GanttView[[#This Row],[_Row]])&amp;"")</f>
        <v/>
      </c>
      <c r="M41" s="94" t="n">
        <f aca="false">ROW()-ROW(GanttView[[#Headers],[ID]])</f>
        <v>36</v>
      </c>
      <c r="N41" s="95" t="b">
        <f aca="false">IF(IFERROR(INDEX(tsk_Name,GanttView[[#This Row],[_Row]])="",TRUE()),FALSE(),INDEX(tsk_IsSummary,GanttView[[#This Row],[_Row]]))</f>
        <v>0</v>
      </c>
      <c r="O41" s="95" t="b">
        <f aca="false">IF(IFERROR(INDEX(tsk_Name,GanttView[[#This Row],[_Row]])="",TRUE()),FALSE(),AND(INDEX(tsk_IsLeaf,GanttView[[#This Row],[_Row]])=1,N(INDEX(tsk_Duration,GanttView[[#This Row],[_Row]]))=0))</f>
        <v>0</v>
      </c>
      <c r="P41" s="96" t="n">
        <f aca="false">IF(IFERROR(INDEX(tsk_Name,GanttView[[#This Row],[_Row]])="",TRUE()),0,IF(AND(INDEX(tsk_IsLeaf,GanttView[[#This Row],[_Row]])=1,NOT(GanttView[[#This Row],[_IsMilestone]]),N(GanttView[[#This Row],[%]])&gt;0),GanttView[[#This Row],[Start]],0))</f>
        <v>0</v>
      </c>
      <c r="Q41" s="96" t="n">
        <f aca="false">IF(GanttView[[#This Row],[_DoneFrom]]=0,0,IF(GanttView[[#This Row],[%]]&gt;=1,GanttView[[#This Row],[Finish]],MAX(GanttView[[#This Row],[_DoneFrom]],GanttView[[#This Row],[Start]]+ROUND((GanttView[[#This Row],[Finish]]-GanttView[[#This Row],[Start]]+1)*GanttView[[#This Row],[%]],0)-1)))</f>
        <v>0</v>
      </c>
      <c r="R41" s="96" t="n">
        <f aca="false">IF(IFERROR(INDEX(tsk_Name,GanttView[[#This Row],[_Row]])="",TRUE()),0,IF(OR(INDEX(tsk_IsLeaf,GanttView[[#This Row],[_Row]])&lt;&gt;1,GanttView[[#This Row],[_IsMilestone]],N(GanttView[[#This Row],[%]])&gt;=1),0,IF(GanttView[[#This Row],[_DoneTo]]&gt;0,GanttView[[#This Row],[_DoneTo]]+1,GanttView[[#This Row],[Start]])))</f>
        <v>0</v>
      </c>
      <c r="S41" s="96" t="n">
        <f aca="false">IF(GanttView[[#This Row],[_RemFrom]]=0,0,GanttView[[#This Row],[Finish]])</f>
        <v>0</v>
      </c>
      <c r="T41" s="95" t="b">
        <f aca="false">IF(IFERROR(INDEX(tsk_Name,GanttView[[#This Row],[_Row]])="",TRUE()),FALSE(),N(INDEX(tsk_Variance,GanttView[[#This Row],[_Row]]))&gt;0)</f>
        <v>0</v>
      </c>
      <c r="U41" s="96" t="n">
        <f aca="false">IF(IFERROR(INDEX(tsk_Name,GanttView[[#This Row],[_Row]])="",TRUE()),0,N(INDEX(tsk_Deadline,GanttView[[#This Row],[_Row]])))</f>
        <v>0</v>
      </c>
      <c r="V41" s="95" t="b">
        <f aca="false">IF(IFERROR(INDEX(tsk_Name,GanttView[[#This Row],[_Row]])="",TRUE()),FALSE(),INDEX(tsk_Critical,GanttView[[#This Row],[_Row]])="Yes")</f>
        <v>0</v>
      </c>
    </row>
    <row r="42" customFormat="false" ht="15" hidden="false" customHeight="false" outlineLevel="0" collapsed="false">
      <c r="A42" s="89" t="str">
        <f aca="false">IF(IFERROR(INDEX(tsk_Name,GanttView[[#This Row],[_Row]])="",TRUE()),"",INDEX(tsk_ID,GanttView[[#This Row],[_Row]]))</f>
        <v/>
      </c>
      <c r="B42" s="90" t="str">
        <f aca="false">IF(IFERROR(INDEX(tsk_Name,GanttView[[#This Row],[_Row]])="",TRUE()),"",REPT("    ",INDEX(tsk_Level,GanttView[[#This Row],[_Row]])-1)&amp;INDEX(tsk_Name,GanttView[[#This Row],[_Row]]))</f>
        <v/>
      </c>
      <c r="C42" s="91" t="str">
        <f aca="false">IF(IFERROR(INDEX(tsk_Name,GanttView[[#This Row],[_Row]])="",TRUE()),"",INDEX(tsk_FcStart,GanttView[[#This Row],[_Row]]))</f>
        <v/>
      </c>
      <c r="D42" s="91" t="str">
        <f aca="false">IF(IFERROR(INDEX(tsk_Name,GanttView[[#This Row],[_Row]])="",TRUE()),"",INDEX(tsk_FcFinish,GanttView[[#This Row],[_Row]]))</f>
        <v/>
      </c>
      <c r="E42" s="92" t="str">
        <f aca="false">IF(IFERROR(INDEX(tsk_Name,GanttView[[#This Row],[_Row]])="",TRUE()),"",INDEX(tsk_Progress,GanttView[[#This Row],[_Row]]))</f>
        <v/>
      </c>
      <c r="F42" s="90" t="str">
        <f aca="false">IF(IFERROR(INDEX(tsk_Name,GanttView[[#This Row],[_Row]])="",TRUE()),"",INDEX(tsk_ResourceNames,GanttView[[#This Row],[_Row]])&amp;"")</f>
        <v/>
      </c>
      <c r="G42" s="89" t="str">
        <f aca="false">IF(IFERROR(INDEX(tsk_Name,GanttView[[#This Row],[_Row]])="",TRUE()),"",INDEX(tsk_WBS,GanttView[[#This Row],[_Row]]))</f>
        <v/>
      </c>
      <c r="H42" s="89" t="str">
        <f aca="false">IF(IFERROR(INDEX(tsk_Name,GanttView[[#This Row],[_Row]])="",TRUE()),"",IF(INDEX(tsk_IsSummary,GanttView[[#This Row],[_Row]]),NETWORKDAYS.INTL(INDEX(tsk_FcStart,GanttView[[#This Row],[_Row]]),INDEX(tsk_FcFinish,GanttView[[#This Row],[_Row]]),WorkWeek,Holidays),N(INDEX(tsk_Duration,GanttView[[#This Row],[_Row]]))))</f>
        <v/>
      </c>
      <c r="I42" s="91" t="str">
        <f aca="false">IF(IFERROR(INDEX(tsk_Name,GanttView[[#This Row],[_Row]])="",TRUE()),"",INDEX(tsk_PlanStart,GanttView[[#This Row],[_Row]]))</f>
        <v/>
      </c>
      <c r="J42" s="91" t="str">
        <f aca="false">IF(IFERROR(INDEX(tsk_Name,GanttView[[#This Row],[_Row]])="",TRUE()),"",INDEX(tsk_PlanFinish,GanttView[[#This Row],[_Row]]))</f>
        <v/>
      </c>
      <c r="K42" s="93" t="str">
        <f aca="false">IF(IFERROR(INDEX(tsk_Name,GanttView[[#This Row],[_Row]])="",TRUE()),"",INDEX(tsk_Status,GanttView[[#This Row],[_Row]]))</f>
        <v/>
      </c>
      <c r="L42" s="93" t="str">
        <f aca="false">IF(IFERROR(INDEX(tsk_Name,GanttView[[#This Row],[_Row]])="",TRUE()),"",INDEX(tsk_Show,GanttView[[#This Row],[_Row]])&amp;"")</f>
        <v/>
      </c>
      <c r="M42" s="94" t="n">
        <f aca="false">ROW()-ROW(GanttView[[#Headers],[ID]])</f>
        <v>37</v>
      </c>
      <c r="N42" s="95" t="b">
        <f aca="false">IF(IFERROR(INDEX(tsk_Name,GanttView[[#This Row],[_Row]])="",TRUE()),FALSE(),INDEX(tsk_IsSummary,GanttView[[#This Row],[_Row]]))</f>
        <v>0</v>
      </c>
      <c r="O42" s="95" t="b">
        <f aca="false">IF(IFERROR(INDEX(tsk_Name,GanttView[[#This Row],[_Row]])="",TRUE()),FALSE(),AND(INDEX(tsk_IsLeaf,GanttView[[#This Row],[_Row]])=1,N(INDEX(tsk_Duration,GanttView[[#This Row],[_Row]]))=0))</f>
        <v>0</v>
      </c>
      <c r="P42" s="96" t="n">
        <f aca="false">IF(IFERROR(INDEX(tsk_Name,GanttView[[#This Row],[_Row]])="",TRUE()),0,IF(AND(INDEX(tsk_IsLeaf,GanttView[[#This Row],[_Row]])=1,NOT(GanttView[[#This Row],[_IsMilestone]]),N(GanttView[[#This Row],[%]])&gt;0),GanttView[[#This Row],[Start]],0))</f>
        <v>0</v>
      </c>
      <c r="Q42" s="96" t="n">
        <f aca="false">IF(GanttView[[#This Row],[_DoneFrom]]=0,0,IF(GanttView[[#This Row],[%]]&gt;=1,GanttView[[#This Row],[Finish]],MAX(GanttView[[#This Row],[_DoneFrom]],GanttView[[#This Row],[Start]]+ROUND((GanttView[[#This Row],[Finish]]-GanttView[[#This Row],[Start]]+1)*GanttView[[#This Row],[%]],0)-1)))</f>
        <v>0</v>
      </c>
      <c r="R42" s="96" t="n">
        <f aca="false">IF(IFERROR(INDEX(tsk_Name,GanttView[[#This Row],[_Row]])="",TRUE()),0,IF(OR(INDEX(tsk_IsLeaf,GanttView[[#This Row],[_Row]])&lt;&gt;1,GanttView[[#This Row],[_IsMilestone]],N(GanttView[[#This Row],[%]])&gt;=1),0,IF(GanttView[[#This Row],[_DoneTo]]&gt;0,GanttView[[#This Row],[_DoneTo]]+1,GanttView[[#This Row],[Start]])))</f>
        <v>0</v>
      </c>
      <c r="S42" s="96" t="n">
        <f aca="false">IF(GanttView[[#This Row],[_RemFrom]]=0,0,GanttView[[#This Row],[Finish]])</f>
        <v>0</v>
      </c>
      <c r="T42" s="95" t="b">
        <f aca="false">IF(IFERROR(INDEX(tsk_Name,GanttView[[#This Row],[_Row]])="",TRUE()),FALSE(),N(INDEX(tsk_Variance,GanttView[[#This Row],[_Row]]))&gt;0)</f>
        <v>0</v>
      </c>
      <c r="U42" s="96" t="n">
        <f aca="false">IF(IFERROR(INDEX(tsk_Name,GanttView[[#This Row],[_Row]])="",TRUE()),0,N(INDEX(tsk_Deadline,GanttView[[#This Row],[_Row]])))</f>
        <v>0</v>
      </c>
      <c r="V42" s="95" t="b">
        <f aca="false">IF(IFERROR(INDEX(tsk_Name,GanttView[[#This Row],[_Row]])="",TRUE()),FALSE(),INDEX(tsk_Critical,GanttView[[#This Row],[_Row]])="Yes")</f>
        <v>0</v>
      </c>
    </row>
    <row r="43" customFormat="false" ht="15" hidden="false" customHeight="false" outlineLevel="0" collapsed="false">
      <c r="A43" s="89" t="str">
        <f aca="false">IF(IFERROR(INDEX(tsk_Name,GanttView[[#This Row],[_Row]])="",TRUE()),"",INDEX(tsk_ID,GanttView[[#This Row],[_Row]]))</f>
        <v/>
      </c>
      <c r="B43" s="90" t="str">
        <f aca="false">IF(IFERROR(INDEX(tsk_Name,GanttView[[#This Row],[_Row]])="",TRUE()),"",REPT("    ",INDEX(tsk_Level,GanttView[[#This Row],[_Row]])-1)&amp;INDEX(tsk_Name,GanttView[[#This Row],[_Row]]))</f>
        <v/>
      </c>
      <c r="C43" s="91" t="str">
        <f aca="false">IF(IFERROR(INDEX(tsk_Name,GanttView[[#This Row],[_Row]])="",TRUE()),"",INDEX(tsk_FcStart,GanttView[[#This Row],[_Row]]))</f>
        <v/>
      </c>
      <c r="D43" s="91" t="str">
        <f aca="false">IF(IFERROR(INDEX(tsk_Name,GanttView[[#This Row],[_Row]])="",TRUE()),"",INDEX(tsk_FcFinish,GanttView[[#This Row],[_Row]]))</f>
        <v/>
      </c>
      <c r="E43" s="92" t="str">
        <f aca="false">IF(IFERROR(INDEX(tsk_Name,GanttView[[#This Row],[_Row]])="",TRUE()),"",INDEX(tsk_Progress,GanttView[[#This Row],[_Row]]))</f>
        <v/>
      </c>
      <c r="F43" s="90" t="str">
        <f aca="false">IF(IFERROR(INDEX(tsk_Name,GanttView[[#This Row],[_Row]])="",TRUE()),"",INDEX(tsk_ResourceNames,GanttView[[#This Row],[_Row]])&amp;"")</f>
        <v/>
      </c>
      <c r="G43" s="89" t="str">
        <f aca="false">IF(IFERROR(INDEX(tsk_Name,GanttView[[#This Row],[_Row]])="",TRUE()),"",INDEX(tsk_WBS,GanttView[[#This Row],[_Row]]))</f>
        <v/>
      </c>
      <c r="H43" s="89" t="str">
        <f aca="false">IF(IFERROR(INDEX(tsk_Name,GanttView[[#This Row],[_Row]])="",TRUE()),"",IF(INDEX(tsk_IsSummary,GanttView[[#This Row],[_Row]]),NETWORKDAYS.INTL(INDEX(tsk_FcStart,GanttView[[#This Row],[_Row]]),INDEX(tsk_FcFinish,GanttView[[#This Row],[_Row]]),WorkWeek,Holidays),N(INDEX(tsk_Duration,GanttView[[#This Row],[_Row]]))))</f>
        <v/>
      </c>
      <c r="I43" s="91" t="str">
        <f aca="false">IF(IFERROR(INDEX(tsk_Name,GanttView[[#This Row],[_Row]])="",TRUE()),"",INDEX(tsk_PlanStart,GanttView[[#This Row],[_Row]]))</f>
        <v/>
      </c>
      <c r="J43" s="91" t="str">
        <f aca="false">IF(IFERROR(INDEX(tsk_Name,GanttView[[#This Row],[_Row]])="",TRUE()),"",INDEX(tsk_PlanFinish,GanttView[[#This Row],[_Row]]))</f>
        <v/>
      </c>
      <c r="K43" s="93" t="str">
        <f aca="false">IF(IFERROR(INDEX(tsk_Name,GanttView[[#This Row],[_Row]])="",TRUE()),"",INDEX(tsk_Status,GanttView[[#This Row],[_Row]]))</f>
        <v/>
      </c>
      <c r="L43" s="93" t="str">
        <f aca="false">IF(IFERROR(INDEX(tsk_Name,GanttView[[#This Row],[_Row]])="",TRUE()),"",INDEX(tsk_Show,GanttView[[#This Row],[_Row]])&amp;"")</f>
        <v/>
      </c>
      <c r="M43" s="94" t="n">
        <f aca="false">ROW()-ROW(GanttView[[#Headers],[ID]])</f>
        <v>38</v>
      </c>
      <c r="N43" s="95" t="b">
        <f aca="false">IF(IFERROR(INDEX(tsk_Name,GanttView[[#This Row],[_Row]])="",TRUE()),FALSE(),INDEX(tsk_IsSummary,GanttView[[#This Row],[_Row]]))</f>
        <v>0</v>
      </c>
      <c r="O43" s="95" t="b">
        <f aca="false">IF(IFERROR(INDEX(tsk_Name,GanttView[[#This Row],[_Row]])="",TRUE()),FALSE(),AND(INDEX(tsk_IsLeaf,GanttView[[#This Row],[_Row]])=1,N(INDEX(tsk_Duration,GanttView[[#This Row],[_Row]]))=0))</f>
        <v>0</v>
      </c>
      <c r="P43" s="96" t="n">
        <f aca="false">IF(IFERROR(INDEX(tsk_Name,GanttView[[#This Row],[_Row]])="",TRUE()),0,IF(AND(INDEX(tsk_IsLeaf,GanttView[[#This Row],[_Row]])=1,NOT(GanttView[[#This Row],[_IsMilestone]]),N(GanttView[[#This Row],[%]])&gt;0),GanttView[[#This Row],[Start]],0))</f>
        <v>0</v>
      </c>
      <c r="Q43" s="96" t="n">
        <f aca="false">IF(GanttView[[#This Row],[_DoneFrom]]=0,0,IF(GanttView[[#This Row],[%]]&gt;=1,GanttView[[#This Row],[Finish]],MAX(GanttView[[#This Row],[_DoneFrom]],GanttView[[#This Row],[Start]]+ROUND((GanttView[[#This Row],[Finish]]-GanttView[[#This Row],[Start]]+1)*GanttView[[#This Row],[%]],0)-1)))</f>
        <v>0</v>
      </c>
      <c r="R43" s="96" t="n">
        <f aca="false">IF(IFERROR(INDEX(tsk_Name,GanttView[[#This Row],[_Row]])="",TRUE()),0,IF(OR(INDEX(tsk_IsLeaf,GanttView[[#This Row],[_Row]])&lt;&gt;1,GanttView[[#This Row],[_IsMilestone]],N(GanttView[[#This Row],[%]])&gt;=1),0,IF(GanttView[[#This Row],[_DoneTo]]&gt;0,GanttView[[#This Row],[_DoneTo]]+1,GanttView[[#This Row],[Start]])))</f>
        <v>0</v>
      </c>
      <c r="S43" s="96" t="n">
        <f aca="false">IF(GanttView[[#This Row],[_RemFrom]]=0,0,GanttView[[#This Row],[Finish]])</f>
        <v>0</v>
      </c>
      <c r="T43" s="95" t="b">
        <f aca="false">IF(IFERROR(INDEX(tsk_Name,GanttView[[#This Row],[_Row]])="",TRUE()),FALSE(),N(INDEX(tsk_Variance,GanttView[[#This Row],[_Row]]))&gt;0)</f>
        <v>0</v>
      </c>
      <c r="U43" s="96" t="n">
        <f aca="false">IF(IFERROR(INDEX(tsk_Name,GanttView[[#This Row],[_Row]])="",TRUE()),0,N(INDEX(tsk_Deadline,GanttView[[#This Row],[_Row]])))</f>
        <v>0</v>
      </c>
      <c r="V43" s="95" t="b">
        <f aca="false">IF(IFERROR(INDEX(tsk_Name,GanttView[[#This Row],[_Row]])="",TRUE()),FALSE(),INDEX(tsk_Critical,GanttView[[#This Row],[_Row]])="Yes")</f>
        <v>0</v>
      </c>
    </row>
    <row r="44" customFormat="false" ht="15" hidden="false" customHeight="false" outlineLevel="0" collapsed="false">
      <c r="A44" s="89" t="str">
        <f aca="false">IF(IFERROR(INDEX(tsk_Name,GanttView[[#This Row],[_Row]])="",TRUE()),"",INDEX(tsk_ID,GanttView[[#This Row],[_Row]]))</f>
        <v/>
      </c>
      <c r="B44" s="90" t="str">
        <f aca="false">IF(IFERROR(INDEX(tsk_Name,GanttView[[#This Row],[_Row]])="",TRUE()),"",REPT("    ",INDEX(tsk_Level,GanttView[[#This Row],[_Row]])-1)&amp;INDEX(tsk_Name,GanttView[[#This Row],[_Row]]))</f>
        <v/>
      </c>
      <c r="C44" s="91" t="str">
        <f aca="false">IF(IFERROR(INDEX(tsk_Name,GanttView[[#This Row],[_Row]])="",TRUE()),"",INDEX(tsk_FcStart,GanttView[[#This Row],[_Row]]))</f>
        <v/>
      </c>
      <c r="D44" s="91" t="str">
        <f aca="false">IF(IFERROR(INDEX(tsk_Name,GanttView[[#This Row],[_Row]])="",TRUE()),"",INDEX(tsk_FcFinish,GanttView[[#This Row],[_Row]]))</f>
        <v/>
      </c>
      <c r="E44" s="92" t="str">
        <f aca="false">IF(IFERROR(INDEX(tsk_Name,GanttView[[#This Row],[_Row]])="",TRUE()),"",INDEX(tsk_Progress,GanttView[[#This Row],[_Row]]))</f>
        <v/>
      </c>
      <c r="F44" s="90" t="str">
        <f aca="false">IF(IFERROR(INDEX(tsk_Name,GanttView[[#This Row],[_Row]])="",TRUE()),"",INDEX(tsk_ResourceNames,GanttView[[#This Row],[_Row]])&amp;"")</f>
        <v/>
      </c>
      <c r="G44" s="89" t="str">
        <f aca="false">IF(IFERROR(INDEX(tsk_Name,GanttView[[#This Row],[_Row]])="",TRUE()),"",INDEX(tsk_WBS,GanttView[[#This Row],[_Row]]))</f>
        <v/>
      </c>
      <c r="H44" s="89" t="str">
        <f aca="false">IF(IFERROR(INDEX(tsk_Name,GanttView[[#This Row],[_Row]])="",TRUE()),"",IF(INDEX(tsk_IsSummary,GanttView[[#This Row],[_Row]]),NETWORKDAYS.INTL(INDEX(tsk_FcStart,GanttView[[#This Row],[_Row]]),INDEX(tsk_FcFinish,GanttView[[#This Row],[_Row]]),WorkWeek,Holidays),N(INDEX(tsk_Duration,GanttView[[#This Row],[_Row]]))))</f>
        <v/>
      </c>
      <c r="I44" s="91" t="str">
        <f aca="false">IF(IFERROR(INDEX(tsk_Name,GanttView[[#This Row],[_Row]])="",TRUE()),"",INDEX(tsk_PlanStart,GanttView[[#This Row],[_Row]]))</f>
        <v/>
      </c>
      <c r="J44" s="91" t="str">
        <f aca="false">IF(IFERROR(INDEX(tsk_Name,GanttView[[#This Row],[_Row]])="",TRUE()),"",INDEX(tsk_PlanFinish,GanttView[[#This Row],[_Row]]))</f>
        <v/>
      </c>
      <c r="K44" s="93" t="str">
        <f aca="false">IF(IFERROR(INDEX(tsk_Name,GanttView[[#This Row],[_Row]])="",TRUE()),"",INDEX(tsk_Status,GanttView[[#This Row],[_Row]]))</f>
        <v/>
      </c>
      <c r="L44" s="93" t="str">
        <f aca="false">IF(IFERROR(INDEX(tsk_Name,GanttView[[#This Row],[_Row]])="",TRUE()),"",INDEX(tsk_Show,GanttView[[#This Row],[_Row]])&amp;"")</f>
        <v/>
      </c>
      <c r="M44" s="94" t="n">
        <f aca="false">ROW()-ROW(GanttView[[#Headers],[ID]])</f>
        <v>39</v>
      </c>
      <c r="N44" s="95" t="b">
        <f aca="false">IF(IFERROR(INDEX(tsk_Name,GanttView[[#This Row],[_Row]])="",TRUE()),FALSE(),INDEX(tsk_IsSummary,GanttView[[#This Row],[_Row]]))</f>
        <v>0</v>
      </c>
      <c r="O44" s="95" t="b">
        <f aca="false">IF(IFERROR(INDEX(tsk_Name,GanttView[[#This Row],[_Row]])="",TRUE()),FALSE(),AND(INDEX(tsk_IsLeaf,GanttView[[#This Row],[_Row]])=1,N(INDEX(tsk_Duration,GanttView[[#This Row],[_Row]]))=0))</f>
        <v>0</v>
      </c>
      <c r="P44" s="96" t="n">
        <f aca="false">IF(IFERROR(INDEX(tsk_Name,GanttView[[#This Row],[_Row]])="",TRUE()),0,IF(AND(INDEX(tsk_IsLeaf,GanttView[[#This Row],[_Row]])=1,NOT(GanttView[[#This Row],[_IsMilestone]]),N(GanttView[[#This Row],[%]])&gt;0),GanttView[[#This Row],[Start]],0))</f>
        <v>0</v>
      </c>
      <c r="Q44" s="96" t="n">
        <f aca="false">IF(GanttView[[#This Row],[_DoneFrom]]=0,0,IF(GanttView[[#This Row],[%]]&gt;=1,GanttView[[#This Row],[Finish]],MAX(GanttView[[#This Row],[_DoneFrom]],GanttView[[#This Row],[Start]]+ROUND((GanttView[[#This Row],[Finish]]-GanttView[[#This Row],[Start]]+1)*GanttView[[#This Row],[%]],0)-1)))</f>
        <v>0</v>
      </c>
      <c r="R44" s="96" t="n">
        <f aca="false">IF(IFERROR(INDEX(tsk_Name,GanttView[[#This Row],[_Row]])="",TRUE()),0,IF(OR(INDEX(tsk_IsLeaf,GanttView[[#This Row],[_Row]])&lt;&gt;1,GanttView[[#This Row],[_IsMilestone]],N(GanttView[[#This Row],[%]])&gt;=1),0,IF(GanttView[[#This Row],[_DoneTo]]&gt;0,GanttView[[#This Row],[_DoneTo]]+1,GanttView[[#This Row],[Start]])))</f>
        <v>0</v>
      </c>
      <c r="S44" s="96" t="n">
        <f aca="false">IF(GanttView[[#This Row],[_RemFrom]]=0,0,GanttView[[#This Row],[Finish]])</f>
        <v>0</v>
      </c>
      <c r="T44" s="95" t="b">
        <f aca="false">IF(IFERROR(INDEX(tsk_Name,GanttView[[#This Row],[_Row]])="",TRUE()),FALSE(),N(INDEX(tsk_Variance,GanttView[[#This Row],[_Row]]))&gt;0)</f>
        <v>0</v>
      </c>
      <c r="U44" s="96" t="n">
        <f aca="false">IF(IFERROR(INDEX(tsk_Name,GanttView[[#This Row],[_Row]])="",TRUE()),0,N(INDEX(tsk_Deadline,GanttView[[#This Row],[_Row]])))</f>
        <v>0</v>
      </c>
      <c r="V44" s="95" t="b">
        <f aca="false">IF(IFERROR(INDEX(tsk_Name,GanttView[[#This Row],[_Row]])="",TRUE()),FALSE(),INDEX(tsk_Critical,GanttView[[#This Row],[_Row]])="Yes")</f>
        <v>0</v>
      </c>
    </row>
    <row r="45" customFormat="false" ht="15" hidden="false" customHeight="false" outlineLevel="0" collapsed="false">
      <c r="A45" s="89" t="str">
        <f aca="false">IF(IFERROR(INDEX(tsk_Name,GanttView[[#This Row],[_Row]])="",TRUE()),"",INDEX(tsk_ID,GanttView[[#This Row],[_Row]]))</f>
        <v/>
      </c>
      <c r="B45" s="90" t="str">
        <f aca="false">IF(IFERROR(INDEX(tsk_Name,GanttView[[#This Row],[_Row]])="",TRUE()),"",REPT("    ",INDEX(tsk_Level,GanttView[[#This Row],[_Row]])-1)&amp;INDEX(tsk_Name,GanttView[[#This Row],[_Row]]))</f>
        <v/>
      </c>
      <c r="C45" s="91" t="str">
        <f aca="false">IF(IFERROR(INDEX(tsk_Name,GanttView[[#This Row],[_Row]])="",TRUE()),"",INDEX(tsk_FcStart,GanttView[[#This Row],[_Row]]))</f>
        <v/>
      </c>
      <c r="D45" s="91" t="str">
        <f aca="false">IF(IFERROR(INDEX(tsk_Name,GanttView[[#This Row],[_Row]])="",TRUE()),"",INDEX(tsk_FcFinish,GanttView[[#This Row],[_Row]]))</f>
        <v/>
      </c>
      <c r="E45" s="92" t="str">
        <f aca="false">IF(IFERROR(INDEX(tsk_Name,GanttView[[#This Row],[_Row]])="",TRUE()),"",INDEX(tsk_Progress,GanttView[[#This Row],[_Row]]))</f>
        <v/>
      </c>
      <c r="F45" s="90" t="str">
        <f aca="false">IF(IFERROR(INDEX(tsk_Name,GanttView[[#This Row],[_Row]])="",TRUE()),"",INDEX(tsk_ResourceNames,GanttView[[#This Row],[_Row]])&amp;"")</f>
        <v/>
      </c>
      <c r="G45" s="89" t="str">
        <f aca="false">IF(IFERROR(INDEX(tsk_Name,GanttView[[#This Row],[_Row]])="",TRUE()),"",INDEX(tsk_WBS,GanttView[[#This Row],[_Row]]))</f>
        <v/>
      </c>
      <c r="H45" s="89" t="str">
        <f aca="false">IF(IFERROR(INDEX(tsk_Name,GanttView[[#This Row],[_Row]])="",TRUE()),"",IF(INDEX(tsk_IsSummary,GanttView[[#This Row],[_Row]]),NETWORKDAYS.INTL(INDEX(tsk_FcStart,GanttView[[#This Row],[_Row]]),INDEX(tsk_FcFinish,GanttView[[#This Row],[_Row]]),WorkWeek,Holidays),N(INDEX(tsk_Duration,GanttView[[#This Row],[_Row]]))))</f>
        <v/>
      </c>
      <c r="I45" s="91" t="str">
        <f aca="false">IF(IFERROR(INDEX(tsk_Name,GanttView[[#This Row],[_Row]])="",TRUE()),"",INDEX(tsk_PlanStart,GanttView[[#This Row],[_Row]]))</f>
        <v/>
      </c>
      <c r="J45" s="91" t="str">
        <f aca="false">IF(IFERROR(INDEX(tsk_Name,GanttView[[#This Row],[_Row]])="",TRUE()),"",INDEX(tsk_PlanFinish,GanttView[[#This Row],[_Row]]))</f>
        <v/>
      </c>
      <c r="K45" s="93" t="str">
        <f aca="false">IF(IFERROR(INDEX(tsk_Name,GanttView[[#This Row],[_Row]])="",TRUE()),"",INDEX(tsk_Status,GanttView[[#This Row],[_Row]]))</f>
        <v/>
      </c>
      <c r="L45" s="93" t="str">
        <f aca="false">IF(IFERROR(INDEX(tsk_Name,GanttView[[#This Row],[_Row]])="",TRUE()),"",INDEX(tsk_Show,GanttView[[#This Row],[_Row]])&amp;"")</f>
        <v/>
      </c>
      <c r="M45" s="94" t="n">
        <f aca="false">ROW()-ROW(GanttView[[#Headers],[ID]])</f>
        <v>40</v>
      </c>
      <c r="N45" s="95" t="b">
        <f aca="false">IF(IFERROR(INDEX(tsk_Name,GanttView[[#This Row],[_Row]])="",TRUE()),FALSE(),INDEX(tsk_IsSummary,GanttView[[#This Row],[_Row]]))</f>
        <v>0</v>
      </c>
      <c r="O45" s="95" t="b">
        <f aca="false">IF(IFERROR(INDEX(tsk_Name,GanttView[[#This Row],[_Row]])="",TRUE()),FALSE(),AND(INDEX(tsk_IsLeaf,GanttView[[#This Row],[_Row]])=1,N(INDEX(tsk_Duration,GanttView[[#This Row],[_Row]]))=0))</f>
        <v>0</v>
      </c>
      <c r="P45" s="96" t="n">
        <f aca="false">IF(IFERROR(INDEX(tsk_Name,GanttView[[#This Row],[_Row]])="",TRUE()),0,IF(AND(INDEX(tsk_IsLeaf,GanttView[[#This Row],[_Row]])=1,NOT(GanttView[[#This Row],[_IsMilestone]]),N(GanttView[[#This Row],[%]])&gt;0),GanttView[[#This Row],[Start]],0))</f>
        <v>0</v>
      </c>
      <c r="Q45" s="96" t="n">
        <f aca="false">IF(GanttView[[#This Row],[_DoneFrom]]=0,0,IF(GanttView[[#This Row],[%]]&gt;=1,GanttView[[#This Row],[Finish]],MAX(GanttView[[#This Row],[_DoneFrom]],GanttView[[#This Row],[Start]]+ROUND((GanttView[[#This Row],[Finish]]-GanttView[[#This Row],[Start]]+1)*GanttView[[#This Row],[%]],0)-1)))</f>
        <v>0</v>
      </c>
      <c r="R45" s="96" t="n">
        <f aca="false">IF(IFERROR(INDEX(tsk_Name,GanttView[[#This Row],[_Row]])="",TRUE()),0,IF(OR(INDEX(tsk_IsLeaf,GanttView[[#This Row],[_Row]])&lt;&gt;1,GanttView[[#This Row],[_IsMilestone]],N(GanttView[[#This Row],[%]])&gt;=1),0,IF(GanttView[[#This Row],[_DoneTo]]&gt;0,GanttView[[#This Row],[_DoneTo]]+1,GanttView[[#This Row],[Start]])))</f>
        <v>0</v>
      </c>
      <c r="S45" s="96" t="n">
        <f aca="false">IF(GanttView[[#This Row],[_RemFrom]]=0,0,GanttView[[#This Row],[Finish]])</f>
        <v>0</v>
      </c>
      <c r="T45" s="95" t="b">
        <f aca="false">IF(IFERROR(INDEX(tsk_Name,GanttView[[#This Row],[_Row]])="",TRUE()),FALSE(),N(INDEX(tsk_Variance,GanttView[[#This Row],[_Row]]))&gt;0)</f>
        <v>0</v>
      </c>
      <c r="U45" s="96" t="n">
        <f aca="false">IF(IFERROR(INDEX(tsk_Name,GanttView[[#This Row],[_Row]])="",TRUE()),0,N(INDEX(tsk_Deadline,GanttView[[#This Row],[_Row]])))</f>
        <v>0</v>
      </c>
      <c r="V45" s="95" t="b">
        <f aca="false">IF(IFERROR(INDEX(tsk_Name,GanttView[[#This Row],[_Row]])="",TRUE()),FALSE(),INDEX(tsk_Critical,GanttView[[#This Row],[_Row]])="Yes")</f>
        <v>0</v>
      </c>
    </row>
    <row r="46" customFormat="false" ht="15" hidden="false" customHeight="false" outlineLevel="0" collapsed="false">
      <c r="A46" s="89" t="str">
        <f aca="false">IF(IFERROR(INDEX(tsk_Name,GanttView[[#This Row],[_Row]])="",TRUE()),"",INDEX(tsk_ID,GanttView[[#This Row],[_Row]]))</f>
        <v/>
      </c>
      <c r="B46" s="90" t="str">
        <f aca="false">IF(IFERROR(INDEX(tsk_Name,GanttView[[#This Row],[_Row]])="",TRUE()),"",REPT("    ",INDEX(tsk_Level,GanttView[[#This Row],[_Row]])-1)&amp;INDEX(tsk_Name,GanttView[[#This Row],[_Row]]))</f>
        <v/>
      </c>
      <c r="C46" s="91" t="str">
        <f aca="false">IF(IFERROR(INDEX(tsk_Name,GanttView[[#This Row],[_Row]])="",TRUE()),"",INDEX(tsk_FcStart,GanttView[[#This Row],[_Row]]))</f>
        <v/>
      </c>
      <c r="D46" s="91" t="str">
        <f aca="false">IF(IFERROR(INDEX(tsk_Name,GanttView[[#This Row],[_Row]])="",TRUE()),"",INDEX(tsk_FcFinish,GanttView[[#This Row],[_Row]]))</f>
        <v/>
      </c>
      <c r="E46" s="92" t="str">
        <f aca="false">IF(IFERROR(INDEX(tsk_Name,GanttView[[#This Row],[_Row]])="",TRUE()),"",INDEX(tsk_Progress,GanttView[[#This Row],[_Row]]))</f>
        <v/>
      </c>
      <c r="F46" s="90" t="str">
        <f aca="false">IF(IFERROR(INDEX(tsk_Name,GanttView[[#This Row],[_Row]])="",TRUE()),"",INDEX(tsk_ResourceNames,GanttView[[#This Row],[_Row]])&amp;"")</f>
        <v/>
      </c>
      <c r="G46" s="89" t="str">
        <f aca="false">IF(IFERROR(INDEX(tsk_Name,GanttView[[#This Row],[_Row]])="",TRUE()),"",INDEX(tsk_WBS,GanttView[[#This Row],[_Row]]))</f>
        <v/>
      </c>
      <c r="H46" s="89" t="str">
        <f aca="false">IF(IFERROR(INDEX(tsk_Name,GanttView[[#This Row],[_Row]])="",TRUE()),"",IF(INDEX(tsk_IsSummary,GanttView[[#This Row],[_Row]]),NETWORKDAYS.INTL(INDEX(tsk_FcStart,GanttView[[#This Row],[_Row]]),INDEX(tsk_FcFinish,GanttView[[#This Row],[_Row]]),WorkWeek,Holidays),N(INDEX(tsk_Duration,GanttView[[#This Row],[_Row]]))))</f>
        <v/>
      </c>
      <c r="I46" s="91" t="str">
        <f aca="false">IF(IFERROR(INDEX(tsk_Name,GanttView[[#This Row],[_Row]])="",TRUE()),"",INDEX(tsk_PlanStart,GanttView[[#This Row],[_Row]]))</f>
        <v/>
      </c>
      <c r="J46" s="91" t="str">
        <f aca="false">IF(IFERROR(INDEX(tsk_Name,GanttView[[#This Row],[_Row]])="",TRUE()),"",INDEX(tsk_PlanFinish,GanttView[[#This Row],[_Row]]))</f>
        <v/>
      </c>
      <c r="K46" s="93" t="str">
        <f aca="false">IF(IFERROR(INDEX(tsk_Name,GanttView[[#This Row],[_Row]])="",TRUE()),"",INDEX(tsk_Status,GanttView[[#This Row],[_Row]]))</f>
        <v/>
      </c>
      <c r="L46" s="93" t="str">
        <f aca="false">IF(IFERROR(INDEX(tsk_Name,GanttView[[#This Row],[_Row]])="",TRUE()),"",INDEX(tsk_Show,GanttView[[#This Row],[_Row]])&amp;"")</f>
        <v/>
      </c>
      <c r="M46" s="94" t="n">
        <f aca="false">ROW()-ROW(GanttView[[#Headers],[ID]])</f>
        <v>41</v>
      </c>
      <c r="N46" s="95" t="b">
        <f aca="false">IF(IFERROR(INDEX(tsk_Name,GanttView[[#This Row],[_Row]])="",TRUE()),FALSE(),INDEX(tsk_IsSummary,GanttView[[#This Row],[_Row]]))</f>
        <v>0</v>
      </c>
      <c r="O46" s="95" t="b">
        <f aca="false">IF(IFERROR(INDEX(tsk_Name,GanttView[[#This Row],[_Row]])="",TRUE()),FALSE(),AND(INDEX(tsk_IsLeaf,GanttView[[#This Row],[_Row]])=1,N(INDEX(tsk_Duration,GanttView[[#This Row],[_Row]]))=0))</f>
        <v>0</v>
      </c>
      <c r="P46" s="96" t="n">
        <f aca="false">IF(IFERROR(INDEX(tsk_Name,GanttView[[#This Row],[_Row]])="",TRUE()),0,IF(AND(INDEX(tsk_IsLeaf,GanttView[[#This Row],[_Row]])=1,NOT(GanttView[[#This Row],[_IsMilestone]]),N(GanttView[[#This Row],[%]])&gt;0),GanttView[[#This Row],[Start]],0))</f>
        <v>0</v>
      </c>
      <c r="Q46" s="96" t="n">
        <f aca="false">IF(GanttView[[#This Row],[_DoneFrom]]=0,0,IF(GanttView[[#This Row],[%]]&gt;=1,GanttView[[#This Row],[Finish]],MAX(GanttView[[#This Row],[_DoneFrom]],GanttView[[#This Row],[Start]]+ROUND((GanttView[[#This Row],[Finish]]-GanttView[[#This Row],[Start]]+1)*GanttView[[#This Row],[%]],0)-1)))</f>
        <v>0</v>
      </c>
      <c r="R46" s="96" t="n">
        <f aca="false">IF(IFERROR(INDEX(tsk_Name,GanttView[[#This Row],[_Row]])="",TRUE()),0,IF(OR(INDEX(tsk_IsLeaf,GanttView[[#This Row],[_Row]])&lt;&gt;1,GanttView[[#This Row],[_IsMilestone]],N(GanttView[[#This Row],[%]])&gt;=1),0,IF(GanttView[[#This Row],[_DoneTo]]&gt;0,GanttView[[#This Row],[_DoneTo]]+1,GanttView[[#This Row],[Start]])))</f>
        <v>0</v>
      </c>
      <c r="S46" s="96" t="n">
        <f aca="false">IF(GanttView[[#This Row],[_RemFrom]]=0,0,GanttView[[#This Row],[Finish]])</f>
        <v>0</v>
      </c>
      <c r="T46" s="95" t="b">
        <f aca="false">IF(IFERROR(INDEX(tsk_Name,GanttView[[#This Row],[_Row]])="",TRUE()),FALSE(),N(INDEX(tsk_Variance,GanttView[[#This Row],[_Row]]))&gt;0)</f>
        <v>0</v>
      </c>
      <c r="U46" s="96" t="n">
        <f aca="false">IF(IFERROR(INDEX(tsk_Name,GanttView[[#This Row],[_Row]])="",TRUE()),0,N(INDEX(tsk_Deadline,GanttView[[#This Row],[_Row]])))</f>
        <v>0</v>
      </c>
      <c r="V46" s="95" t="b">
        <f aca="false">IF(IFERROR(INDEX(tsk_Name,GanttView[[#This Row],[_Row]])="",TRUE()),FALSE(),INDEX(tsk_Critical,GanttView[[#This Row],[_Row]])="Yes")</f>
        <v>0</v>
      </c>
    </row>
    <row r="47" customFormat="false" ht="15" hidden="false" customHeight="false" outlineLevel="0" collapsed="false">
      <c r="A47" s="89" t="str">
        <f aca="false">IF(IFERROR(INDEX(tsk_Name,GanttView[[#This Row],[_Row]])="",TRUE()),"",INDEX(tsk_ID,GanttView[[#This Row],[_Row]]))</f>
        <v/>
      </c>
      <c r="B47" s="90" t="str">
        <f aca="false">IF(IFERROR(INDEX(tsk_Name,GanttView[[#This Row],[_Row]])="",TRUE()),"",REPT("    ",INDEX(tsk_Level,GanttView[[#This Row],[_Row]])-1)&amp;INDEX(tsk_Name,GanttView[[#This Row],[_Row]]))</f>
        <v/>
      </c>
      <c r="C47" s="91" t="str">
        <f aca="false">IF(IFERROR(INDEX(tsk_Name,GanttView[[#This Row],[_Row]])="",TRUE()),"",INDEX(tsk_FcStart,GanttView[[#This Row],[_Row]]))</f>
        <v/>
      </c>
      <c r="D47" s="91" t="str">
        <f aca="false">IF(IFERROR(INDEX(tsk_Name,GanttView[[#This Row],[_Row]])="",TRUE()),"",INDEX(tsk_FcFinish,GanttView[[#This Row],[_Row]]))</f>
        <v/>
      </c>
      <c r="E47" s="92" t="str">
        <f aca="false">IF(IFERROR(INDEX(tsk_Name,GanttView[[#This Row],[_Row]])="",TRUE()),"",INDEX(tsk_Progress,GanttView[[#This Row],[_Row]]))</f>
        <v/>
      </c>
      <c r="F47" s="90" t="str">
        <f aca="false">IF(IFERROR(INDEX(tsk_Name,GanttView[[#This Row],[_Row]])="",TRUE()),"",INDEX(tsk_ResourceNames,GanttView[[#This Row],[_Row]])&amp;"")</f>
        <v/>
      </c>
      <c r="G47" s="89" t="str">
        <f aca="false">IF(IFERROR(INDEX(tsk_Name,GanttView[[#This Row],[_Row]])="",TRUE()),"",INDEX(tsk_WBS,GanttView[[#This Row],[_Row]]))</f>
        <v/>
      </c>
      <c r="H47" s="89" t="str">
        <f aca="false">IF(IFERROR(INDEX(tsk_Name,GanttView[[#This Row],[_Row]])="",TRUE()),"",IF(INDEX(tsk_IsSummary,GanttView[[#This Row],[_Row]]),NETWORKDAYS.INTL(INDEX(tsk_FcStart,GanttView[[#This Row],[_Row]]),INDEX(tsk_FcFinish,GanttView[[#This Row],[_Row]]),WorkWeek,Holidays),N(INDEX(tsk_Duration,GanttView[[#This Row],[_Row]]))))</f>
        <v/>
      </c>
      <c r="I47" s="91" t="str">
        <f aca="false">IF(IFERROR(INDEX(tsk_Name,GanttView[[#This Row],[_Row]])="",TRUE()),"",INDEX(tsk_PlanStart,GanttView[[#This Row],[_Row]]))</f>
        <v/>
      </c>
      <c r="J47" s="91" t="str">
        <f aca="false">IF(IFERROR(INDEX(tsk_Name,GanttView[[#This Row],[_Row]])="",TRUE()),"",INDEX(tsk_PlanFinish,GanttView[[#This Row],[_Row]]))</f>
        <v/>
      </c>
      <c r="K47" s="93" t="str">
        <f aca="false">IF(IFERROR(INDEX(tsk_Name,GanttView[[#This Row],[_Row]])="",TRUE()),"",INDEX(tsk_Status,GanttView[[#This Row],[_Row]]))</f>
        <v/>
      </c>
      <c r="L47" s="93" t="str">
        <f aca="false">IF(IFERROR(INDEX(tsk_Name,GanttView[[#This Row],[_Row]])="",TRUE()),"",INDEX(tsk_Show,GanttView[[#This Row],[_Row]])&amp;"")</f>
        <v/>
      </c>
      <c r="M47" s="94" t="n">
        <f aca="false">ROW()-ROW(GanttView[[#Headers],[ID]])</f>
        <v>42</v>
      </c>
      <c r="N47" s="95" t="b">
        <f aca="false">IF(IFERROR(INDEX(tsk_Name,GanttView[[#This Row],[_Row]])="",TRUE()),FALSE(),INDEX(tsk_IsSummary,GanttView[[#This Row],[_Row]]))</f>
        <v>0</v>
      </c>
      <c r="O47" s="95" t="b">
        <f aca="false">IF(IFERROR(INDEX(tsk_Name,GanttView[[#This Row],[_Row]])="",TRUE()),FALSE(),AND(INDEX(tsk_IsLeaf,GanttView[[#This Row],[_Row]])=1,N(INDEX(tsk_Duration,GanttView[[#This Row],[_Row]]))=0))</f>
        <v>0</v>
      </c>
      <c r="P47" s="96" t="n">
        <f aca="false">IF(IFERROR(INDEX(tsk_Name,GanttView[[#This Row],[_Row]])="",TRUE()),0,IF(AND(INDEX(tsk_IsLeaf,GanttView[[#This Row],[_Row]])=1,NOT(GanttView[[#This Row],[_IsMilestone]]),N(GanttView[[#This Row],[%]])&gt;0),GanttView[[#This Row],[Start]],0))</f>
        <v>0</v>
      </c>
      <c r="Q47" s="96" t="n">
        <f aca="false">IF(GanttView[[#This Row],[_DoneFrom]]=0,0,IF(GanttView[[#This Row],[%]]&gt;=1,GanttView[[#This Row],[Finish]],MAX(GanttView[[#This Row],[_DoneFrom]],GanttView[[#This Row],[Start]]+ROUND((GanttView[[#This Row],[Finish]]-GanttView[[#This Row],[Start]]+1)*GanttView[[#This Row],[%]],0)-1)))</f>
        <v>0</v>
      </c>
      <c r="R47" s="96" t="n">
        <f aca="false">IF(IFERROR(INDEX(tsk_Name,GanttView[[#This Row],[_Row]])="",TRUE()),0,IF(OR(INDEX(tsk_IsLeaf,GanttView[[#This Row],[_Row]])&lt;&gt;1,GanttView[[#This Row],[_IsMilestone]],N(GanttView[[#This Row],[%]])&gt;=1),0,IF(GanttView[[#This Row],[_DoneTo]]&gt;0,GanttView[[#This Row],[_DoneTo]]+1,GanttView[[#This Row],[Start]])))</f>
        <v>0</v>
      </c>
      <c r="S47" s="96" t="n">
        <f aca="false">IF(GanttView[[#This Row],[_RemFrom]]=0,0,GanttView[[#This Row],[Finish]])</f>
        <v>0</v>
      </c>
      <c r="T47" s="95" t="b">
        <f aca="false">IF(IFERROR(INDEX(tsk_Name,GanttView[[#This Row],[_Row]])="",TRUE()),FALSE(),N(INDEX(tsk_Variance,GanttView[[#This Row],[_Row]]))&gt;0)</f>
        <v>0</v>
      </c>
      <c r="U47" s="96" t="n">
        <f aca="false">IF(IFERROR(INDEX(tsk_Name,GanttView[[#This Row],[_Row]])="",TRUE()),0,N(INDEX(tsk_Deadline,GanttView[[#This Row],[_Row]])))</f>
        <v>0</v>
      </c>
      <c r="V47" s="95" t="b">
        <f aca="false">IF(IFERROR(INDEX(tsk_Name,GanttView[[#This Row],[_Row]])="",TRUE()),FALSE(),INDEX(tsk_Critical,GanttView[[#This Row],[_Row]])="Yes")</f>
        <v>0</v>
      </c>
    </row>
    <row r="48" customFormat="false" ht="15" hidden="false" customHeight="false" outlineLevel="0" collapsed="false">
      <c r="A48" s="89" t="str">
        <f aca="false">IF(IFERROR(INDEX(tsk_Name,GanttView[[#This Row],[_Row]])="",TRUE()),"",INDEX(tsk_ID,GanttView[[#This Row],[_Row]]))</f>
        <v/>
      </c>
      <c r="B48" s="90" t="str">
        <f aca="false">IF(IFERROR(INDEX(tsk_Name,GanttView[[#This Row],[_Row]])="",TRUE()),"",REPT("    ",INDEX(tsk_Level,GanttView[[#This Row],[_Row]])-1)&amp;INDEX(tsk_Name,GanttView[[#This Row],[_Row]]))</f>
        <v/>
      </c>
      <c r="C48" s="91" t="str">
        <f aca="false">IF(IFERROR(INDEX(tsk_Name,GanttView[[#This Row],[_Row]])="",TRUE()),"",INDEX(tsk_FcStart,GanttView[[#This Row],[_Row]]))</f>
        <v/>
      </c>
      <c r="D48" s="91" t="str">
        <f aca="false">IF(IFERROR(INDEX(tsk_Name,GanttView[[#This Row],[_Row]])="",TRUE()),"",INDEX(tsk_FcFinish,GanttView[[#This Row],[_Row]]))</f>
        <v/>
      </c>
      <c r="E48" s="92" t="str">
        <f aca="false">IF(IFERROR(INDEX(tsk_Name,GanttView[[#This Row],[_Row]])="",TRUE()),"",INDEX(tsk_Progress,GanttView[[#This Row],[_Row]]))</f>
        <v/>
      </c>
      <c r="F48" s="90" t="str">
        <f aca="false">IF(IFERROR(INDEX(tsk_Name,GanttView[[#This Row],[_Row]])="",TRUE()),"",INDEX(tsk_ResourceNames,GanttView[[#This Row],[_Row]])&amp;"")</f>
        <v/>
      </c>
      <c r="G48" s="89" t="str">
        <f aca="false">IF(IFERROR(INDEX(tsk_Name,GanttView[[#This Row],[_Row]])="",TRUE()),"",INDEX(tsk_WBS,GanttView[[#This Row],[_Row]]))</f>
        <v/>
      </c>
      <c r="H48" s="89" t="str">
        <f aca="false">IF(IFERROR(INDEX(tsk_Name,GanttView[[#This Row],[_Row]])="",TRUE()),"",IF(INDEX(tsk_IsSummary,GanttView[[#This Row],[_Row]]),NETWORKDAYS.INTL(INDEX(tsk_FcStart,GanttView[[#This Row],[_Row]]),INDEX(tsk_FcFinish,GanttView[[#This Row],[_Row]]),WorkWeek,Holidays),N(INDEX(tsk_Duration,GanttView[[#This Row],[_Row]]))))</f>
        <v/>
      </c>
      <c r="I48" s="91" t="str">
        <f aca="false">IF(IFERROR(INDEX(tsk_Name,GanttView[[#This Row],[_Row]])="",TRUE()),"",INDEX(tsk_PlanStart,GanttView[[#This Row],[_Row]]))</f>
        <v/>
      </c>
      <c r="J48" s="91" t="str">
        <f aca="false">IF(IFERROR(INDEX(tsk_Name,GanttView[[#This Row],[_Row]])="",TRUE()),"",INDEX(tsk_PlanFinish,GanttView[[#This Row],[_Row]]))</f>
        <v/>
      </c>
      <c r="K48" s="93" t="str">
        <f aca="false">IF(IFERROR(INDEX(tsk_Name,GanttView[[#This Row],[_Row]])="",TRUE()),"",INDEX(tsk_Status,GanttView[[#This Row],[_Row]]))</f>
        <v/>
      </c>
      <c r="L48" s="93" t="str">
        <f aca="false">IF(IFERROR(INDEX(tsk_Name,GanttView[[#This Row],[_Row]])="",TRUE()),"",INDEX(tsk_Show,GanttView[[#This Row],[_Row]])&amp;"")</f>
        <v/>
      </c>
      <c r="M48" s="94" t="n">
        <f aca="false">ROW()-ROW(GanttView[[#Headers],[ID]])</f>
        <v>43</v>
      </c>
      <c r="N48" s="95" t="b">
        <f aca="false">IF(IFERROR(INDEX(tsk_Name,GanttView[[#This Row],[_Row]])="",TRUE()),FALSE(),INDEX(tsk_IsSummary,GanttView[[#This Row],[_Row]]))</f>
        <v>0</v>
      </c>
      <c r="O48" s="95" t="b">
        <f aca="false">IF(IFERROR(INDEX(tsk_Name,GanttView[[#This Row],[_Row]])="",TRUE()),FALSE(),AND(INDEX(tsk_IsLeaf,GanttView[[#This Row],[_Row]])=1,N(INDEX(tsk_Duration,GanttView[[#This Row],[_Row]]))=0))</f>
        <v>0</v>
      </c>
      <c r="P48" s="96" t="n">
        <f aca="false">IF(IFERROR(INDEX(tsk_Name,GanttView[[#This Row],[_Row]])="",TRUE()),0,IF(AND(INDEX(tsk_IsLeaf,GanttView[[#This Row],[_Row]])=1,NOT(GanttView[[#This Row],[_IsMilestone]]),N(GanttView[[#This Row],[%]])&gt;0),GanttView[[#This Row],[Start]],0))</f>
        <v>0</v>
      </c>
      <c r="Q48" s="96" t="n">
        <f aca="false">IF(GanttView[[#This Row],[_DoneFrom]]=0,0,IF(GanttView[[#This Row],[%]]&gt;=1,GanttView[[#This Row],[Finish]],MAX(GanttView[[#This Row],[_DoneFrom]],GanttView[[#This Row],[Start]]+ROUND((GanttView[[#This Row],[Finish]]-GanttView[[#This Row],[Start]]+1)*GanttView[[#This Row],[%]],0)-1)))</f>
        <v>0</v>
      </c>
      <c r="R48" s="96" t="n">
        <f aca="false">IF(IFERROR(INDEX(tsk_Name,GanttView[[#This Row],[_Row]])="",TRUE()),0,IF(OR(INDEX(tsk_IsLeaf,GanttView[[#This Row],[_Row]])&lt;&gt;1,GanttView[[#This Row],[_IsMilestone]],N(GanttView[[#This Row],[%]])&gt;=1),0,IF(GanttView[[#This Row],[_DoneTo]]&gt;0,GanttView[[#This Row],[_DoneTo]]+1,GanttView[[#This Row],[Start]])))</f>
        <v>0</v>
      </c>
      <c r="S48" s="96" t="n">
        <f aca="false">IF(GanttView[[#This Row],[_RemFrom]]=0,0,GanttView[[#This Row],[Finish]])</f>
        <v>0</v>
      </c>
      <c r="T48" s="95" t="b">
        <f aca="false">IF(IFERROR(INDEX(tsk_Name,GanttView[[#This Row],[_Row]])="",TRUE()),FALSE(),N(INDEX(tsk_Variance,GanttView[[#This Row],[_Row]]))&gt;0)</f>
        <v>0</v>
      </c>
      <c r="U48" s="96" t="n">
        <f aca="false">IF(IFERROR(INDEX(tsk_Name,GanttView[[#This Row],[_Row]])="",TRUE()),0,N(INDEX(tsk_Deadline,GanttView[[#This Row],[_Row]])))</f>
        <v>0</v>
      </c>
      <c r="V48" s="95" t="b">
        <f aca="false">IF(IFERROR(INDEX(tsk_Name,GanttView[[#This Row],[_Row]])="",TRUE()),FALSE(),INDEX(tsk_Critical,GanttView[[#This Row],[_Row]])="Yes")</f>
        <v>0</v>
      </c>
    </row>
    <row r="49" customFormat="false" ht="15" hidden="false" customHeight="false" outlineLevel="0" collapsed="false">
      <c r="A49" s="89" t="str">
        <f aca="false">IF(IFERROR(INDEX(tsk_Name,GanttView[[#This Row],[_Row]])="",TRUE()),"",INDEX(tsk_ID,GanttView[[#This Row],[_Row]]))</f>
        <v/>
      </c>
      <c r="B49" s="90" t="str">
        <f aca="false">IF(IFERROR(INDEX(tsk_Name,GanttView[[#This Row],[_Row]])="",TRUE()),"",REPT("    ",INDEX(tsk_Level,GanttView[[#This Row],[_Row]])-1)&amp;INDEX(tsk_Name,GanttView[[#This Row],[_Row]]))</f>
        <v/>
      </c>
      <c r="C49" s="91" t="str">
        <f aca="false">IF(IFERROR(INDEX(tsk_Name,GanttView[[#This Row],[_Row]])="",TRUE()),"",INDEX(tsk_FcStart,GanttView[[#This Row],[_Row]]))</f>
        <v/>
      </c>
      <c r="D49" s="91" t="str">
        <f aca="false">IF(IFERROR(INDEX(tsk_Name,GanttView[[#This Row],[_Row]])="",TRUE()),"",INDEX(tsk_FcFinish,GanttView[[#This Row],[_Row]]))</f>
        <v/>
      </c>
      <c r="E49" s="92" t="str">
        <f aca="false">IF(IFERROR(INDEX(tsk_Name,GanttView[[#This Row],[_Row]])="",TRUE()),"",INDEX(tsk_Progress,GanttView[[#This Row],[_Row]]))</f>
        <v/>
      </c>
      <c r="F49" s="90" t="str">
        <f aca="false">IF(IFERROR(INDEX(tsk_Name,GanttView[[#This Row],[_Row]])="",TRUE()),"",INDEX(tsk_ResourceNames,GanttView[[#This Row],[_Row]])&amp;"")</f>
        <v/>
      </c>
      <c r="G49" s="89" t="str">
        <f aca="false">IF(IFERROR(INDEX(tsk_Name,GanttView[[#This Row],[_Row]])="",TRUE()),"",INDEX(tsk_WBS,GanttView[[#This Row],[_Row]]))</f>
        <v/>
      </c>
      <c r="H49" s="89" t="str">
        <f aca="false">IF(IFERROR(INDEX(tsk_Name,GanttView[[#This Row],[_Row]])="",TRUE()),"",IF(INDEX(tsk_IsSummary,GanttView[[#This Row],[_Row]]),NETWORKDAYS.INTL(INDEX(tsk_FcStart,GanttView[[#This Row],[_Row]]),INDEX(tsk_FcFinish,GanttView[[#This Row],[_Row]]),WorkWeek,Holidays),N(INDEX(tsk_Duration,GanttView[[#This Row],[_Row]]))))</f>
        <v/>
      </c>
      <c r="I49" s="91" t="str">
        <f aca="false">IF(IFERROR(INDEX(tsk_Name,GanttView[[#This Row],[_Row]])="",TRUE()),"",INDEX(tsk_PlanStart,GanttView[[#This Row],[_Row]]))</f>
        <v/>
      </c>
      <c r="J49" s="91" t="str">
        <f aca="false">IF(IFERROR(INDEX(tsk_Name,GanttView[[#This Row],[_Row]])="",TRUE()),"",INDEX(tsk_PlanFinish,GanttView[[#This Row],[_Row]]))</f>
        <v/>
      </c>
      <c r="K49" s="93" t="str">
        <f aca="false">IF(IFERROR(INDEX(tsk_Name,GanttView[[#This Row],[_Row]])="",TRUE()),"",INDEX(tsk_Status,GanttView[[#This Row],[_Row]]))</f>
        <v/>
      </c>
      <c r="L49" s="93" t="str">
        <f aca="false">IF(IFERROR(INDEX(tsk_Name,GanttView[[#This Row],[_Row]])="",TRUE()),"",INDEX(tsk_Show,GanttView[[#This Row],[_Row]])&amp;"")</f>
        <v/>
      </c>
      <c r="M49" s="94" t="n">
        <f aca="false">ROW()-ROW(GanttView[[#Headers],[ID]])</f>
        <v>44</v>
      </c>
      <c r="N49" s="95" t="b">
        <f aca="false">IF(IFERROR(INDEX(tsk_Name,GanttView[[#This Row],[_Row]])="",TRUE()),FALSE(),INDEX(tsk_IsSummary,GanttView[[#This Row],[_Row]]))</f>
        <v>0</v>
      </c>
      <c r="O49" s="95" t="b">
        <f aca="false">IF(IFERROR(INDEX(tsk_Name,GanttView[[#This Row],[_Row]])="",TRUE()),FALSE(),AND(INDEX(tsk_IsLeaf,GanttView[[#This Row],[_Row]])=1,N(INDEX(tsk_Duration,GanttView[[#This Row],[_Row]]))=0))</f>
        <v>0</v>
      </c>
      <c r="P49" s="96" t="n">
        <f aca="false">IF(IFERROR(INDEX(tsk_Name,GanttView[[#This Row],[_Row]])="",TRUE()),0,IF(AND(INDEX(tsk_IsLeaf,GanttView[[#This Row],[_Row]])=1,NOT(GanttView[[#This Row],[_IsMilestone]]),N(GanttView[[#This Row],[%]])&gt;0),GanttView[[#This Row],[Start]],0))</f>
        <v>0</v>
      </c>
      <c r="Q49" s="96" t="n">
        <f aca="false">IF(GanttView[[#This Row],[_DoneFrom]]=0,0,IF(GanttView[[#This Row],[%]]&gt;=1,GanttView[[#This Row],[Finish]],MAX(GanttView[[#This Row],[_DoneFrom]],GanttView[[#This Row],[Start]]+ROUND((GanttView[[#This Row],[Finish]]-GanttView[[#This Row],[Start]]+1)*GanttView[[#This Row],[%]],0)-1)))</f>
        <v>0</v>
      </c>
      <c r="R49" s="96" t="n">
        <f aca="false">IF(IFERROR(INDEX(tsk_Name,GanttView[[#This Row],[_Row]])="",TRUE()),0,IF(OR(INDEX(tsk_IsLeaf,GanttView[[#This Row],[_Row]])&lt;&gt;1,GanttView[[#This Row],[_IsMilestone]],N(GanttView[[#This Row],[%]])&gt;=1),0,IF(GanttView[[#This Row],[_DoneTo]]&gt;0,GanttView[[#This Row],[_DoneTo]]+1,GanttView[[#This Row],[Start]])))</f>
        <v>0</v>
      </c>
      <c r="S49" s="96" t="n">
        <f aca="false">IF(GanttView[[#This Row],[_RemFrom]]=0,0,GanttView[[#This Row],[Finish]])</f>
        <v>0</v>
      </c>
      <c r="T49" s="95" t="b">
        <f aca="false">IF(IFERROR(INDEX(tsk_Name,GanttView[[#This Row],[_Row]])="",TRUE()),FALSE(),N(INDEX(tsk_Variance,GanttView[[#This Row],[_Row]]))&gt;0)</f>
        <v>0</v>
      </c>
      <c r="U49" s="96" t="n">
        <f aca="false">IF(IFERROR(INDEX(tsk_Name,GanttView[[#This Row],[_Row]])="",TRUE()),0,N(INDEX(tsk_Deadline,GanttView[[#This Row],[_Row]])))</f>
        <v>0</v>
      </c>
      <c r="V49" s="95" t="b">
        <f aca="false">IF(IFERROR(INDEX(tsk_Name,GanttView[[#This Row],[_Row]])="",TRUE()),FALSE(),INDEX(tsk_Critical,GanttView[[#This Row],[_Row]])="Yes")</f>
        <v>0</v>
      </c>
    </row>
    <row r="50" customFormat="false" ht="15" hidden="false" customHeight="false" outlineLevel="0" collapsed="false">
      <c r="A50" s="89" t="str">
        <f aca="false">IF(IFERROR(INDEX(tsk_Name,GanttView[[#This Row],[_Row]])="",TRUE()),"",INDEX(tsk_ID,GanttView[[#This Row],[_Row]]))</f>
        <v/>
      </c>
      <c r="B50" s="90" t="str">
        <f aca="false">IF(IFERROR(INDEX(tsk_Name,GanttView[[#This Row],[_Row]])="",TRUE()),"",REPT("    ",INDEX(tsk_Level,GanttView[[#This Row],[_Row]])-1)&amp;INDEX(tsk_Name,GanttView[[#This Row],[_Row]]))</f>
        <v/>
      </c>
      <c r="C50" s="91" t="str">
        <f aca="false">IF(IFERROR(INDEX(tsk_Name,GanttView[[#This Row],[_Row]])="",TRUE()),"",INDEX(tsk_FcStart,GanttView[[#This Row],[_Row]]))</f>
        <v/>
      </c>
      <c r="D50" s="91" t="str">
        <f aca="false">IF(IFERROR(INDEX(tsk_Name,GanttView[[#This Row],[_Row]])="",TRUE()),"",INDEX(tsk_FcFinish,GanttView[[#This Row],[_Row]]))</f>
        <v/>
      </c>
      <c r="E50" s="92" t="str">
        <f aca="false">IF(IFERROR(INDEX(tsk_Name,GanttView[[#This Row],[_Row]])="",TRUE()),"",INDEX(tsk_Progress,GanttView[[#This Row],[_Row]]))</f>
        <v/>
      </c>
      <c r="F50" s="90" t="str">
        <f aca="false">IF(IFERROR(INDEX(tsk_Name,GanttView[[#This Row],[_Row]])="",TRUE()),"",INDEX(tsk_ResourceNames,GanttView[[#This Row],[_Row]])&amp;"")</f>
        <v/>
      </c>
      <c r="G50" s="89" t="str">
        <f aca="false">IF(IFERROR(INDEX(tsk_Name,GanttView[[#This Row],[_Row]])="",TRUE()),"",INDEX(tsk_WBS,GanttView[[#This Row],[_Row]]))</f>
        <v/>
      </c>
      <c r="H50" s="89" t="str">
        <f aca="false">IF(IFERROR(INDEX(tsk_Name,GanttView[[#This Row],[_Row]])="",TRUE()),"",IF(INDEX(tsk_IsSummary,GanttView[[#This Row],[_Row]]),NETWORKDAYS.INTL(INDEX(tsk_FcStart,GanttView[[#This Row],[_Row]]),INDEX(tsk_FcFinish,GanttView[[#This Row],[_Row]]),WorkWeek,Holidays),N(INDEX(tsk_Duration,GanttView[[#This Row],[_Row]]))))</f>
        <v/>
      </c>
      <c r="I50" s="91" t="str">
        <f aca="false">IF(IFERROR(INDEX(tsk_Name,GanttView[[#This Row],[_Row]])="",TRUE()),"",INDEX(tsk_PlanStart,GanttView[[#This Row],[_Row]]))</f>
        <v/>
      </c>
      <c r="J50" s="91" t="str">
        <f aca="false">IF(IFERROR(INDEX(tsk_Name,GanttView[[#This Row],[_Row]])="",TRUE()),"",INDEX(tsk_PlanFinish,GanttView[[#This Row],[_Row]]))</f>
        <v/>
      </c>
      <c r="K50" s="93" t="str">
        <f aca="false">IF(IFERROR(INDEX(tsk_Name,GanttView[[#This Row],[_Row]])="",TRUE()),"",INDEX(tsk_Status,GanttView[[#This Row],[_Row]]))</f>
        <v/>
      </c>
      <c r="L50" s="93" t="str">
        <f aca="false">IF(IFERROR(INDEX(tsk_Name,GanttView[[#This Row],[_Row]])="",TRUE()),"",INDEX(tsk_Show,GanttView[[#This Row],[_Row]])&amp;"")</f>
        <v/>
      </c>
      <c r="M50" s="94" t="n">
        <f aca="false">ROW()-ROW(GanttView[[#Headers],[ID]])</f>
        <v>45</v>
      </c>
      <c r="N50" s="95" t="b">
        <f aca="false">IF(IFERROR(INDEX(tsk_Name,GanttView[[#This Row],[_Row]])="",TRUE()),FALSE(),INDEX(tsk_IsSummary,GanttView[[#This Row],[_Row]]))</f>
        <v>0</v>
      </c>
      <c r="O50" s="95" t="b">
        <f aca="false">IF(IFERROR(INDEX(tsk_Name,GanttView[[#This Row],[_Row]])="",TRUE()),FALSE(),AND(INDEX(tsk_IsLeaf,GanttView[[#This Row],[_Row]])=1,N(INDEX(tsk_Duration,GanttView[[#This Row],[_Row]]))=0))</f>
        <v>0</v>
      </c>
      <c r="P50" s="96" t="n">
        <f aca="false">IF(IFERROR(INDEX(tsk_Name,GanttView[[#This Row],[_Row]])="",TRUE()),0,IF(AND(INDEX(tsk_IsLeaf,GanttView[[#This Row],[_Row]])=1,NOT(GanttView[[#This Row],[_IsMilestone]]),N(GanttView[[#This Row],[%]])&gt;0),GanttView[[#This Row],[Start]],0))</f>
        <v>0</v>
      </c>
      <c r="Q50" s="96" t="n">
        <f aca="false">IF(GanttView[[#This Row],[_DoneFrom]]=0,0,IF(GanttView[[#This Row],[%]]&gt;=1,GanttView[[#This Row],[Finish]],MAX(GanttView[[#This Row],[_DoneFrom]],GanttView[[#This Row],[Start]]+ROUND((GanttView[[#This Row],[Finish]]-GanttView[[#This Row],[Start]]+1)*GanttView[[#This Row],[%]],0)-1)))</f>
        <v>0</v>
      </c>
      <c r="R50" s="96" t="n">
        <f aca="false">IF(IFERROR(INDEX(tsk_Name,GanttView[[#This Row],[_Row]])="",TRUE()),0,IF(OR(INDEX(tsk_IsLeaf,GanttView[[#This Row],[_Row]])&lt;&gt;1,GanttView[[#This Row],[_IsMilestone]],N(GanttView[[#This Row],[%]])&gt;=1),0,IF(GanttView[[#This Row],[_DoneTo]]&gt;0,GanttView[[#This Row],[_DoneTo]]+1,GanttView[[#This Row],[Start]])))</f>
        <v>0</v>
      </c>
      <c r="S50" s="96" t="n">
        <f aca="false">IF(GanttView[[#This Row],[_RemFrom]]=0,0,GanttView[[#This Row],[Finish]])</f>
        <v>0</v>
      </c>
      <c r="T50" s="95" t="b">
        <f aca="false">IF(IFERROR(INDEX(tsk_Name,GanttView[[#This Row],[_Row]])="",TRUE()),FALSE(),N(INDEX(tsk_Variance,GanttView[[#This Row],[_Row]]))&gt;0)</f>
        <v>0</v>
      </c>
      <c r="U50" s="96" t="n">
        <f aca="false">IF(IFERROR(INDEX(tsk_Name,GanttView[[#This Row],[_Row]])="",TRUE()),0,N(INDEX(tsk_Deadline,GanttView[[#This Row],[_Row]])))</f>
        <v>0</v>
      </c>
      <c r="V50" s="95" t="b">
        <f aca="false">IF(IFERROR(INDEX(tsk_Name,GanttView[[#This Row],[_Row]])="",TRUE()),FALSE(),INDEX(tsk_Critical,GanttView[[#This Row],[_Row]])="Yes")</f>
        <v>0</v>
      </c>
    </row>
    <row r="51" customFormat="false" ht="15" hidden="false" customHeight="false" outlineLevel="0" collapsed="false">
      <c r="A51" s="89" t="str">
        <f aca="false">IF(IFERROR(INDEX(tsk_Name,GanttView[[#This Row],[_Row]])="",TRUE()),"",INDEX(tsk_ID,GanttView[[#This Row],[_Row]]))</f>
        <v/>
      </c>
      <c r="B51" s="90" t="str">
        <f aca="false">IF(IFERROR(INDEX(tsk_Name,GanttView[[#This Row],[_Row]])="",TRUE()),"",REPT("    ",INDEX(tsk_Level,GanttView[[#This Row],[_Row]])-1)&amp;INDEX(tsk_Name,GanttView[[#This Row],[_Row]]))</f>
        <v/>
      </c>
      <c r="C51" s="91" t="str">
        <f aca="false">IF(IFERROR(INDEX(tsk_Name,GanttView[[#This Row],[_Row]])="",TRUE()),"",INDEX(tsk_FcStart,GanttView[[#This Row],[_Row]]))</f>
        <v/>
      </c>
      <c r="D51" s="91" t="str">
        <f aca="false">IF(IFERROR(INDEX(tsk_Name,GanttView[[#This Row],[_Row]])="",TRUE()),"",INDEX(tsk_FcFinish,GanttView[[#This Row],[_Row]]))</f>
        <v/>
      </c>
      <c r="E51" s="92" t="str">
        <f aca="false">IF(IFERROR(INDEX(tsk_Name,GanttView[[#This Row],[_Row]])="",TRUE()),"",INDEX(tsk_Progress,GanttView[[#This Row],[_Row]]))</f>
        <v/>
      </c>
      <c r="F51" s="90" t="str">
        <f aca="false">IF(IFERROR(INDEX(tsk_Name,GanttView[[#This Row],[_Row]])="",TRUE()),"",INDEX(tsk_ResourceNames,GanttView[[#This Row],[_Row]])&amp;"")</f>
        <v/>
      </c>
      <c r="G51" s="89" t="str">
        <f aca="false">IF(IFERROR(INDEX(tsk_Name,GanttView[[#This Row],[_Row]])="",TRUE()),"",INDEX(tsk_WBS,GanttView[[#This Row],[_Row]]))</f>
        <v/>
      </c>
      <c r="H51" s="89" t="str">
        <f aca="false">IF(IFERROR(INDEX(tsk_Name,GanttView[[#This Row],[_Row]])="",TRUE()),"",IF(INDEX(tsk_IsSummary,GanttView[[#This Row],[_Row]]),NETWORKDAYS.INTL(INDEX(tsk_FcStart,GanttView[[#This Row],[_Row]]),INDEX(tsk_FcFinish,GanttView[[#This Row],[_Row]]),WorkWeek,Holidays),N(INDEX(tsk_Duration,GanttView[[#This Row],[_Row]]))))</f>
        <v/>
      </c>
      <c r="I51" s="91" t="str">
        <f aca="false">IF(IFERROR(INDEX(tsk_Name,GanttView[[#This Row],[_Row]])="",TRUE()),"",INDEX(tsk_PlanStart,GanttView[[#This Row],[_Row]]))</f>
        <v/>
      </c>
      <c r="J51" s="91" t="str">
        <f aca="false">IF(IFERROR(INDEX(tsk_Name,GanttView[[#This Row],[_Row]])="",TRUE()),"",INDEX(tsk_PlanFinish,GanttView[[#This Row],[_Row]]))</f>
        <v/>
      </c>
      <c r="K51" s="93" t="str">
        <f aca="false">IF(IFERROR(INDEX(tsk_Name,GanttView[[#This Row],[_Row]])="",TRUE()),"",INDEX(tsk_Status,GanttView[[#This Row],[_Row]]))</f>
        <v/>
      </c>
      <c r="L51" s="93" t="str">
        <f aca="false">IF(IFERROR(INDEX(tsk_Name,GanttView[[#This Row],[_Row]])="",TRUE()),"",INDEX(tsk_Show,GanttView[[#This Row],[_Row]])&amp;"")</f>
        <v/>
      </c>
      <c r="M51" s="94" t="n">
        <f aca="false">ROW()-ROW(GanttView[[#Headers],[ID]])</f>
        <v>46</v>
      </c>
      <c r="N51" s="95" t="b">
        <f aca="false">IF(IFERROR(INDEX(tsk_Name,GanttView[[#This Row],[_Row]])="",TRUE()),FALSE(),INDEX(tsk_IsSummary,GanttView[[#This Row],[_Row]]))</f>
        <v>0</v>
      </c>
      <c r="O51" s="95" t="b">
        <f aca="false">IF(IFERROR(INDEX(tsk_Name,GanttView[[#This Row],[_Row]])="",TRUE()),FALSE(),AND(INDEX(tsk_IsLeaf,GanttView[[#This Row],[_Row]])=1,N(INDEX(tsk_Duration,GanttView[[#This Row],[_Row]]))=0))</f>
        <v>0</v>
      </c>
      <c r="P51" s="96" t="n">
        <f aca="false">IF(IFERROR(INDEX(tsk_Name,GanttView[[#This Row],[_Row]])="",TRUE()),0,IF(AND(INDEX(tsk_IsLeaf,GanttView[[#This Row],[_Row]])=1,NOT(GanttView[[#This Row],[_IsMilestone]]),N(GanttView[[#This Row],[%]])&gt;0),GanttView[[#This Row],[Start]],0))</f>
        <v>0</v>
      </c>
      <c r="Q51" s="96" t="n">
        <f aca="false">IF(GanttView[[#This Row],[_DoneFrom]]=0,0,IF(GanttView[[#This Row],[%]]&gt;=1,GanttView[[#This Row],[Finish]],MAX(GanttView[[#This Row],[_DoneFrom]],GanttView[[#This Row],[Start]]+ROUND((GanttView[[#This Row],[Finish]]-GanttView[[#This Row],[Start]]+1)*GanttView[[#This Row],[%]],0)-1)))</f>
        <v>0</v>
      </c>
      <c r="R51" s="96" t="n">
        <f aca="false">IF(IFERROR(INDEX(tsk_Name,GanttView[[#This Row],[_Row]])="",TRUE()),0,IF(OR(INDEX(tsk_IsLeaf,GanttView[[#This Row],[_Row]])&lt;&gt;1,GanttView[[#This Row],[_IsMilestone]],N(GanttView[[#This Row],[%]])&gt;=1),0,IF(GanttView[[#This Row],[_DoneTo]]&gt;0,GanttView[[#This Row],[_DoneTo]]+1,GanttView[[#This Row],[Start]])))</f>
        <v>0</v>
      </c>
      <c r="S51" s="96" t="n">
        <f aca="false">IF(GanttView[[#This Row],[_RemFrom]]=0,0,GanttView[[#This Row],[Finish]])</f>
        <v>0</v>
      </c>
      <c r="T51" s="95" t="b">
        <f aca="false">IF(IFERROR(INDEX(tsk_Name,GanttView[[#This Row],[_Row]])="",TRUE()),FALSE(),N(INDEX(tsk_Variance,GanttView[[#This Row],[_Row]]))&gt;0)</f>
        <v>0</v>
      </c>
      <c r="U51" s="96" t="n">
        <f aca="false">IF(IFERROR(INDEX(tsk_Name,GanttView[[#This Row],[_Row]])="",TRUE()),0,N(INDEX(tsk_Deadline,GanttView[[#This Row],[_Row]])))</f>
        <v>0</v>
      </c>
      <c r="V51" s="95" t="b">
        <f aca="false">IF(IFERROR(INDEX(tsk_Name,GanttView[[#This Row],[_Row]])="",TRUE()),FALSE(),INDEX(tsk_Critical,GanttView[[#This Row],[_Row]])="Yes")</f>
        <v>0</v>
      </c>
    </row>
    <row r="52" customFormat="false" ht="15" hidden="false" customHeight="false" outlineLevel="0" collapsed="false">
      <c r="A52" s="89" t="str">
        <f aca="false">IF(IFERROR(INDEX(tsk_Name,GanttView[[#This Row],[_Row]])="",TRUE()),"",INDEX(tsk_ID,GanttView[[#This Row],[_Row]]))</f>
        <v/>
      </c>
      <c r="B52" s="90" t="str">
        <f aca="false">IF(IFERROR(INDEX(tsk_Name,GanttView[[#This Row],[_Row]])="",TRUE()),"",REPT("    ",INDEX(tsk_Level,GanttView[[#This Row],[_Row]])-1)&amp;INDEX(tsk_Name,GanttView[[#This Row],[_Row]]))</f>
        <v/>
      </c>
      <c r="C52" s="91" t="str">
        <f aca="false">IF(IFERROR(INDEX(tsk_Name,GanttView[[#This Row],[_Row]])="",TRUE()),"",INDEX(tsk_FcStart,GanttView[[#This Row],[_Row]]))</f>
        <v/>
      </c>
      <c r="D52" s="91" t="str">
        <f aca="false">IF(IFERROR(INDEX(tsk_Name,GanttView[[#This Row],[_Row]])="",TRUE()),"",INDEX(tsk_FcFinish,GanttView[[#This Row],[_Row]]))</f>
        <v/>
      </c>
      <c r="E52" s="92" t="str">
        <f aca="false">IF(IFERROR(INDEX(tsk_Name,GanttView[[#This Row],[_Row]])="",TRUE()),"",INDEX(tsk_Progress,GanttView[[#This Row],[_Row]]))</f>
        <v/>
      </c>
      <c r="F52" s="90" t="str">
        <f aca="false">IF(IFERROR(INDEX(tsk_Name,GanttView[[#This Row],[_Row]])="",TRUE()),"",INDEX(tsk_ResourceNames,GanttView[[#This Row],[_Row]])&amp;"")</f>
        <v/>
      </c>
      <c r="G52" s="89" t="str">
        <f aca="false">IF(IFERROR(INDEX(tsk_Name,GanttView[[#This Row],[_Row]])="",TRUE()),"",INDEX(tsk_WBS,GanttView[[#This Row],[_Row]]))</f>
        <v/>
      </c>
      <c r="H52" s="89" t="str">
        <f aca="false">IF(IFERROR(INDEX(tsk_Name,GanttView[[#This Row],[_Row]])="",TRUE()),"",IF(INDEX(tsk_IsSummary,GanttView[[#This Row],[_Row]]),NETWORKDAYS.INTL(INDEX(tsk_FcStart,GanttView[[#This Row],[_Row]]),INDEX(tsk_FcFinish,GanttView[[#This Row],[_Row]]),WorkWeek,Holidays),N(INDEX(tsk_Duration,GanttView[[#This Row],[_Row]]))))</f>
        <v/>
      </c>
      <c r="I52" s="91" t="str">
        <f aca="false">IF(IFERROR(INDEX(tsk_Name,GanttView[[#This Row],[_Row]])="",TRUE()),"",INDEX(tsk_PlanStart,GanttView[[#This Row],[_Row]]))</f>
        <v/>
      </c>
      <c r="J52" s="91" t="str">
        <f aca="false">IF(IFERROR(INDEX(tsk_Name,GanttView[[#This Row],[_Row]])="",TRUE()),"",INDEX(tsk_PlanFinish,GanttView[[#This Row],[_Row]]))</f>
        <v/>
      </c>
      <c r="K52" s="93" t="str">
        <f aca="false">IF(IFERROR(INDEX(tsk_Name,GanttView[[#This Row],[_Row]])="",TRUE()),"",INDEX(tsk_Status,GanttView[[#This Row],[_Row]]))</f>
        <v/>
      </c>
      <c r="L52" s="93" t="str">
        <f aca="false">IF(IFERROR(INDEX(tsk_Name,GanttView[[#This Row],[_Row]])="",TRUE()),"",INDEX(tsk_Show,GanttView[[#This Row],[_Row]])&amp;"")</f>
        <v/>
      </c>
      <c r="M52" s="94" t="n">
        <f aca="false">ROW()-ROW(GanttView[[#Headers],[ID]])</f>
        <v>47</v>
      </c>
      <c r="N52" s="95" t="b">
        <f aca="false">IF(IFERROR(INDEX(tsk_Name,GanttView[[#This Row],[_Row]])="",TRUE()),FALSE(),INDEX(tsk_IsSummary,GanttView[[#This Row],[_Row]]))</f>
        <v>0</v>
      </c>
      <c r="O52" s="95" t="b">
        <f aca="false">IF(IFERROR(INDEX(tsk_Name,GanttView[[#This Row],[_Row]])="",TRUE()),FALSE(),AND(INDEX(tsk_IsLeaf,GanttView[[#This Row],[_Row]])=1,N(INDEX(tsk_Duration,GanttView[[#This Row],[_Row]]))=0))</f>
        <v>0</v>
      </c>
      <c r="P52" s="96" t="n">
        <f aca="false">IF(IFERROR(INDEX(tsk_Name,GanttView[[#This Row],[_Row]])="",TRUE()),0,IF(AND(INDEX(tsk_IsLeaf,GanttView[[#This Row],[_Row]])=1,NOT(GanttView[[#This Row],[_IsMilestone]]),N(GanttView[[#This Row],[%]])&gt;0),GanttView[[#This Row],[Start]],0))</f>
        <v>0</v>
      </c>
      <c r="Q52" s="96" t="n">
        <f aca="false">IF(GanttView[[#This Row],[_DoneFrom]]=0,0,IF(GanttView[[#This Row],[%]]&gt;=1,GanttView[[#This Row],[Finish]],MAX(GanttView[[#This Row],[_DoneFrom]],GanttView[[#This Row],[Start]]+ROUND((GanttView[[#This Row],[Finish]]-GanttView[[#This Row],[Start]]+1)*GanttView[[#This Row],[%]],0)-1)))</f>
        <v>0</v>
      </c>
      <c r="R52" s="96" t="n">
        <f aca="false">IF(IFERROR(INDEX(tsk_Name,GanttView[[#This Row],[_Row]])="",TRUE()),0,IF(OR(INDEX(tsk_IsLeaf,GanttView[[#This Row],[_Row]])&lt;&gt;1,GanttView[[#This Row],[_IsMilestone]],N(GanttView[[#This Row],[%]])&gt;=1),0,IF(GanttView[[#This Row],[_DoneTo]]&gt;0,GanttView[[#This Row],[_DoneTo]]+1,GanttView[[#This Row],[Start]])))</f>
        <v>0</v>
      </c>
      <c r="S52" s="96" t="n">
        <f aca="false">IF(GanttView[[#This Row],[_RemFrom]]=0,0,GanttView[[#This Row],[Finish]])</f>
        <v>0</v>
      </c>
      <c r="T52" s="95" t="b">
        <f aca="false">IF(IFERROR(INDEX(tsk_Name,GanttView[[#This Row],[_Row]])="",TRUE()),FALSE(),N(INDEX(tsk_Variance,GanttView[[#This Row],[_Row]]))&gt;0)</f>
        <v>0</v>
      </c>
      <c r="U52" s="96" t="n">
        <f aca="false">IF(IFERROR(INDEX(tsk_Name,GanttView[[#This Row],[_Row]])="",TRUE()),0,N(INDEX(tsk_Deadline,GanttView[[#This Row],[_Row]])))</f>
        <v>0</v>
      </c>
      <c r="V52" s="95" t="b">
        <f aca="false">IF(IFERROR(INDEX(tsk_Name,GanttView[[#This Row],[_Row]])="",TRUE()),FALSE(),INDEX(tsk_Critical,GanttView[[#This Row],[_Row]])="Yes")</f>
        <v>0</v>
      </c>
    </row>
    <row r="53" customFormat="false" ht="15" hidden="false" customHeight="false" outlineLevel="0" collapsed="false">
      <c r="A53" s="89" t="str">
        <f aca="false">IF(IFERROR(INDEX(tsk_Name,GanttView[[#This Row],[_Row]])="",TRUE()),"",INDEX(tsk_ID,GanttView[[#This Row],[_Row]]))</f>
        <v/>
      </c>
      <c r="B53" s="90" t="str">
        <f aca="false">IF(IFERROR(INDEX(tsk_Name,GanttView[[#This Row],[_Row]])="",TRUE()),"",REPT("    ",INDEX(tsk_Level,GanttView[[#This Row],[_Row]])-1)&amp;INDEX(tsk_Name,GanttView[[#This Row],[_Row]]))</f>
        <v/>
      </c>
      <c r="C53" s="91" t="str">
        <f aca="false">IF(IFERROR(INDEX(tsk_Name,GanttView[[#This Row],[_Row]])="",TRUE()),"",INDEX(tsk_FcStart,GanttView[[#This Row],[_Row]]))</f>
        <v/>
      </c>
      <c r="D53" s="91" t="str">
        <f aca="false">IF(IFERROR(INDEX(tsk_Name,GanttView[[#This Row],[_Row]])="",TRUE()),"",INDEX(tsk_FcFinish,GanttView[[#This Row],[_Row]]))</f>
        <v/>
      </c>
      <c r="E53" s="92" t="str">
        <f aca="false">IF(IFERROR(INDEX(tsk_Name,GanttView[[#This Row],[_Row]])="",TRUE()),"",INDEX(tsk_Progress,GanttView[[#This Row],[_Row]]))</f>
        <v/>
      </c>
      <c r="F53" s="90" t="str">
        <f aca="false">IF(IFERROR(INDEX(tsk_Name,GanttView[[#This Row],[_Row]])="",TRUE()),"",INDEX(tsk_ResourceNames,GanttView[[#This Row],[_Row]])&amp;"")</f>
        <v/>
      </c>
      <c r="G53" s="89" t="str">
        <f aca="false">IF(IFERROR(INDEX(tsk_Name,GanttView[[#This Row],[_Row]])="",TRUE()),"",INDEX(tsk_WBS,GanttView[[#This Row],[_Row]]))</f>
        <v/>
      </c>
      <c r="H53" s="89" t="str">
        <f aca="false">IF(IFERROR(INDEX(tsk_Name,GanttView[[#This Row],[_Row]])="",TRUE()),"",IF(INDEX(tsk_IsSummary,GanttView[[#This Row],[_Row]]),NETWORKDAYS.INTL(INDEX(tsk_FcStart,GanttView[[#This Row],[_Row]]),INDEX(tsk_FcFinish,GanttView[[#This Row],[_Row]]),WorkWeek,Holidays),N(INDEX(tsk_Duration,GanttView[[#This Row],[_Row]]))))</f>
        <v/>
      </c>
      <c r="I53" s="91" t="str">
        <f aca="false">IF(IFERROR(INDEX(tsk_Name,GanttView[[#This Row],[_Row]])="",TRUE()),"",INDEX(tsk_PlanStart,GanttView[[#This Row],[_Row]]))</f>
        <v/>
      </c>
      <c r="J53" s="91" t="str">
        <f aca="false">IF(IFERROR(INDEX(tsk_Name,GanttView[[#This Row],[_Row]])="",TRUE()),"",INDEX(tsk_PlanFinish,GanttView[[#This Row],[_Row]]))</f>
        <v/>
      </c>
      <c r="K53" s="93" t="str">
        <f aca="false">IF(IFERROR(INDEX(tsk_Name,GanttView[[#This Row],[_Row]])="",TRUE()),"",INDEX(tsk_Status,GanttView[[#This Row],[_Row]]))</f>
        <v/>
      </c>
      <c r="L53" s="93" t="str">
        <f aca="false">IF(IFERROR(INDEX(tsk_Name,GanttView[[#This Row],[_Row]])="",TRUE()),"",INDEX(tsk_Show,GanttView[[#This Row],[_Row]])&amp;"")</f>
        <v/>
      </c>
      <c r="M53" s="94" t="n">
        <f aca="false">ROW()-ROW(GanttView[[#Headers],[ID]])</f>
        <v>48</v>
      </c>
      <c r="N53" s="95" t="b">
        <f aca="false">IF(IFERROR(INDEX(tsk_Name,GanttView[[#This Row],[_Row]])="",TRUE()),FALSE(),INDEX(tsk_IsSummary,GanttView[[#This Row],[_Row]]))</f>
        <v>0</v>
      </c>
      <c r="O53" s="95" t="b">
        <f aca="false">IF(IFERROR(INDEX(tsk_Name,GanttView[[#This Row],[_Row]])="",TRUE()),FALSE(),AND(INDEX(tsk_IsLeaf,GanttView[[#This Row],[_Row]])=1,N(INDEX(tsk_Duration,GanttView[[#This Row],[_Row]]))=0))</f>
        <v>0</v>
      </c>
      <c r="P53" s="96" t="n">
        <f aca="false">IF(IFERROR(INDEX(tsk_Name,GanttView[[#This Row],[_Row]])="",TRUE()),0,IF(AND(INDEX(tsk_IsLeaf,GanttView[[#This Row],[_Row]])=1,NOT(GanttView[[#This Row],[_IsMilestone]]),N(GanttView[[#This Row],[%]])&gt;0),GanttView[[#This Row],[Start]],0))</f>
        <v>0</v>
      </c>
      <c r="Q53" s="96" t="n">
        <f aca="false">IF(GanttView[[#This Row],[_DoneFrom]]=0,0,IF(GanttView[[#This Row],[%]]&gt;=1,GanttView[[#This Row],[Finish]],MAX(GanttView[[#This Row],[_DoneFrom]],GanttView[[#This Row],[Start]]+ROUND((GanttView[[#This Row],[Finish]]-GanttView[[#This Row],[Start]]+1)*GanttView[[#This Row],[%]],0)-1)))</f>
        <v>0</v>
      </c>
      <c r="R53" s="96" t="n">
        <f aca="false">IF(IFERROR(INDEX(tsk_Name,GanttView[[#This Row],[_Row]])="",TRUE()),0,IF(OR(INDEX(tsk_IsLeaf,GanttView[[#This Row],[_Row]])&lt;&gt;1,GanttView[[#This Row],[_IsMilestone]],N(GanttView[[#This Row],[%]])&gt;=1),0,IF(GanttView[[#This Row],[_DoneTo]]&gt;0,GanttView[[#This Row],[_DoneTo]]+1,GanttView[[#This Row],[Start]])))</f>
        <v>0</v>
      </c>
      <c r="S53" s="96" t="n">
        <f aca="false">IF(GanttView[[#This Row],[_RemFrom]]=0,0,GanttView[[#This Row],[Finish]])</f>
        <v>0</v>
      </c>
      <c r="T53" s="95" t="b">
        <f aca="false">IF(IFERROR(INDEX(tsk_Name,GanttView[[#This Row],[_Row]])="",TRUE()),FALSE(),N(INDEX(tsk_Variance,GanttView[[#This Row],[_Row]]))&gt;0)</f>
        <v>0</v>
      </c>
      <c r="U53" s="96" t="n">
        <f aca="false">IF(IFERROR(INDEX(tsk_Name,GanttView[[#This Row],[_Row]])="",TRUE()),0,N(INDEX(tsk_Deadline,GanttView[[#This Row],[_Row]])))</f>
        <v>0</v>
      </c>
      <c r="V53" s="95" t="b">
        <f aca="false">IF(IFERROR(INDEX(tsk_Name,GanttView[[#This Row],[_Row]])="",TRUE()),FALSE(),INDEX(tsk_Critical,GanttView[[#This Row],[_Row]])="Yes")</f>
        <v>0</v>
      </c>
    </row>
    <row r="54" customFormat="false" ht="15" hidden="false" customHeight="false" outlineLevel="0" collapsed="false">
      <c r="A54" s="89" t="str">
        <f aca="false">IF(IFERROR(INDEX(tsk_Name,GanttView[[#This Row],[_Row]])="",TRUE()),"",INDEX(tsk_ID,GanttView[[#This Row],[_Row]]))</f>
        <v/>
      </c>
      <c r="B54" s="90" t="str">
        <f aca="false">IF(IFERROR(INDEX(tsk_Name,GanttView[[#This Row],[_Row]])="",TRUE()),"",REPT("    ",INDEX(tsk_Level,GanttView[[#This Row],[_Row]])-1)&amp;INDEX(tsk_Name,GanttView[[#This Row],[_Row]]))</f>
        <v/>
      </c>
      <c r="C54" s="91" t="str">
        <f aca="false">IF(IFERROR(INDEX(tsk_Name,GanttView[[#This Row],[_Row]])="",TRUE()),"",INDEX(tsk_FcStart,GanttView[[#This Row],[_Row]]))</f>
        <v/>
      </c>
      <c r="D54" s="91" t="str">
        <f aca="false">IF(IFERROR(INDEX(tsk_Name,GanttView[[#This Row],[_Row]])="",TRUE()),"",INDEX(tsk_FcFinish,GanttView[[#This Row],[_Row]]))</f>
        <v/>
      </c>
      <c r="E54" s="92" t="str">
        <f aca="false">IF(IFERROR(INDEX(tsk_Name,GanttView[[#This Row],[_Row]])="",TRUE()),"",INDEX(tsk_Progress,GanttView[[#This Row],[_Row]]))</f>
        <v/>
      </c>
      <c r="F54" s="90" t="str">
        <f aca="false">IF(IFERROR(INDEX(tsk_Name,GanttView[[#This Row],[_Row]])="",TRUE()),"",INDEX(tsk_ResourceNames,GanttView[[#This Row],[_Row]])&amp;"")</f>
        <v/>
      </c>
      <c r="G54" s="89" t="str">
        <f aca="false">IF(IFERROR(INDEX(tsk_Name,GanttView[[#This Row],[_Row]])="",TRUE()),"",INDEX(tsk_WBS,GanttView[[#This Row],[_Row]]))</f>
        <v/>
      </c>
      <c r="H54" s="89" t="str">
        <f aca="false">IF(IFERROR(INDEX(tsk_Name,GanttView[[#This Row],[_Row]])="",TRUE()),"",IF(INDEX(tsk_IsSummary,GanttView[[#This Row],[_Row]]),NETWORKDAYS.INTL(INDEX(tsk_FcStart,GanttView[[#This Row],[_Row]]),INDEX(tsk_FcFinish,GanttView[[#This Row],[_Row]]),WorkWeek,Holidays),N(INDEX(tsk_Duration,GanttView[[#This Row],[_Row]]))))</f>
        <v/>
      </c>
      <c r="I54" s="91" t="str">
        <f aca="false">IF(IFERROR(INDEX(tsk_Name,GanttView[[#This Row],[_Row]])="",TRUE()),"",INDEX(tsk_PlanStart,GanttView[[#This Row],[_Row]]))</f>
        <v/>
      </c>
      <c r="J54" s="91" t="str">
        <f aca="false">IF(IFERROR(INDEX(tsk_Name,GanttView[[#This Row],[_Row]])="",TRUE()),"",INDEX(tsk_PlanFinish,GanttView[[#This Row],[_Row]]))</f>
        <v/>
      </c>
      <c r="K54" s="93" t="str">
        <f aca="false">IF(IFERROR(INDEX(tsk_Name,GanttView[[#This Row],[_Row]])="",TRUE()),"",INDEX(tsk_Status,GanttView[[#This Row],[_Row]]))</f>
        <v/>
      </c>
      <c r="L54" s="93" t="str">
        <f aca="false">IF(IFERROR(INDEX(tsk_Name,GanttView[[#This Row],[_Row]])="",TRUE()),"",INDEX(tsk_Show,GanttView[[#This Row],[_Row]])&amp;"")</f>
        <v/>
      </c>
      <c r="M54" s="94" t="n">
        <f aca="false">ROW()-ROW(GanttView[[#Headers],[ID]])</f>
        <v>49</v>
      </c>
      <c r="N54" s="95" t="b">
        <f aca="false">IF(IFERROR(INDEX(tsk_Name,GanttView[[#This Row],[_Row]])="",TRUE()),FALSE(),INDEX(tsk_IsSummary,GanttView[[#This Row],[_Row]]))</f>
        <v>0</v>
      </c>
      <c r="O54" s="95" t="b">
        <f aca="false">IF(IFERROR(INDEX(tsk_Name,GanttView[[#This Row],[_Row]])="",TRUE()),FALSE(),AND(INDEX(tsk_IsLeaf,GanttView[[#This Row],[_Row]])=1,N(INDEX(tsk_Duration,GanttView[[#This Row],[_Row]]))=0))</f>
        <v>0</v>
      </c>
      <c r="P54" s="96" t="n">
        <f aca="false">IF(IFERROR(INDEX(tsk_Name,GanttView[[#This Row],[_Row]])="",TRUE()),0,IF(AND(INDEX(tsk_IsLeaf,GanttView[[#This Row],[_Row]])=1,NOT(GanttView[[#This Row],[_IsMilestone]]),N(GanttView[[#This Row],[%]])&gt;0),GanttView[[#This Row],[Start]],0))</f>
        <v>0</v>
      </c>
      <c r="Q54" s="96" t="n">
        <f aca="false">IF(GanttView[[#This Row],[_DoneFrom]]=0,0,IF(GanttView[[#This Row],[%]]&gt;=1,GanttView[[#This Row],[Finish]],MAX(GanttView[[#This Row],[_DoneFrom]],GanttView[[#This Row],[Start]]+ROUND((GanttView[[#This Row],[Finish]]-GanttView[[#This Row],[Start]]+1)*GanttView[[#This Row],[%]],0)-1)))</f>
        <v>0</v>
      </c>
      <c r="R54" s="96" t="n">
        <f aca="false">IF(IFERROR(INDEX(tsk_Name,GanttView[[#This Row],[_Row]])="",TRUE()),0,IF(OR(INDEX(tsk_IsLeaf,GanttView[[#This Row],[_Row]])&lt;&gt;1,GanttView[[#This Row],[_IsMilestone]],N(GanttView[[#This Row],[%]])&gt;=1),0,IF(GanttView[[#This Row],[_DoneTo]]&gt;0,GanttView[[#This Row],[_DoneTo]]+1,GanttView[[#This Row],[Start]])))</f>
        <v>0</v>
      </c>
      <c r="S54" s="96" t="n">
        <f aca="false">IF(GanttView[[#This Row],[_RemFrom]]=0,0,GanttView[[#This Row],[Finish]])</f>
        <v>0</v>
      </c>
      <c r="T54" s="95" t="b">
        <f aca="false">IF(IFERROR(INDEX(tsk_Name,GanttView[[#This Row],[_Row]])="",TRUE()),FALSE(),N(INDEX(tsk_Variance,GanttView[[#This Row],[_Row]]))&gt;0)</f>
        <v>0</v>
      </c>
      <c r="U54" s="96" t="n">
        <f aca="false">IF(IFERROR(INDEX(tsk_Name,GanttView[[#This Row],[_Row]])="",TRUE()),0,N(INDEX(tsk_Deadline,GanttView[[#This Row],[_Row]])))</f>
        <v>0</v>
      </c>
      <c r="V54" s="95" t="b">
        <f aca="false">IF(IFERROR(INDEX(tsk_Name,GanttView[[#This Row],[_Row]])="",TRUE()),FALSE(),INDEX(tsk_Critical,GanttView[[#This Row],[_Row]])="Yes")</f>
        <v>0</v>
      </c>
    </row>
    <row r="55" customFormat="false" ht="15" hidden="false" customHeight="false" outlineLevel="0" collapsed="false">
      <c r="A55" s="89" t="str">
        <f aca="false">IF(IFERROR(INDEX(tsk_Name,GanttView[[#This Row],[_Row]])="",TRUE()),"",INDEX(tsk_ID,GanttView[[#This Row],[_Row]]))</f>
        <v/>
      </c>
      <c r="B55" s="90" t="str">
        <f aca="false">IF(IFERROR(INDEX(tsk_Name,GanttView[[#This Row],[_Row]])="",TRUE()),"",REPT("    ",INDEX(tsk_Level,GanttView[[#This Row],[_Row]])-1)&amp;INDEX(tsk_Name,GanttView[[#This Row],[_Row]]))</f>
        <v/>
      </c>
      <c r="C55" s="91" t="str">
        <f aca="false">IF(IFERROR(INDEX(tsk_Name,GanttView[[#This Row],[_Row]])="",TRUE()),"",INDEX(tsk_FcStart,GanttView[[#This Row],[_Row]]))</f>
        <v/>
      </c>
      <c r="D55" s="91" t="str">
        <f aca="false">IF(IFERROR(INDEX(tsk_Name,GanttView[[#This Row],[_Row]])="",TRUE()),"",INDEX(tsk_FcFinish,GanttView[[#This Row],[_Row]]))</f>
        <v/>
      </c>
      <c r="E55" s="92" t="str">
        <f aca="false">IF(IFERROR(INDEX(tsk_Name,GanttView[[#This Row],[_Row]])="",TRUE()),"",INDEX(tsk_Progress,GanttView[[#This Row],[_Row]]))</f>
        <v/>
      </c>
      <c r="F55" s="90" t="str">
        <f aca="false">IF(IFERROR(INDEX(tsk_Name,GanttView[[#This Row],[_Row]])="",TRUE()),"",INDEX(tsk_ResourceNames,GanttView[[#This Row],[_Row]])&amp;"")</f>
        <v/>
      </c>
      <c r="G55" s="89" t="str">
        <f aca="false">IF(IFERROR(INDEX(tsk_Name,GanttView[[#This Row],[_Row]])="",TRUE()),"",INDEX(tsk_WBS,GanttView[[#This Row],[_Row]]))</f>
        <v/>
      </c>
      <c r="H55" s="89" t="str">
        <f aca="false">IF(IFERROR(INDEX(tsk_Name,GanttView[[#This Row],[_Row]])="",TRUE()),"",IF(INDEX(tsk_IsSummary,GanttView[[#This Row],[_Row]]),NETWORKDAYS.INTL(INDEX(tsk_FcStart,GanttView[[#This Row],[_Row]]),INDEX(tsk_FcFinish,GanttView[[#This Row],[_Row]]),WorkWeek,Holidays),N(INDEX(tsk_Duration,GanttView[[#This Row],[_Row]]))))</f>
        <v/>
      </c>
      <c r="I55" s="91" t="str">
        <f aca="false">IF(IFERROR(INDEX(tsk_Name,GanttView[[#This Row],[_Row]])="",TRUE()),"",INDEX(tsk_PlanStart,GanttView[[#This Row],[_Row]]))</f>
        <v/>
      </c>
      <c r="J55" s="91" t="str">
        <f aca="false">IF(IFERROR(INDEX(tsk_Name,GanttView[[#This Row],[_Row]])="",TRUE()),"",INDEX(tsk_PlanFinish,GanttView[[#This Row],[_Row]]))</f>
        <v/>
      </c>
      <c r="K55" s="93" t="str">
        <f aca="false">IF(IFERROR(INDEX(tsk_Name,GanttView[[#This Row],[_Row]])="",TRUE()),"",INDEX(tsk_Status,GanttView[[#This Row],[_Row]]))</f>
        <v/>
      </c>
      <c r="L55" s="93" t="str">
        <f aca="false">IF(IFERROR(INDEX(tsk_Name,GanttView[[#This Row],[_Row]])="",TRUE()),"",INDEX(tsk_Show,GanttView[[#This Row],[_Row]])&amp;"")</f>
        <v/>
      </c>
      <c r="M55" s="94" t="n">
        <f aca="false">ROW()-ROW(GanttView[[#Headers],[ID]])</f>
        <v>50</v>
      </c>
      <c r="N55" s="95" t="b">
        <f aca="false">IF(IFERROR(INDEX(tsk_Name,GanttView[[#This Row],[_Row]])="",TRUE()),FALSE(),INDEX(tsk_IsSummary,GanttView[[#This Row],[_Row]]))</f>
        <v>0</v>
      </c>
      <c r="O55" s="95" t="b">
        <f aca="false">IF(IFERROR(INDEX(tsk_Name,GanttView[[#This Row],[_Row]])="",TRUE()),FALSE(),AND(INDEX(tsk_IsLeaf,GanttView[[#This Row],[_Row]])=1,N(INDEX(tsk_Duration,GanttView[[#This Row],[_Row]]))=0))</f>
        <v>0</v>
      </c>
      <c r="P55" s="96" t="n">
        <f aca="false">IF(IFERROR(INDEX(tsk_Name,GanttView[[#This Row],[_Row]])="",TRUE()),0,IF(AND(INDEX(tsk_IsLeaf,GanttView[[#This Row],[_Row]])=1,NOT(GanttView[[#This Row],[_IsMilestone]]),N(GanttView[[#This Row],[%]])&gt;0),GanttView[[#This Row],[Start]],0))</f>
        <v>0</v>
      </c>
      <c r="Q55" s="96" t="n">
        <f aca="false">IF(GanttView[[#This Row],[_DoneFrom]]=0,0,IF(GanttView[[#This Row],[%]]&gt;=1,GanttView[[#This Row],[Finish]],MAX(GanttView[[#This Row],[_DoneFrom]],GanttView[[#This Row],[Start]]+ROUND((GanttView[[#This Row],[Finish]]-GanttView[[#This Row],[Start]]+1)*GanttView[[#This Row],[%]],0)-1)))</f>
        <v>0</v>
      </c>
      <c r="R55" s="96" t="n">
        <f aca="false">IF(IFERROR(INDEX(tsk_Name,GanttView[[#This Row],[_Row]])="",TRUE()),0,IF(OR(INDEX(tsk_IsLeaf,GanttView[[#This Row],[_Row]])&lt;&gt;1,GanttView[[#This Row],[_IsMilestone]],N(GanttView[[#This Row],[%]])&gt;=1),0,IF(GanttView[[#This Row],[_DoneTo]]&gt;0,GanttView[[#This Row],[_DoneTo]]+1,GanttView[[#This Row],[Start]])))</f>
        <v>0</v>
      </c>
      <c r="S55" s="96" t="n">
        <f aca="false">IF(GanttView[[#This Row],[_RemFrom]]=0,0,GanttView[[#This Row],[Finish]])</f>
        <v>0</v>
      </c>
      <c r="T55" s="95" t="b">
        <f aca="false">IF(IFERROR(INDEX(tsk_Name,GanttView[[#This Row],[_Row]])="",TRUE()),FALSE(),N(INDEX(tsk_Variance,GanttView[[#This Row],[_Row]]))&gt;0)</f>
        <v>0</v>
      </c>
      <c r="U55" s="96" t="n">
        <f aca="false">IF(IFERROR(INDEX(tsk_Name,GanttView[[#This Row],[_Row]])="",TRUE()),0,N(INDEX(tsk_Deadline,GanttView[[#This Row],[_Row]])))</f>
        <v>0</v>
      </c>
      <c r="V55" s="95" t="b">
        <f aca="false">IF(IFERROR(INDEX(tsk_Name,GanttView[[#This Row],[_Row]])="",TRUE()),FALSE(),INDEX(tsk_Critical,GanttView[[#This Row],[_Row]])="Yes")</f>
        <v>0</v>
      </c>
    </row>
    <row r="56" customFormat="false" ht="15" hidden="false" customHeight="false" outlineLevel="0" collapsed="false">
      <c r="A56" s="89" t="str">
        <f aca="false">IF(IFERROR(INDEX(tsk_Name,GanttView[[#This Row],[_Row]])="",TRUE()),"",INDEX(tsk_ID,GanttView[[#This Row],[_Row]]))</f>
        <v/>
      </c>
      <c r="B56" s="90" t="str">
        <f aca="false">IF(IFERROR(INDEX(tsk_Name,GanttView[[#This Row],[_Row]])="",TRUE()),"",REPT("    ",INDEX(tsk_Level,GanttView[[#This Row],[_Row]])-1)&amp;INDEX(tsk_Name,GanttView[[#This Row],[_Row]]))</f>
        <v/>
      </c>
      <c r="C56" s="91" t="str">
        <f aca="false">IF(IFERROR(INDEX(tsk_Name,GanttView[[#This Row],[_Row]])="",TRUE()),"",INDEX(tsk_FcStart,GanttView[[#This Row],[_Row]]))</f>
        <v/>
      </c>
      <c r="D56" s="91" t="str">
        <f aca="false">IF(IFERROR(INDEX(tsk_Name,GanttView[[#This Row],[_Row]])="",TRUE()),"",INDEX(tsk_FcFinish,GanttView[[#This Row],[_Row]]))</f>
        <v/>
      </c>
      <c r="E56" s="92" t="str">
        <f aca="false">IF(IFERROR(INDEX(tsk_Name,GanttView[[#This Row],[_Row]])="",TRUE()),"",INDEX(tsk_Progress,GanttView[[#This Row],[_Row]]))</f>
        <v/>
      </c>
      <c r="F56" s="90" t="str">
        <f aca="false">IF(IFERROR(INDEX(tsk_Name,GanttView[[#This Row],[_Row]])="",TRUE()),"",INDEX(tsk_ResourceNames,GanttView[[#This Row],[_Row]])&amp;"")</f>
        <v/>
      </c>
      <c r="G56" s="89" t="str">
        <f aca="false">IF(IFERROR(INDEX(tsk_Name,GanttView[[#This Row],[_Row]])="",TRUE()),"",INDEX(tsk_WBS,GanttView[[#This Row],[_Row]]))</f>
        <v/>
      </c>
      <c r="H56" s="89" t="str">
        <f aca="false">IF(IFERROR(INDEX(tsk_Name,GanttView[[#This Row],[_Row]])="",TRUE()),"",IF(INDEX(tsk_IsSummary,GanttView[[#This Row],[_Row]]),NETWORKDAYS.INTL(INDEX(tsk_FcStart,GanttView[[#This Row],[_Row]]),INDEX(tsk_FcFinish,GanttView[[#This Row],[_Row]]),WorkWeek,Holidays),N(INDEX(tsk_Duration,GanttView[[#This Row],[_Row]]))))</f>
        <v/>
      </c>
      <c r="I56" s="91" t="str">
        <f aca="false">IF(IFERROR(INDEX(tsk_Name,GanttView[[#This Row],[_Row]])="",TRUE()),"",INDEX(tsk_PlanStart,GanttView[[#This Row],[_Row]]))</f>
        <v/>
      </c>
      <c r="J56" s="91" t="str">
        <f aca="false">IF(IFERROR(INDEX(tsk_Name,GanttView[[#This Row],[_Row]])="",TRUE()),"",INDEX(tsk_PlanFinish,GanttView[[#This Row],[_Row]]))</f>
        <v/>
      </c>
      <c r="K56" s="93" t="str">
        <f aca="false">IF(IFERROR(INDEX(tsk_Name,GanttView[[#This Row],[_Row]])="",TRUE()),"",INDEX(tsk_Status,GanttView[[#This Row],[_Row]]))</f>
        <v/>
      </c>
      <c r="L56" s="93" t="str">
        <f aca="false">IF(IFERROR(INDEX(tsk_Name,GanttView[[#This Row],[_Row]])="",TRUE()),"",INDEX(tsk_Show,GanttView[[#This Row],[_Row]])&amp;"")</f>
        <v/>
      </c>
      <c r="M56" s="94" t="n">
        <f aca="false">ROW()-ROW(GanttView[[#Headers],[ID]])</f>
        <v>51</v>
      </c>
      <c r="N56" s="95" t="b">
        <f aca="false">IF(IFERROR(INDEX(tsk_Name,GanttView[[#This Row],[_Row]])="",TRUE()),FALSE(),INDEX(tsk_IsSummary,GanttView[[#This Row],[_Row]]))</f>
        <v>0</v>
      </c>
      <c r="O56" s="95" t="b">
        <f aca="false">IF(IFERROR(INDEX(tsk_Name,GanttView[[#This Row],[_Row]])="",TRUE()),FALSE(),AND(INDEX(tsk_IsLeaf,GanttView[[#This Row],[_Row]])=1,N(INDEX(tsk_Duration,GanttView[[#This Row],[_Row]]))=0))</f>
        <v>0</v>
      </c>
      <c r="P56" s="96" t="n">
        <f aca="false">IF(IFERROR(INDEX(tsk_Name,GanttView[[#This Row],[_Row]])="",TRUE()),0,IF(AND(INDEX(tsk_IsLeaf,GanttView[[#This Row],[_Row]])=1,NOT(GanttView[[#This Row],[_IsMilestone]]),N(GanttView[[#This Row],[%]])&gt;0),GanttView[[#This Row],[Start]],0))</f>
        <v>0</v>
      </c>
      <c r="Q56" s="96" t="n">
        <f aca="false">IF(GanttView[[#This Row],[_DoneFrom]]=0,0,IF(GanttView[[#This Row],[%]]&gt;=1,GanttView[[#This Row],[Finish]],MAX(GanttView[[#This Row],[_DoneFrom]],GanttView[[#This Row],[Start]]+ROUND((GanttView[[#This Row],[Finish]]-GanttView[[#This Row],[Start]]+1)*GanttView[[#This Row],[%]],0)-1)))</f>
        <v>0</v>
      </c>
      <c r="R56" s="96" t="n">
        <f aca="false">IF(IFERROR(INDEX(tsk_Name,GanttView[[#This Row],[_Row]])="",TRUE()),0,IF(OR(INDEX(tsk_IsLeaf,GanttView[[#This Row],[_Row]])&lt;&gt;1,GanttView[[#This Row],[_IsMilestone]],N(GanttView[[#This Row],[%]])&gt;=1),0,IF(GanttView[[#This Row],[_DoneTo]]&gt;0,GanttView[[#This Row],[_DoneTo]]+1,GanttView[[#This Row],[Start]])))</f>
        <v>0</v>
      </c>
      <c r="S56" s="96" t="n">
        <f aca="false">IF(GanttView[[#This Row],[_RemFrom]]=0,0,GanttView[[#This Row],[Finish]])</f>
        <v>0</v>
      </c>
      <c r="T56" s="95" t="b">
        <f aca="false">IF(IFERROR(INDEX(tsk_Name,GanttView[[#This Row],[_Row]])="",TRUE()),FALSE(),N(INDEX(tsk_Variance,GanttView[[#This Row],[_Row]]))&gt;0)</f>
        <v>0</v>
      </c>
      <c r="U56" s="96" t="n">
        <f aca="false">IF(IFERROR(INDEX(tsk_Name,GanttView[[#This Row],[_Row]])="",TRUE()),0,N(INDEX(tsk_Deadline,GanttView[[#This Row],[_Row]])))</f>
        <v>0</v>
      </c>
      <c r="V56" s="95" t="b">
        <f aca="false">IF(IFERROR(INDEX(tsk_Name,GanttView[[#This Row],[_Row]])="",TRUE()),FALSE(),INDEX(tsk_Critical,GanttView[[#This Row],[_Row]])="Yes")</f>
        <v>0</v>
      </c>
    </row>
    <row r="57" customFormat="false" ht="15" hidden="false" customHeight="false" outlineLevel="0" collapsed="false">
      <c r="A57" s="89" t="str">
        <f aca="false">IF(IFERROR(INDEX(tsk_Name,GanttView[[#This Row],[_Row]])="",TRUE()),"",INDEX(tsk_ID,GanttView[[#This Row],[_Row]]))</f>
        <v/>
      </c>
      <c r="B57" s="90" t="str">
        <f aca="false">IF(IFERROR(INDEX(tsk_Name,GanttView[[#This Row],[_Row]])="",TRUE()),"",REPT("    ",INDEX(tsk_Level,GanttView[[#This Row],[_Row]])-1)&amp;INDEX(tsk_Name,GanttView[[#This Row],[_Row]]))</f>
        <v/>
      </c>
      <c r="C57" s="91" t="str">
        <f aca="false">IF(IFERROR(INDEX(tsk_Name,GanttView[[#This Row],[_Row]])="",TRUE()),"",INDEX(tsk_FcStart,GanttView[[#This Row],[_Row]]))</f>
        <v/>
      </c>
      <c r="D57" s="91" t="str">
        <f aca="false">IF(IFERROR(INDEX(tsk_Name,GanttView[[#This Row],[_Row]])="",TRUE()),"",INDEX(tsk_FcFinish,GanttView[[#This Row],[_Row]]))</f>
        <v/>
      </c>
      <c r="E57" s="92" t="str">
        <f aca="false">IF(IFERROR(INDEX(tsk_Name,GanttView[[#This Row],[_Row]])="",TRUE()),"",INDEX(tsk_Progress,GanttView[[#This Row],[_Row]]))</f>
        <v/>
      </c>
      <c r="F57" s="90" t="str">
        <f aca="false">IF(IFERROR(INDEX(tsk_Name,GanttView[[#This Row],[_Row]])="",TRUE()),"",INDEX(tsk_ResourceNames,GanttView[[#This Row],[_Row]])&amp;"")</f>
        <v/>
      </c>
      <c r="G57" s="89" t="str">
        <f aca="false">IF(IFERROR(INDEX(tsk_Name,GanttView[[#This Row],[_Row]])="",TRUE()),"",INDEX(tsk_WBS,GanttView[[#This Row],[_Row]]))</f>
        <v/>
      </c>
      <c r="H57" s="89" t="str">
        <f aca="false">IF(IFERROR(INDEX(tsk_Name,GanttView[[#This Row],[_Row]])="",TRUE()),"",IF(INDEX(tsk_IsSummary,GanttView[[#This Row],[_Row]]),NETWORKDAYS.INTL(INDEX(tsk_FcStart,GanttView[[#This Row],[_Row]]),INDEX(tsk_FcFinish,GanttView[[#This Row],[_Row]]),WorkWeek,Holidays),N(INDEX(tsk_Duration,GanttView[[#This Row],[_Row]]))))</f>
        <v/>
      </c>
      <c r="I57" s="91" t="str">
        <f aca="false">IF(IFERROR(INDEX(tsk_Name,GanttView[[#This Row],[_Row]])="",TRUE()),"",INDEX(tsk_PlanStart,GanttView[[#This Row],[_Row]]))</f>
        <v/>
      </c>
      <c r="J57" s="91" t="str">
        <f aca="false">IF(IFERROR(INDEX(tsk_Name,GanttView[[#This Row],[_Row]])="",TRUE()),"",INDEX(tsk_PlanFinish,GanttView[[#This Row],[_Row]]))</f>
        <v/>
      </c>
      <c r="K57" s="93" t="str">
        <f aca="false">IF(IFERROR(INDEX(tsk_Name,GanttView[[#This Row],[_Row]])="",TRUE()),"",INDEX(tsk_Status,GanttView[[#This Row],[_Row]]))</f>
        <v/>
      </c>
      <c r="L57" s="93" t="str">
        <f aca="false">IF(IFERROR(INDEX(tsk_Name,GanttView[[#This Row],[_Row]])="",TRUE()),"",INDEX(tsk_Show,GanttView[[#This Row],[_Row]])&amp;"")</f>
        <v/>
      </c>
      <c r="M57" s="94" t="n">
        <f aca="false">ROW()-ROW(GanttView[[#Headers],[ID]])</f>
        <v>52</v>
      </c>
      <c r="N57" s="95" t="b">
        <f aca="false">IF(IFERROR(INDEX(tsk_Name,GanttView[[#This Row],[_Row]])="",TRUE()),FALSE(),INDEX(tsk_IsSummary,GanttView[[#This Row],[_Row]]))</f>
        <v>0</v>
      </c>
      <c r="O57" s="95" t="b">
        <f aca="false">IF(IFERROR(INDEX(tsk_Name,GanttView[[#This Row],[_Row]])="",TRUE()),FALSE(),AND(INDEX(tsk_IsLeaf,GanttView[[#This Row],[_Row]])=1,N(INDEX(tsk_Duration,GanttView[[#This Row],[_Row]]))=0))</f>
        <v>0</v>
      </c>
      <c r="P57" s="96" t="n">
        <f aca="false">IF(IFERROR(INDEX(tsk_Name,GanttView[[#This Row],[_Row]])="",TRUE()),0,IF(AND(INDEX(tsk_IsLeaf,GanttView[[#This Row],[_Row]])=1,NOT(GanttView[[#This Row],[_IsMilestone]]),N(GanttView[[#This Row],[%]])&gt;0),GanttView[[#This Row],[Start]],0))</f>
        <v>0</v>
      </c>
      <c r="Q57" s="96" t="n">
        <f aca="false">IF(GanttView[[#This Row],[_DoneFrom]]=0,0,IF(GanttView[[#This Row],[%]]&gt;=1,GanttView[[#This Row],[Finish]],MAX(GanttView[[#This Row],[_DoneFrom]],GanttView[[#This Row],[Start]]+ROUND((GanttView[[#This Row],[Finish]]-GanttView[[#This Row],[Start]]+1)*GanttView[[#This Row],[%]],0)-1)))</f>
        <v>0</v>
      </c>
      <c r="R57" s="96" t="n">
        <f aca="false">IF(IFERROR(INDEX(tsk_Name,GanttView[[#This Row],[_Row]])="",TRUE()),0,IF(OR(INDEX(tsk_IsLeaf,GanttView[[#This Row],[_Row]])&lt;&gt;1,GanttView[[#This Row],[_IsMilestone]],N(GanttView[[#This Row],[%]])&gt;=1),0,IF(GanttView[[#This Row],[_DoneTo]]&gt;0,GanttView[[#This Row],[_DoneTo]]+1,GanttView[[#This Row],[Start]])))</f>
        <v>0</v>
      </c>
      <c r="S57" s="96" t="n">
        <f aca="false">IF(GanttView[[#This Row],[_RemFrom]]=0,0,GanttView[[#This Row],[Finish]])</f>
        <v>0</v>
      </c>
      <c r="T57" s="95" t="b">
        <f aca="false">IF(IFERROR(INDEX(tsk_Name,GanttView[[#This Row],[_Row]])="",TRUE()),FALSE(),N(INDEX(tsk_Variance,GanttView[[#This Row],[_Row]]))&gt;0)</f>
        <v>0</v>
      </c>
      <c r="U57" s="96" t="n">
        <f aca="false">IF(IFERROR(INDEX(tsk_Name,GanttView[[#This Row],[_Row]])="",TRUE()),0,N(INDEX(tsk_Deadline,GanttView[[#This Row],[_Row]])))</f>
        <v>0</v>
      </c>
      <c r="V57" s="95" t="b">
        <f aca="false">IF(IFERROR(INDEX(tsk_Name,GanttView[[#This Row],[_Row]])="",TRUE()),FALSE(),INDEX(tsk_Critical,GanttView[[#This Row],[_Row]])="Yes")</f>
        <v>0</v>
      </c>
    </row>
    <row r="58" customFormat="false" ht="15" hidden="false" customHeight="false" outlineLevel="0" collapsed="false">
      <c r="A58" s="89" t="str">
        <f aca="false">IF(IFERROR(INDEX(tsk_Name,GanttView[[#This Row],[_Row]])="",TRUE()),"",INDEX(tsk_ID,GanttView[[#This Row],[_Row]]))</f>
        <v/>
      </c>
      <c r="B58" s="90" t="str">
        <f aca="false">IF(IFERROR(INDEX(tsk_Name,GanttView[[#This Row],[_Row]])="",TRUE()),"",REPT("    ",INDEX(tsk_Level,GanttView[[#This Row],[_Row]])-1)&amp;INDEX(tsk_Name,GanttView[[#This Row],[_Row]]))</f>
        <v/>
      </c>
      <c r="C58" s="91" t="str">
        <f aca="false">IF(IFERROR(INDEX(tsk_Name,GanttView[[#This Row],[_Row]])="",TRUE()),"",INDEX(tsk_FcStart,GanttView[[#This Row],[_Row]]))</f>
        <v/>
      </c>
      <c r="D58" s="91" t="str">
        <f aca="false">IF(IFERROR(INDEX(tsk_Name,GanttView[[#This Row],[_Row]])="",TRUE()),"",INDEX(tsk_FcFinish,GanttView[[#This Row],[_Row]]))</f>
        <v/>
      </c>
      <c r="E58" s="92" t="str">
        <f aca="false">IF(IFERROR(INDEX(tsk_Name,GanttView[[#This Row],[_Row]])="",TRUE()),"",INDEX(tsk_Progress,GanttView[[#This Row],[_Row]]))</f>
        <v/>
      </c>
      <c r="F58" s="90" t="str">
        <f aca="false">IF(IFERROR(INDEX(tsk_Name,GanttView[[#This Row],[_Row]])="",TRUE()),"",INDEX(tsk_ResourceNames,GanttView[[#This Row],[_Row]])&amp;"")</f>
        <v/>
      </c>
      <c r="G58" s="89" t="str">
        <f aca="false">IF(IFERROR(INDEX(tsk_Name,GanttView[[#This Row],[_Row]])="",TRUE()),"",INDEX(tsk_WBS,GanttView[[#This Row],[_Row]]))</f>
        <v/>
      </c>
      <c r="H58" s="89" t="str">
        <f aca="false">IF(IFERROR(INDEX(tsk_Name,GanttView[[#This Row],[_Row]])="",TRUE()),"",IF(INDEX(tsk_IsSummary,GanttView[[#This Row],[_Row]]),NETWORKDAYS.INTL(INDEX(tsk_FcStart,GanttView[[#This Row],[_Row]]),INDEX(tsk_FcFinish,GanttView[[#This Row],[_Row]]),WorkWeek,Holidays),N(INDEX(tsk_Duration,GanttView[[#This Row],[_Row]]))))</f>
        <v/>
      </c>
      <c r="I58" s="91" t="str">
        <f aca="false">IF(IFERROR(INDEX(tsk_Name,GanttView[[#This Row],[_Row]])="",TRUE()),"",INDEX(tsk_PlanStart,GanttView[[#This Row],[_Row]]))</f>
        <v/>
      </c>
      <c r="J58" s="91" t="str">
        <f aca="false">IF(IFERROR(INDEX(tsk_Name,GanttView[[#This Row],[_Row]])="",TRUE()),"",INDEX(tsk_PlanFinish,GanttView[[#This Row],[_Row]]))</f>
        <v/>
      </c>
      <c r="K58" s="93" t="str">
        <f aca="false">IF(IFERROR(INDEX(tsk_Name,GanttView[[#This Row],[_Row]])="",TRUE()),"",INDEX(tsk_Status,GanttView[[#This Row],[_Row]]))</f>
        <v/>
      </c>
      <c r="L58" s="93" t="str">
        <f aca="false">IF(IFERROR(INDEX(tsk_Name,GanttView[[#This Row],[_Row]])="",TRUE()),"",INDEX(tsk_Show,GanttView[[#This Row],[_Row]])&amp;"")</f>
        <v/>
      </c>
      <c r="M58" s="94" t="n">
        <f aca="false">ROW()-ROW(GanttView[[#Headers],[ID]])</f>
        <v>53</v>
      </c>
      <c r="N58" s="95" t="b">
        <f aca="false">IF(IFERROR(INDEX(tsk_Name,GanttView[[#This Row],[_Row]])="",TRUE()),FALSE(),INDEX(tsk_IsSummary,GanttView[[#This Row],[_Row]]))</f>
        <v>0</v>
      </c>
      <c r="O58" s="95" t="b">
        <f aca="false">IF(IFERROR(INDEX(tsk_Name,GanttView[[#This Row],[_Row]])="",TRUE()),FALSE(),AND(INDEX(tsk_IsLeaf,GanttView[[#This Row],[_Row]])=1,N(INDEX(tsk_Duration,GanttView[[#This Row],[_Row]]))=0))</f>
        <v>0</v>
      </c>
      <c r="P58" s="96" t="n">
        <f aca="false">IF(IFERROR(INDEX(tsk_Name,GanttView[[#This Row],[_Row]])="",TRUE()),0,IF(AND(INDEX(tsk_IsLeaf,GanttView[[#This Row],[_Row]])=1,NOT(GanttView[[#This Row],[_IsMilestone]]),N(GanttView[[#This Row],[%]])&gt;0),GanttView[[#This Row],[Start]],0))</f>
        <v>0</v>
      </c>
      <c r="Q58" s="96" t="n">
        <f aca="false">IF(GanttView[[#This Row],[_DoneFrom]]=0,0,IF(GanttView[[#This Row],[%]]&gt;=1,GanttView[[#This Row],[Finish]],MAX(GanttView[[#This Row],[_DoneFrom]],GanttView[[#This Row],[Start]]+ROUND((GanttView[[#This Row],[Finish]]-GanttView[[#This Row],[Start]]+1)*GanttView[[#This Row],[%]],0)-1)))</f>
        <v>0</v>
      </c>
      <c r="R58" s="96" t="n">
        <f aca="false">IF(IFERROR(INDEX(tsk_Name,GanttView[[#This Row],[_Row]])="",TRUE()),0,IF(OR(INDEX(tsk_IsLeaf,GanttView[[#This Row],[_Row]])&lt;&gt;1,GanttView[[#This Row],[_IsMilestone]],N(GanttView[[#This Row],[%]])&gt;=1),0,IF(GanttView[[#This Row],[_DoneTo]]&gt;0,GanttView[[#This Row],[_DoneTo]]+1,GanttView[[#This Row],[Start]])))</f>
        <v>0</v>
      </c>
      <c r="S58" s="96" t="n">
        <f aca="false">IF(GanttView[[#This Row],[_RemFrom]]=0,0,GanttView[[#This Row],[Finish]])</f>
        <v>0</v>
      </c>
      <c r="T58" s="95" t="b">
        <f aca="false">IF(IFERROR(INDEX(tsk_Name,GanttView[[#This Row],[_Row]])="",TRUE()),FALSE(),N(INDEX(tsk_Variance,GanttView[[#This Row],[_Row]]))&gt;0)</f>
        <v>0</v>
      </c>
      <c r="U58" s="96" t="n">
        <f aca="false">IF(IFERROR(INDEX(tsk_Name,GanttView[[#This Row],[_Row]])="",TRUE()),0,N(INDEX(tsk_Deadline,GanttView[[#This Row],[_Row]])))</f>
        <v>0</v>
      </c>
      <c r="V58" s="95" t="b">
        <f aca="false">IF(IFERROR(INDEX(tsk_Name,GanttView[[#This Row],[_Row]])="",TRUE()),FALSE(),INDEX(tsk_Critical,GanttView[[#This Row],[_Row]])="Yes")</f>
        <v>0</v>
      </c>
    </row>
    <row r="59" customFormat="false" ht="15" hidden="false" customHeight="false" outlineLevel="0" collapsed="false">
      <c r="A59" s="89" t="str">
        <f aca="false">IF(IFERROR(INDEX(tsk_Name,GanttView[[#This Row],[_Row]])="",TRUE()),"",INDEX(tsk_ID,GanttView[[#This Row],[_Row]]))</f>
        <v/>
      </c>
      <c r="B59" s="90" t="str">
        <f aca="false">IF(IFERROR(INDEX(tsk_Name,GanttView[[#This Row],[_Row]])="",TRUE()),"",REPT("    ",INDEX(tsk_Level,GanttView[[#This Row],[_Row]])-1)&amp;INDEX(tsk_Name,GanttView[[#This Row],[_Row]]))</f>
        <v/>
      </c>
      <c r="C59" s="91" t="str">
        <f aca="false">IF(IFERROR(INDEX(tsk_Name,GanttView[[#This Row],[_Row]])="",TRUE()),"",INDEX(tsk_FcStart,GanttView[[#This Row],[_Row]]))</f>
        <v/>
      </c>
      <c r="D59" s="91" t="str">
        <f aca="false">IF(IFERROR(INDEX(tsk_Name,GanttView[[#This Row],[_Row]])="",TRUE()),"",INDEX(tsk_FcFinish,GanttView[[#This Row],[_Row]]))</f>
        <v/>
      </c>
      <c r="E59" s="92" t="str">
        <f aca="false">IF(IFERROR(INDEX(tsk_Name,GanttView[[#This Row],[_Row]])="",TRUE()),"",INDEX(tsk_Progress,GanttView[[#This Row],[_Row]]))</f>
        <v/>
      </c>
      <c r="F59" s="90" t="str">
        <f aca="false">IF(IFERROR(INDEX(tsk_Name,GanttView[[#This Row],[_Row]])="",TRUE()),"",INDEX(tsk_ResourceNames,GanttView[[#This Row],[_Row]])&amp;"")</f>
        <v/>
      </c>
      <c r="G59" s="89" t="str">
        <f aca="false">IF(IFERROR(INDEX(tsk_Name,GanttView[[#This Row],[_Row]])="",TRUE()),"",INDEX(tsk_WBS,GanttView[[#This Row],[_Row]]))</f>
        <v/>
      </c>
      <c r="H59" s="89" t="str">
        <f aca="false">IF(IFERROR(INDEX(tsk_Name,GanttView[[#This Row],[_Row]])="",TRUE()),"",IF(INDEX(tsk_IsSummary,GanttView[[#This Row],[_Row]]),NETWORKDAYS.INTL(INDEX(tsk_FcStart,GanttView[[#This Row],[_Row]]),INDEX(tsk_FcFinish,GanttView[[#This Row],[_Row]]),WorkWeek,Holidays),N(INDEX(tsk_Duration,GanttView[[#This Row],[_Row]]))))</f>
        <v/>
      </c>
      <c r="I59" s="91" t="str">
        <f aca="false">IF(IFERROR(INDEX(tsk_Name,GanttView[[#This Row],[_Row]])="",TRUE()),"",INDEX(tsk_PlanStart,GanttView[[#This Row],[_Row]]))</f>
        <v/>
      </c>
      <c r="J59" s="91" t="str">
        <f aca="false">IF(IFERROR(INDEX(tsk_Name,GanttView[[#This Row],[_Row]])="",TRUE()),"",INDEX(tsk_PlanFinish,GanttView[[#This Row],[_Row]]))</f>
        <v/>
      </c>
      <c r="K59" s="93" t="str">
        <f aca="false">IF(IFERROR(INDEX(tsk_Name,GanttView[[#This Row],[_Row]])="",TRUE()),"",INDEX(tsk_Status,GanttView[[#This Row],[_Row]]))</f>
        <v/>
      </c>
      <c r="L59" s="93" t="str">
        <f aca="false">IF(IFERROR(INDEX(tsk_Name,GanttView[[#This Row],[_Row]])="",TRUE()),"",INDEX(tsk_Show,GanttView[[#This Row],[_Row]])&amp;"")</f>
        <v/>
      </c>
      <c r="M59" s="94" t="n">
        <f aca="false">ROW()-ROW(GanttView[[#Headers],[ID]])</f>
        <v>54</v>
      </c>
      <c r="N59" s="95" t="b">
        <f aca="false">IF(IFERROR(INDEX(tsk_Name,GanttView[[#This Row],[_Row]])="",TRUE()),FALSE(),INDEX(tsk_IsSummary,GanttView[[#This Row],[_Row]]))</f>
        <v>0</v>
      </c>
      <c r="O59" s="95" t="b">
        <f aca="false">IF(IFERROR(INDEX(tsk_Name,GanttView[[#This Row],[_Row]])="",TRUE()),FALSE(),AND(INDEX(tsk_IsLeaf,GanttView[[#This Row],[_Row]])=1,N(INDEX(tsk_Duration,GanttView[[#This Row],[_Row]]))=0))</f>
        <v>0</v>
      </c>
      <c r="P59" s="96" t="n">
        <f aca="false">IF(IFERROR(INDEX(tsk_Name,GanttView[[#This Row],[_Row]])="",TRUE()),0,IF(AND(INDEX(tsk_IsLeaf,GanttView[[#This Row],[_Row]])=1,NOT(GanttView[[#This Row],[_IsMilestone]]),N(GanttView[[#This Row],[%]])&gt;0),GanttView[[#This Row],[Start]],0))</f>
        <v>0</v>
      </c>
      <c r="Q59" s="96" t="n">
        <f aca="false">IF(GanttView[[#This Row],[_DoneFrom]]=0,0,IF(GanttView[[#This Row],[%]]&gt;=1,GanttView[[#This Row],[Finish]],MAX(GanttView[[#This Row],[_DoneFrom]],GanttView[[#This Row],[Start]]+ROUND((GanttView[[#This Row],[Finish]]-GanttView[[#This Row],[Start]]+1)*GanttView[[#This Row],[%]],0)-1)))</f>
        <v>0</v>
      </c>
      <c r="R59" s="96" t="n">
        <f aca="false">IF(IFERROR(INDEX(tsk_Name,GanttView[[#This Row],[_Row]])="",TRUE()),0,IF(OR(INDEX(tsk_IsLeaf,GanttView[[#This Row],[_Row]])&lt;&gt;1,GanttView[[#This Row],[_IsMilestone]],N(GanttView[[#This Row],[%]])&gt;=1),0,IF(GanttView[[#This Row],[_DoneTo]]&gt;0,GanttView[[#This Row],[_DoneTo]]+1,GanttView[[#This Row],[Start]])))</f>
        <v>0</v>
      </c>
      <c r="S59" s="96" t="n">
        <f aca="false">IF(GanttView[[#This Row],[_RemFrom]]=0,0,GanttView[[#This Row],[Finish]])</f>
        <v>0</v>
      </c>
      <c r="T59" s="95" t="b">
        <f aca="false">IF(IFERROR(INDEX(tsk_Name,GanttView[[#This Row],[_Row]])="",TRUE()),FALSE(),N(INDEX(tsk_Variance,GanttView[[#This Row],[_Row]]))&gt;0)</f>
        <v>0</v>
      </c>
      <c r="U59" s="96" t="n">
        <f aca="false">IF(IFERROR(INDEX(tsk_Name,GanttView[[#This Row],[_Row]])="",TRUE()),0,N(INDEX(tsk_Deadline,GanttView[[#This Row],[_Row]])))</f>
        <v>0</v>
      </c>
      <c r="V59" s="95" t="b">
        <f aca="false">IF(IFERROR(INDEX(tsk_Name,GanttView[[#This Row],[_Row]])="",TRUE()),FALSE(),INDEX(tsk_Critical,GanttView[[#This Row],[_Row]])="Yes")</f>
        <v>0</v>
      </c>
    </row>
    <row r="60" customFormat="false" ht="15" hidden="false" customHeight="false" outlineLevel="0" collapsed="false">
      <c r="A60" s="89" t="str">
        <f aca="false">IF(IFERROR(INDEX(tsk_Name,GanttView[[#This Row],[_Row]])="",TRUE()),"",INDEX(tsk_ID,GanttView[[#This Row],[_Row]]))</f>
        <v/>
      </c>
      <c r="B60" s="90" t="str">
        <f aca="false">IF(IFERROR(INDEX(tsk_Name,GanttView[[#This Row],[_Row]])="",TRUE()),"",REPT("    ",INDEX(tsk_Level,GanttView[[#This Row],[_Row]])-1)&amp;INDEX(tsk_Name,GanttView[[#This Row],[_Row]]))</f>
        <v/>
      </c>
      <c r="C60" s="91" t="str">
        <f aca="false">IF(IFERROR(INDEX(tsk_Name,GanttView[[#This Row],[_Row]])="",TRUE()),"",INDEX(tsk_FcStart,GanttView[[#This Row],[_Row]]))</f>
        <v/>
      </c>
      <c r="D60" s="91" t="str">
        <f aca="false">IF(IFERROR(INDEX(tsk_Name,GanttView[[#This Row],[_Row]])="",TRUE()),"",INDEX(tsk_FcFinish,GanttView[[#This Row],[_Row]]))</f>
        <v/>
      </c>
      <c r="E60" s="92" t="str">
        <f aca="false">IF(IFERROR(INDEX(tsk_Name,GanttView[[#This Row],[_Row]])="",TRUE()),"",INDEX(tsk_Progress,GanttView[[#This Row],[_Row]]))</f>
        <v/>
      </c>
      <c r="F60" s="90" t="str">
        <f aca="false">IF(IFERROR(INDEX(tsk_Name,GanttView[[#This Row],[_Row]])="",TRUE()),"",INDEX(tsk_ResourceNames,GanttView[[#This Row],[_Row]])&amp;"")</f>
        <v/>
      </c>
      <c r="G60" s="89" t="str">
        <f aca="false">IF(IFERROR(INDEX(tsk_Name,GanttView[[#This Row],[_Row]])="",TRUE()),"",INDEX(tsk_WBS,GanttView[[#This Row],[_Row]]))</f>
        <v/>
      </c>
      <c r="H60" s="89" t="str">
        <f aca="false">IF(IFERROR(INDEX(tsk_Name,GanttView[[#This Row],[_Row]])="",TRUE()),"",IF(INDEX(tsk_IsSummary,GanttView[[#This Row],[_Row]]),NETWORKDAYS.INTL(INDEX(tsk_FcStart,GanttView[[#This Row],[_Row]]),INDEX(tsk_FcFinish,GanttView[[#This Row],[_Row]]),WorkWeek,Holidays),N(INDEX(tsk_Duration,GanttView[[#This Row],[_Row]]))))</f>
        <v/>
      </c>
      <c r="I60" s="91" t="str">
        <f aca="false">IF(IFERROR(INDEX(tsk_Name,GanttView[[#This Row],[_Row]])="",TRUE()),"",INDEX(tsk_PlanStart,GanttView[[#This Row],[_Row]]))</f>
        <v/>
      </c>
      <c r="J60" s="91" t="str">
        <f aca="false">IF(IFERROR(INDEX(tsk_Name,GanttView[[#This Row],[_Row]])="",TRUE()),"",INDEX(tsk_PlanFinish,GanttView[[#This Row],[_Row]]))</f>
        <v/>
      </c>
      <c r="K60" s="93" t="str">
        <f aca="false">IF(IFERROR(INDEX(tsk_Name,GanttView[[#This Row],[_Row]])="",TRUE()),"",INDEX(tsk_Status,GanttView[[#This Row],[_Row]]))</f>
        <v/>
      </c>
      <c r="L60" s="93" t="str">
        <f aca="false">IF(IFERROR(INDEX(tsk_Name,GanttView[[#This Row],[_Row]])="",TRUE()),"",INDEX(tsk_Show,GanttView[[#This Row],[_Row]])&amp;"")</f>
        <v/>
      </c>
      <c r="M60" s="94" t="n">
        <f aca="false">ROW()-ROW(GanttView[[#Headers],[ID]])</f>
        <v>55</v>
      </c>
      <c r="N60" s="95" t="b">
        <f aca="false">IF(IFERROR(INDEX(tsk_Name,GanttView[[#This Row],[_Row]])="",TRUE()),FALSE(),INDEX(tsk_IsSummary,GanttView[[#This Row],[_Row]]))</f>
        <v>0</v>
      </c>
      <c r="O60" s="95" t="b">
        <f aca="false">IF(IFERROR(INDEX(tsk_Name,GanttView[[#This Row],[_Row]])="",TRUE()),FALSE(),AND(INDEX(tsk_IsLeaf,GanttView[[#This Row],[_Row]])=1,N(INDEX(tsk_Duration,GanttView[[#This Row],[_Row]]))=0))</f>
        <v>0</v>
      </c>
      <c r="P60" s="96" t="n">
        <f aca="false">IF(IFERROR(INDEX(tsk_Name,GanttView[[#This Row],[_Row]])="",TRUE()),0,IF(AND(INDEX(tsk_IsLeaf,GanttView[[#This Row],[_Row]])=1,NOT(GanttView[[#This Row],[_IsMilestone]]),N(GanttView[[#This Row],[%]])&gt;0),GanttView[[#This Row],[Start]],0))</f>
        <v>0</v>
      </c>
      <c r="Q60" s="96" t="n">
        <f aca="false">IF(GanttView[[#This Row],[_DoneFrom]]=0,0,IF(GanttView[[#This Row],[%]]&gt;=1,GanttView[[#This Row],[Finish]],MAX(GanttView[[#This Row],[_DoneFrom]],GanttView[[#This Row],[Start]]+ROUND((GanttView[[#This Row],[Finish]]-GanttView[[#This Row],[Start]]+1)*GanttView[[#This Row],[%]],0)-1)))</f>
        <v>0</v>
      </c>
      <c r="R60" s="96" t="n">
        <f aca="false">IF(IFERROR(INDEX(tsk_Name,GanttView[[#This Row],[_Row]])="",TRUE()),0,IF(OR(INDEX(tsk_IsLeaf,GanttView[[#This Row],[_Row]])&lt;&gt;1,GanttView[[#This Row],[_IsMilestone]],N(GanttView[[#This Row],[%]])&gt;=1),0,IF(GanttView[[#This Row],[_DoneTo]]&gt;0,GanttView[[#This Row],[_DoneTo]]+1,GanttView[[#This Row],[Start]])))</f>
        <v>0</v>
      </c>
      <c r="S60" s="96" t="n">
        <f aca="false">IF(GanttView[[#This Row],[_RemFrom]]=0,0,GanttView[[#This Row],[Finish]])</f>
        <v>0</v>
      </c>
      <c r="T60" s="95" t="b">
        <f aca="false">IF(IFERROR(INDEX(tsk_Name,GanttView[[#This Row],[_Row]])="",TRUE()),FALSE(),N(INDEX(tsk_Variance,GanttView[[#This Row],[_Row]]))&gt;0)</f>
        <v>0</v>
      </c>
      <c r="U60" s="96" t="n">
        <f aca="false">IF(IFERROR(INDEX(tsk_Name,GanttView[[#This Row],[_Row]])="",TRUE()),0,N(INDEX(tsk_Deadline,GanttView[[#This Row],[_Row]])))</f>
        <v>0</v>
      </c>
      <c r="V60" s="95" t="b">
        <f aca="false">IF(IFERROR(INDEX(tsk_Name,GanttView[[#This Row],[_Row]])="",TRUE()),FALSE(),INDEX(tsk_Critical,GanttView[[#This Row],[_Row]])="Yes")</f>
        <v>0</v>
      </c>
    </row>
    <row r="61" customFormat="false" ht="15" hidden="false" customHeight="false" outlineLevel="0" collapsed="false">
      <c r="A61" s="89" t="str">
        <f aca="false">IF(IFERROR(INDEX(tsk_Name,GanttView[[#This Row],[_Row]])="",TRUE()),"",INDEX(tsk_ID,GanttView[[#This Row],[_Row]]))</f>
        <v/>
      </c>
      <c r="B61" s="90" t="str">
        <f aca="false">IF(IFERROR(INDEX(tsk_Name,GanttView[[#This Row],[_Row]])="",TRUE()),"",REPT("    ",INDEX(tsk_Level,GanttView[[#This Row],[_Row]])-1)&amp;INDEX(tsk_Name,GanttView[[#This Row],[_Row]]))</f>
        <v/>
      </c>
      <c r="C61" s="91" t="str">
        <f aca="false">IF(IFERROR(INDEX(tsk_Name,GanttView[[#This Row],[_Row]])="",TRUE()),"",INDEX(tsk_FcStart,GanttView[[#This Row],[_Row]]))</f>
        <v/>
      </c>
      <c r="D61" s="91" t="str">
        <f aca="false">IF(IFERROR(INDEX(tsk_Name,GanttView[[#This Row],[_Row]])="",TRUE()),"",INDEX(tsk_FcFinish,GanttView[[#This Row],[_Row]]))</f>
        <v/>
      </c>
      <c r="E61" s="92" t="str">
        <f aca="false">IF(IFERROR(INDEX(tsk_Name,GanttView[[#This Row],[_Row]])="",TRUE()),"",INDEX(tsk_Progress,GanttView[[#This Row],[_Row]]))</f>
        <v/>
      </c>
      <c r="F61" s="90" t="str">
        <f aca="false">IF(IFERROR(INDEX(tsk_Name,GanttView[[#This Row],[_Row]])="",TRUE()),"",INDEX(tsk_ResourceNames,GanttView[[#This Row],[_Row]])&amp;"")</f>
        <v/>
      </c>
      <c r="G61" s="89" t="str">
        <f aca="false">IF(IFERROR(INDEX(tsk_Name,GanttView[[#This Row],[_Row]])="",TRUE()),"",INDEX(tsk_WBS,GanttView[[#This Row],[_Row]]))</f>
        <v/>
      </c>
      <c r="H61" s="89" t="str">
        <f aca="false">IF(IFERROR(INDEX(tsk_Name,GanttView[[#This Row],[_Row]])="",TRUE()),"",IF(INDEX(tsk_IsSummary,GanttView[[#This Row],[_Row]]),NETWORKDAYS.INTL(INDEX(tsk_FcStart,GanttView[[#This Row],[_Row]]),INDEX(tsk_FcFinish,GanttView[[#This Row],[_Row]]),WorkWeek,Holidays),N(INDEX(tsk_Duration,GanttView[[#This Row],[_Row]]))))</f>
        <v/>
      </c>
      <c r="I61" s="91" t="str">
        <f aca="false">IF(IFERROR(INDEX(tsk_Name,GanttView[[#This Row],[_Row]])="",TRUE()),"",INDEX(tsk_PlanStart,GanttView[[#This Row],[_Row]]))</f>
        <v/>
      </c>
      <c r="J61" s="91" t="str">
        <f aca="false">IF(IFERROR(INDEX(tsk_Name,GanttView[[#This Row],[_Row]])="",TRUE()),"",INDEX(tsk_PlanFinish,GanttView[[#This Row],[_Row]]))</f>
        <v/>
      </c>
      <c r="K61" s="93" t="str">
        <f aca="false">IF(IFERROR(INDEX(tsk_Name,GanttView[[#This Row],[_Row]])="",TRUE()),"",INDEX(tsk_Status,GanttView[[#This Row],[_Row]]))</f>
        <v/>
      </c>
      <c r="L61" s="93" t="str">
        <f aca="false">IF(IFERROR(INDEX(tsk_Name,GanttView[[#This Row],[_Row]])="",TRUE()),"",INDEX(tsk_Show,GanttView[[#This Row],[_Row]])&amp;"")</f>
        <v/>
      </c>
      <c r="M61" s="94" t="n">
        <f aca="false">ROW()-ROW(GanttView[[#Headers],[ID]])</f>
        <v>56</v>
      </c>
      <c r="N61" s="95" t="b">
        <f aca="false">IF(IFERROR(INDEX(tsk_Name,GanttView[[#This Row],[_Row]])="",TRUE()),FALSE(),INDEX(tsk_IsSummary,GanttView[[#This Row],[_Row]]))</f>
        <v>0</v>
      </c>
      <c r="O61" s="95" t="b">
        <f aca="false">IF(IFERROR(INDEX(tsk_Name,GanttView[[#This Row],[_Row]])="",TRUE()),FALSE(),AND(INDEX(tsk_IsLeaf,GanttView[[#This Row],[_Row]])=1,N(INDEX(tsk_Duration,GanttView[[#This Row],[_Row]]))=0))</f>
        <v>0</v>
      </c>
      <c r="P61" s="96" t="n">
        <f aca="false">IF(IFERROR(INDEX(tsk_Name,GanttView[[#This Row],[_Row]])="",TRUE()),0,IF(AND(INDEX(tsk_IsLeaf,GanttView[[#This Row],[_Row]])=1,NOT(GanttView[[#This Row],[_IsMilestone]]),N(GanttView[[#This Row],[%]])&gt;0),GanttView[[#This Row],[Start]],0))</f>
        <v>0</v>
      </c>
      <c r="Q61" s="96" t="n">
        <f aca="false">IF(GanttView[[#This Row],[_DoneFrom]]=0,0,IF(GanttView[[#This Row],[%]]&gt;=1,GanttView[[#This Row],[Finish]],MAX(GanttView[[#This Row],[_DoneFrom]],GanttView[[#This Row],[Start]]+ROUND((GanttView[[#This Row],[Finish]]-GanttView[[#This Row],[Start]]+1)*GanttView[[#This Row],[%]],0)-1)))</f>
        <v>0</v>
      </c>
      <c r="R61" s="96" t="n">
        <f aca="false">IF(IFERROR(INDEX(tsk_Name,GanttView[[#This Row],[_Row]])="",TRUE()),0,IF(OR(INDEX(tsk_IsLeaf,GanttView[[#This Row],[_Row]])&lt;&gt;1,GanttView[[#This Row],[_IsMilestone]],N(GanttView[[#This Row],[%]])&gt;=1),0,IF(GanttView[[#This Row],[_DoneTo]]&gt;0,GanttView[[#This Row],[_DoneTo]]+1,GanttView[[#This Row],[Start]])))</f>
        <v>0</v>
      </c>
      <c r="S61" s="96" t="n">
        <f aca="false">IF(GanttView[[#This Row],[_RemFrom]]=0,0,GanttView[[#This Row],[Finish]])</f>
        <v>0</v>
      </c>
      <c r="T61" s="95" t="b">
        <f aca="false">IF(IFERROR(INDEX(tsk_Name,GanttView[[#This Row],[_Row]])="",TRUE()),FALSE(),N(INDEX(tsk_Variance,GanttView[[#This Row],[_Row]]))&gt;0)</f>
        <v>0</v>
      </c>
      <c r="U61" s="96" t="n">
        <f aca="false">IF(IFERROR(INDEX(tsk_Name,GanttView[[#This Row],[_Row]])="",TRUE()),0,N(INDEX(tsk_Deadline,GanttView[[#This Row],[_Row]])))</f>
        <v>0</v>
      </c>
      <c r="V61" s="95" t="b">
        <f aca="false">IF(IFERROR(INDEX(tsk_Name,GanttView[[#This Row],[_Row]])="",TRUE()),FALSE(),INDEX(tsk_Critical,GanttView[[#This Row],[_Row]])="Yes")</f>
        <v>0</v>
      </c>
    </row>
    <row r="62" customFormat="false" ht="15" hidden="false" customHeight="false" outlineLevel="0" collapsed="false">
      <c r="A62" s="89" t="str">
        <f aca="false">IF(IFERROR(INDEX(tsk_Name,GanttView[[#This Row],[_Row]])="",TRUE()),"",INDEX(tsk_ID,GanttView[[#This Row],[_Row]]))</f>
        <v/>
      </c>
      <c r="B62" s="90" t="str">
        <f aca="false">IF(IFERROR(INDEX(tsk_Name,GanttView[[#This Row],[_Row]])="",TRUE()),"",REPT("    ",INDEX(tsk_Level,GanttView[[#This Row],[_Row]])-1)&amp;INDEX(tsk_Name,GanttView[[#This Row],[_Row]]))</f>
        <v/>
      </c>
      <c r="C62" s="91" t="str">
        <f aca="false">IF(IFERROR(INDEX(tsk_Name,GanttView[[#This Row],[_Row]])="",TRUE()),"",INDEX(tsk_FcStart,GanttView[[#This Row],[_Row]]))</f>
        <v/>
      </c>
      <c r="D62" s="91" t="str">
        <f aca="false">IF(IFERROR(INDEX(tsk_Name,GanttView[[#This Row],[_Row]])="",TRUE()),"",INDEX(tsk_FcFinish,GanttView[[#This Row],[_Row]]))</f>
        <v/>
      </c>
      <c r="E62" s="92" t="str">
        <f aca="false">IF(IFERROR(INDEX(tsk_Name,GanttView[[#This Row],[_Row]])="",TRUE()),"",INDEX(tsk_Progress,GanttView[[#This Row],[_Row]]))</f>
        <v/>
      </c>
      <c r="F62" s="90" t="str">
        <f aca="false">IF(IFERROR(INDEX(tsk_Name,GanttView[[#This Row],[_Row]])="",TRUE()),"",INDEX(tsk_ResourceNames,GanttView[[#This Row],[_Row]])&amp;"")</f>
        <v/>
      </c>
      <c r="G62" s="89" t="str">
        <f aca="false">IF(IFERROR(INDEX(tsk_Name,GanttView[[#This Row],[_Row]])="",TRUE()),"",INDEX(tsk_WBS,GanttView[[#This Row],[_Row]]))</f>
        <v/>
      </c>
      <c r="H62" s="89" t="str">
        <f aca="false">IF(IFERROR(INDEX(tsk_Name,GanttView[[#This Row],[_Row]])="",TRUE()),"",IF(INDEX(tsk_IsSummary,GanttView[[#This Row],[_Row]]),NETWORKDAYS.INTL(INDEX(tsk_FcStart,GanttView[[#This Row],[_Row]]),INDEX(tsk_FcFinish,GanttView[[#This Row],[_Row]]),WorkWeek,Holidays),N(INDEX(tsk_Duration,GanttView[[#This Row],[_Row]]))))</f>
        <v/>
      </c>
      <c r="I62" s="91" t="str">
        <f aca="false">IF(IFERROR(INDEX(tsk_Name,GanttView[[#This Row],[_Row]])="",TRUE()),"",INDEX(tsk_PlanStart,GanttView[[#This Row],[_Row]]))</f>
        <v/>
      </c>
      <c r="J62" s="91" t="str">
        <f aca="false">IF(IFERROR(INDEX(tsk_Name,GanttView[[#This Row],[_Row]])="",TRUE()),"",INDEX(tsk_PlanFinish,GanttView[[#This Row],[_Row]]))</f>
        <v/>
      </c>
      <c r="K62" s="93" t="str">
        <f aca="false">IF(IFERROR(INDEX(tsk_Name,GanttView[[#This Row],[_Row]])="",TRUE()),"",INDEX(tsk_Status,GanttView[[#This Row],[_Row]]))</f>
        <v/>
      </c>
      <c r="L62" s="93" t="str">
        <f aca="false">IF(IFERROR(INDEX(tsk_Name,GanttView[[#This Row],[_Row]])="",TRUE()),"",INDEX(tsk_Show,GanttView[[#This Row],[_Row]])&amp;"")</f>
        <v/>
      </c>
      <c r="M62" s="94" t="n">
        <f aca="false">ROW()-ROW(GanttView[[#Headers],[ID]])</f>
        <v>57</v>
      </c>
      <c r="N62" s="95" t="b">
        <f aca="false">IF(IFERROR(INDEX(tsk_Name,GanttView[[#This Row],[_Row]])="",TRUE()),FALSE(),INDEX(tsk_IsSummary,GanttView[[#This Row],[_Row]]))</f>
        <v>0</v>
      </c>
      <c r="O62" s="95" t="b">
        <f aca="false">IF(IFERROR(INDEX(tsk_Name,GanttView[[#This Row],[_Row]])="",TRUE()),FALSE(),AND(INDEX(tsk_IsLeaf,GanttView[[#This Row],[_Row]])=1,N(INDEX(tsk_Duration,GanttView[[#This Row],[_Row]]))=0))</f>
        <v>0</v>
      </c>
      <c r="P62" s="96" t="n">
        <f aca="false">IF(IFERROR(INDEX(tsk_Name,GanttView[[#This Row],[_Row]])="",TRUE()),0,IF(AND(INDEX(tsk_IsLeaf,GanttView[[#This Row],[_Row]])=1,NOT(GanttView[[#This Row],[_IsMilestone]]),N(GanttView[[#This Row],[%]])&gt;0),GanttView[[#This Row],[Start]],0))</f>
        <v>0</v>
      </c>
      <c r="Q62" s="96" t="n">
        <f aca="false">IF(GanttView[[#This Row],[_DoneFrom]]=0,0,IF(GanttView[[#This Row],[%]]&gt;=1,GanttView[[#This Row],[Finish]],MAX(GanttView[[#This Row],[_DoneFrom]],GanttView[[#This Row],[Start]]+ROUND((GanttView[[#This Row],[Finish]]-GanttView[[#This Row],[Start]]+1)*GanttView[[#This Row],[%]],0)-1)))</f>
        <v>0</v>
      </c>
      <c r="R62" s="96" t="n">
        <f aca="false">IF(IFERROR(INDEX(tsk_Name,GanttView[[#This Row],[_Row]])="",TRUE()),0,IF(OR(INDEX(tsk_IsLeaf,GanttView[[#This Row],[_Row]])&lt;&gt;1,GanttView[[#This Row],[_IsMilestone]],N(GanttView[[#This Row],[%]])&gt;=1),0,IF(GanttView[[#This Row],[_DoneTo]]&gt;0,GanttView[[#This Row],[_DoneTo]]+1,GanttView[[#This Row],[Start]])))</f>
        <v>0</v>
      </c>
      <c r="S62" s="96" t="n">
        <f aca="false">IF(GanttView[[#This Row],[_RemFrom]]=0,0,GanttView[[#This Row],[Finish]])</f>
        <v>0</v>
      </c>
      <c r="T62" s="95" t="b">
        <f aca="false">IF(IFERROR(INDEX(tsk_Name,GanttView[[#This Row],[_Row]])="",TRUE()),FALSE(),N(INDEX(tsk_Variance,GanttView[[#This Row],[_Row]]))&gt;0)</f>
        <v>0</v>
      </c>
      <c r="U62" s="96" t="n">
        <f aca="false">IF(IFERROR(INDEX(tsk_Name,GanttView[[#This Row],[_Row]])="",TRUE()),0,N(INDEX(tsk_Deadline,GanttView[[#This Row],[_Row]])))</f>
        <v>0</v>
      </c>
      <c r="V62" s="95" t="b">
        <f aca="false">IF(IFERROR(INDEX(tsk_Name,GanttView[[#This Row],[_Row]])="",TRUE()),FALSE(),INDEX(tsk_Critical,GanttView[[#This Row],[_Row]])="Yes")</f>
        <v>0</v>
      </c>
    </row>
    <row r="63" customFormat="false" ht="15" hidden="false" customHeight="false" outlineLevel="0" collapsed="false">
      <c r="A63" s="89" t="str">
        <f aca="false">IF(IFERROR(INDEX(tsk_Name,GanttView[[#This Row],[_Row]])="",TRUE()),"",INDEX(tsk_ID,GanttView[[#This Row],[_Row]]))</f>
        <v/>
      </c>
      <c r="B63" s="90" t="str">
        <f aca="false">IF(IFERROR(INDEX(tsk_Name,GanttView[[#This Row],[_Row]])="",TRUE()),"",REPT("    ",INDEX(tsk_Level,GanttView[[#This Row],[_Row]])-1)&amp;INDEX(tsk_Name,GanttView[[#This Row],[_Row]]))</f>
        <v/>
      </c>
      <c r="C63" s="91" t="str">
        <f aca="false">IF(IFERROR(INDEX(tsk_Name,GanttView[[#This Row],[_Row]])="",TRUE()),"",INDEX(tsk_FcStart,GanttView[[#This Row],[_Row]]))</f>
        <v/>
      </c>
      <c r="D63" s="91" t="str">
        <f aca="false">IF(IFERROR(INDEX(tsk_Name,GanttView[[#This Row],[_Row]])="",TRUE()),"",INDEX(tsk_FcFinish,GanttView[[#This Row],[_Row]]))</f>
        <v/>
      </c>
      <c r="E63" s="92" t="str">
        <f aca="false">IF(IFERROR(INDEX(tsk_Name,GanttView[[#This Row],[_Row]])="",TRUE()),"",INDEX(tsk_Progress,GanttView[[#This Row],[_Row]]))</f>
        <v/>
      </c>
      <c r="F63" s="90" t="str">
        <f aca="false">IF(IFERROR(INDEX(tsk_Name,GanttView[[#This Row],[_Row]])="",TRUE()),"",INDEX(tsk_ResourceNames,GanttView[[#This Row],[_Row]])&amp;"")</f>
        <v/>
      </c>
      <c r="G63" s="89" t="str">
        <f aca="false">IF(IFERROR(INDEX(tsk_Name,GanttView[[#This Row],[_Row]])="",TRUE()),"",INDEX(tsk_WBS,GanttView[[#This Row],[_Row]]))</f>
        <v/>
      </c>
      <c r="H63" s="89" t="str">
        <f aca="false">IF(IFERROR(INDEX(tsk_Name,GanttView[[#This Row],[_Row]])="",TRUE()),"",IF(INDEX(tsk_IsSummary,GanttView[[#This Row],[_Row]]),NETWORKDAYS.INTL(INDEX(tsk_FcStart,GanttView[[#This Row],[_Row]]),INDEX(tsk_FcFinish,GanttView[[#This Row],[_Row]]),WorkWeek,Holidays),N(INDEX(tsk_Duration,GanttView[[#This Row],[_Row]]))))</f>
        <v/>
      </c>
      <c r="I63" s="91" t="str">
        <f aca="false">IF(IFERROR(INDEX(tsk_Name,GanttView[[#This Row],[_Row]])="",TRUE()),"",INDEX(tsk_PlanStart,GanttView[[#This Row],[_Row]]))</f>
        <v/>
      </c>
      <c r="J63" s="91" t="str">
        <f aca="false">IF(IFERROR(INDEX(tsk_Name,GanttView[[#This Row],[_Row]])="",TRUE()),"",INDEX(tsk_PlanFinish,GanttView[[#This Row],[_Row]]))</f>
        <v/>
      </c>
      <c r="K63" s="93" t="str">
        <f aca="false">IF(IFERROR(INDEX(tsk_Name,GanttView[[#This Row],[_Row]])="",TRUE()),"",INDEX(tsk_Status,GanttView[[#This Row],[_Row]]))</f>
        <v/>
      </c>
      <c r="L63" s="93" t="str">
        <f aca="false">IF(IFERROR(INDEX(tsk_Name,GanttView[[#This Row],[_Row]])="",TRUE()),"",INDEX(tsk_Show,GanttView[[#This Row],[_Row]])&amp;"")</f>
        <v/>
      </c>
      <c r="M63" s="94" t="n">
        <f aca="false">ROW()-ROW(GanttView[[#Headers],[ID]])</f>
        <v>58</v>
      </c>
      <c r="N63" s="95" t="b">
        <f aca="false">IF(IFERROR(INDEX(tsk_Name,GanttView[[#This Row],[_Row]])="",TRUE()),FALSE(),INDEX(tsk_IsSummary,GanttView[[#This Row],[_Row]]))</f>
        <v>0</v>
      </c>
      <c r="O63" s="95" t="b">
        <f aca="false">IF(IFERROR(INDEX(tsk_Name,GanttView[[#This Row],[_Row]])="",TRUE()),FALSE(),AND(INDEX(tsk_IsLeaf,GanttView[[#This Row],[_Row]])=1,N(INDEX(tsk_Duration,GanttView[[#This Row],[_Row]]))=0))</f>
        <v>0</v>
      </c>
      <c r="P63" s="96" t="n">
        <f aca="false">IF(IFERROR(INDEX(tsk_Name,GanttView[[#This Row],[_Row]])="",TRUE()),0,IF(AND(INDEX(tsk_IsLeaf,GanttView[[#This Row],[_Row]])=1,NOT(GanttView[[#This Row],[_IsMilestone]]),N(GanttView[[#This Row],[%]])&gt;0),GanttView[[#This Row],[Start]],0))</f>
        <v>0</v>
      </c>
      <c r="Q63" s="96" t="n">
        <f aca="false">IF(GanttView[[#This Row],[_DoneFrom]]=0,0,IF(GanttView[[#This Row],[%]]&gt;=1,GanttView[[#This Row],[Finish]],MAX(GanttView[[#This Row],[_DoneFrom]],GanttView[[#This Row],[Start]]+ROUND((GanttView[[#This Row],[Finish]]-GanttView[[#This Row],[Start]]+1)*GanttView[[#This Row],[%]],0)-1)))</f>
        <v>0</v>
      </c>
      <c r="R63" s="96" t="n">
        <f aca="false">IF(IFERROR(INDEX(tsk_Name,GanttView[[#This Row],[_Row]])="",TRUE()),0,IF(OR(INDEX(tsk_IsLeaf,GanttView[[#This Row],[_Row]])&lt;&gt;1,GanttView[[#This Row],[_IsMilestone]],N(GanttView[[#This Row],[%]])&gt;=1),0,IF(GanttView[[#This Row],[_DoneTo]]&gt;0,GanttView[[#This Row],[_DoneTo]]+1,GanttView[[#This Row],[Start]])))</f>
        <v>0</v>
      </c>
      <c r="S63" s="96" t="n">
        <f aca="false">IF(GanttView[[#This Row],[_RemFrom]]=0,0,GanttView[[#This Row],[Finish]])</f>
        <v>0</v>
      </c>
      <c r="T63" s="95" t="b">
        <f aca="false">IF(IFERROR(INDEX(tsk_Name,GanttView[[#This Row],[_Row]])="",TRUE()),FALSE(),N(INDEX(tsk_Variance,GanttView[[#This Row],[_Row]]))&gt;0)</f>
        <v>0</v>
      </c>
      <c r="U63" s="96" t="n">
        <f aca="false">IF(IFERROR(INDEX(tsk_Name,GanttView[[#This Row],[_Row]])="",TRUE()),0,N(INDEX(tsk_Deadline,GanttView[[#This Row],[_Row]])))</f>
        <v>0</v>
      </c>
      <c r="V63" s="95" t="b">
        <f aca="false">IF(IFERROR(INDEX(tsk_Name,GanttView[[#This Row],[_Row]])="",TRUE()),FALSE(),INDEX(tsk_Critical,GanttView[[#This Row],[_Row]])="Yes")</f>
        <v>0</v>
      </c>
    </row>
    <row r="64" customFormat="false" ht="15" hidden="false" customHeight="false" outlineLevel="0" collapsed="false">
      <c r="A64" s="89" t="str">
        <f aca="false">IF(IFERROR(INDEX(tsk_Name,GanttView[[#This Row],[_Row]])="",TRUE()),"",INDEX(tsk_ID,GanttView[[#This Row],[_Row]]))</f>
        <v/>
      </c>
      <c r="B64" s="90" t="str">
        <f aca="false">IF(IFERROR(INDEX(tsk_Name,GanttView[[#This Row],[_Row]])="",TRUE()),"",REPT("    ",INDEX(tsk_Level,GanttView[[#This Row],[_Row]])-1)&amp;INDEX(tsk_Name,GanttView[[#This Row],[_Row]]))</f>
        <v/>
      </c>
      <c r="C64" s="91" t="str">
        <f aca="false">IF(IFERROR(INDEX(tsk_Name,GanttView[[#This Row],[_Row]])="",TRUE()),"",INDEX(tsk_FcStart,GanttView[[#This Row],[_Row]]))</f>
        <v/>
      </c>
      <c r="D64" s="91" t="str">
        <f aca="false">IF(IFERROR(INDEX(tsk_Name,GanttView[[#This Row],[_Row]])="",TRUE()),"",INDEX(tsk_FcFinish,GanttView[[#This Row],[_Row]]))</f>
        <v/>
      </c>
      <c r="E64" s="92" t="str">
        <f aca="false">IF(IFERROR(INDEX(tsk_Name,GanttView[[#This Row],[_Row]])="",TRUE()),"",INDEX(tsk_Progress,GanttView[[#This Row],[_Row]]))</f>
        <v/>
      </c>
      <c r="F64" s="90" t="str">
        <f aca="false">IF(IFERROR(INDEX(tsk_Name,GanttView[[#This Row],[_Row]])="",TRUE()),"",INDEX(tsk_ResourceNames,GanttView[[#This Row],[_Row]])&amp;"")</f>
        <v/>
      </c>
      <c r="G64" s="89" t="str">
        <f aca="false">IF(IFERROR(INDEX(tsk_Name,GanttView[[#This Row],[_Row]])="",TRUE()),"",INDEX(tsk_WBS,GanttView[[#This Row],[_Row]]))</f>
        <v/>
      </c>
      <c r="H64" s="89" t="str">
        <f aca="false">IF(IFERROR(INDEX(tsk_Name,GanttView[[#This Row],[_Row]])="",TRUE()),"",IF(INDEX(tsk_IsSummary,GanttView[[#This Row],[_Row]]),NETWORKDAYS.INTL(INDEX(tsk_FcStart,GanttView[[#This Row],[_Row]]),INDEX(tsk_FcFinish,GanttView[[#This Row],[_Row]]),WorkWeek,Holidays),N(INDEX(tsk_Duration,GanttView[[#This Row],[_Row]]))))</f>
        <v/>
      </c>
      <c r="I64" s="91" t="str">
        <f aca="false">IF(IFERROR(INDEX(tsk_Name,GanttView[[#This Row],[_Row]])="",TRUE()),"",INDEX(tsk_PlanStart,GanttView[[#This Row],[_Row]]))</f>
        <v/>
      </c>
      <c r="J64" s="91" t="str">
        <f aca="false">IF(IFERROR(INDEX(tsk_Name,GanttView[[#This Row],[_Row]])="",TRUE()),"",INDEX(tsk_PlanFinish,GanttView[[#This Row],[_Row]]))</f>
        <v/>
      </c>
      <c r="K64" s="93" t="str">
        <f aca="false">IF(IFERROR(INDEX(tsk_Name,GanttView[[#This Row],[_Row]])="",TRUE()),"",INDEX(tsk_Status,GanttView[[#This Row],[_Row]]))</f>
        <v/>
      </c>
      <c r="L64" s="93" t="str">
        <f aca="false">IF(IFERROR(INDEX(tsk_Name,GanttView[[#This Row],[_Row]])="",TRUE()),"",INDEX(tsk_Show,GanttView[[#This Row],[_Row]])&amp;"")</f>
        <v/>
      </c>
      <c r="M64" s="94" t="n">
        <f aca="false">ROW()-ROW(GanttView[[#Headers],[ID]])</f>
        <v>59</v>
      </c>
      <c r="N64" s="95" t="b">
        <f aca="false">IF(IFERROR(INDEX(tsk_Name,GanttView[[#This Row],[_Row]])="",TRUE()),FALSE(),INDEX(tsk_IsSummary,GanttView[[#This Row],[_Row]]))</f>
        <v>0</v>
      </c>
      <c r="O64" s="95" t="b">
        <f aca="false">IF(IFERROR(INDEX(tsk_Name,GanttView[[#This Row],[_Row]])="",TRUE()),FALSE(),AND(INDEX(tsk_IsLeaf,GanttView[[#This Row],[_Row]])=1,N(INDEX(tsk_Duration,GanttView[[#This Row],[_Row]]))=0))</f>
        <v>0</v>
      </c>
      <c r="P64" s="96" t="n">
        <f aca="false">IF(IFERROR(INDEX(tsk_Name,GanttView[[#This Row],[_Row]])="",TRUE()),0,IF(AND(INDEX(tsk_IsLeaf,GanttView[[#This Row],[_Row]])=1,NOT(GanttView[[#This Row],[_IsMilestone]]),N(GanttView[[#This Row],[%]])&gt;0),GanttView[[#This Row],[Start]],0))</f>
        <v>0</v>
      </c>
      <c r="Q64" s="96" t="n">
        <f aca="false">IF(GanttView[[#This Row],[_DoneFrom]]=0,0,IF(GanttView[[#This Row],[%]]&gt;=1,GanttView[[#This Row],[Finish]],MAX(GanttView[[#This Row],[_DoneFrom]],GanttView[[#This Row],[Start]]+ROUND((GanttView[[#This Row],[Finish]]-GanttView[[#This Row],[Start]]+1)*GanttView[[#This Row],[%]],0)-1)))</f>
        <v>0</v>
      </c>
      <c r="R64" s="96" t="n">
        <f aca="false">IF(IFERROR(INDEX(tsk_Name,GanttView[[#This Row],[_Row]])="",TRUE()),0,IF(OR(INDEX(tsk_IsLeaf,GanttView[[#This Row],[_Row]])&lt;&gt;1,GanttView[[#This Row],[_IsMilestone]],N(GanttView[[#This Row],[%]])&gt;=1),0,IF(GanttView[[#This Row],[_DoneTo]]&gt;0,GanttView[[#This Row],[_DoneTo]]+1,GanttView[[#This Row],[Start]])))</f>
        <v>0</v>
      </c>
      <c r="S64" s="96" t="n">
        <f aca="false">IF(GanttView[[#This Row],[_RemFrom]]=0,0,GanttView[[#This Row],[Finish]])</f>
        <v>0</v>
      </c>
      <c r="T64" s="95" t="b">
        <f aca="false">IF(IFERROR(INDEX(tsk_Name,GanttView[[#This Row],[_Row]])="",TRUE()),FALSE(),N(INDEX(tsk_Variance,GanttView[[#This Row],[_Row]]))&gt;0)</f>
        <v>0</v>
      </c>
      <c r="U64" s="96" t="n">
        <f aca="false">IF(IFERROR(INDEX(tsk_Name,GanttView[[#This Row],[_Row]])="",TRUE()),0,N(INDEX(tsk_Deadline,GanttView[[#This Row],[_Row]])))</f>
        <v>0</v>
      </c>
      <c r="V64" s="95" t="b">
        <f aca="false">IF(IFERROR(INDEX(tsk_Name,GanttView[[#This Row],[_Row]])="",TRUE()),FALSE(),INDEX(tsk_Critical,GanttView[[#This Row],[_Row]])="Yes")</f>
        <v>0</v>
      </c>
    </row>
    <row r="65" customFormat="false" ht="15" hidden="false" customHeight="false" outlineLevel="0" collapsed="false">
      <c r="A65" s="89" t="str">
        <f aca="false">IF(IFERROR(INDEX(tsk_Name,GanttView[[#This Row],[_Row]])="",TRUE()),"",INDEX(tsk_ID,GanttView[[#This Row],[_Row]]))</f>
        <v/>
      </c>
      <c r="B65" s="90" t="str">
        <f aca="false">IF(IFERROR(INDEX(tsk_Name,GanttView[[#This Row],[_Row]])="",TRUE()),"",REPT("    ",INDEX(tsk_Level,GanttView[[#This Row],[_Row]])-1)&amp;INDEX(tsk_Name,GanttView[[#This Row],[_Row]]))</f>
        <v/>
      </c>
      <c r="C65" s="91" t="str">
        <f aca="false">IF(IFERROR(INDEX(tsk_Name,GanttView[[#This Row],[_Row]])="",TRUE()),"",INDEX(tsk_FcStart,GanttView[[#This Row],[_Row]]))</f>
        <v/>
      </c>
      <c r="D65" s="91" t="str">
        <f aca="false">IF(IFERROR(INDEX(tsk_Name,GanttView[[#This Row],[_Row]])="",TRUE()),"",INDEX(tsk_FcFinish,GanttView[[#This Row],[_Row]]))</f>
        <v/>
      </c>
      <c r="E65" s="92" t="str">
        <f aca="false">IF(IFERROR(INDEX(tsk_Name,GanttView[[#This Row],[_Row]])="",TRUE()),"",INDEX(tsk_Progress,GanttView[[#This Row],[_Row]]))</f>
        <v/>
      </c>
      <c r="F65" s="90" t="str">
        <f aca="false">IF(IFERROR(INDEX(tsk_Name,GanttView[[#This Row],[_Row]])="",TRUE()),"",INDEX(tsk_ResourceNames,GanttView[[#This Row],[_Row]])&amp;"")</f>
        <v/>
      </c>
      <c r="G65" s="89" t="str">
        <f aca="false">IF(IFERROR(INDEX(tsk_Name,GanttView[[#This Row],[_Row]])="",TRUE()),"",INDEX(tsk_WBS,GanttView[[#This Row],[_Row]]))</f>
        <v/>
      </c>
      <c r="H65" s="89" t="str">
        <f aca="false">IF(IFERROR(INDEX(tsk_Name,GanttView[[#This Row],[_Row]])="",TRUE()),"",IF(INDEX(tsk_IsSummary,GanttView[[#This Row],[_Row]]),NETWORKDAYS.INTL(INDEX(tsk_FcStart,GanttView[[#This Row],[_Row]]),INDEX(tsk_FcFinish,GanttView[[#This Row],[_Row]]),WorkWeek,Holidays),N(INDEX(tsk_Duration,GanttView[[#This Row],[_Row]]))))</f>
        <v/>
      </c>
      <c r="I65" s="91" t="str">
        <f aca="false">IF(IFERROR(INDEX(tsk_Name,GanttView[[#This Row],[_Row]])="",TRUE()),"",INDEX(tsk_PlanStart,GanttView[[#This Row],[_Row]]))</f>
        <v/>
      </c>
      <c r="J65" s="91" t="str">
        <f aca="false">IF(IFERROR(INDEX(tsk_Name,GanttView[[#This Row],[_Row]])="",TRUE()),"",INDEX(tsk_PlanFinish,GanttView[[#This Row],[_Row]]))</f>
        <v/>
      </c>
      <c r="K65" s="93" t="str">
        <f aca="false">IF(IFERROR(INDEX(tsk_Name,GanttView[[#This Row],[_Row]])="",TRUE()),"",INDEX(tsk_Status,GanttView[[#This Row],[_Row]]))</f>
        <v/>
      </c>
      <c r="L65" s="93" t="str">
        <f aca="false">IF(IFERROR(INDEX(tsk_Name,GanttView[[#This Row],[_Row]])="",TRUE()),"",INDEX(tsk_Show,GanttView[[#This Row],[_Row]])&amp;"")</f>
        <v/>
      </c>
      <c r="M65" s="94" t="n">
        <f aca="false">ROW()-ROW(GanttView[[#Headers],[ID]])</f>
        <v>60</v>
      </c>
      <c r="N65" s="95" t="b">
        <f aca="false">IF(IFERROR(INDEX(tsk_Name,GanttView[[#This Row],[_Row]])="",TRUE()),FALSE(),INDEX(tsk_IsSummary,GanttView[[#This Row],[_Row]]))</f>
        <v>0</v>
      </c>
      <c r="O65" s="95" t="b">
        <f aca="false">IF(IFERROR(INDEX(tsk_Name,GanttView[[#This Row],[_Row]])="",TRUE()),FALSE(),AND(INDEX(tsk_IsLeaf,GanttView[[#This Row],[_Row]])=1,N(INDEX(tsk_Duration,GanttView[[#This Row],[_Row]]))=0))</f>
        <v>0</v>
      </c>
      <c r="P65" s="96" t="n">
        <f aca="false">IF(IFERROR(INDEX(tsk_Name,GanttView[[#This Row],[_Row]])="",TRUE()),0,IF(AND(INDEX(tsk_IsLeaf,GanttView[[#This Row],[_Row]])=1,NOT(GanttView[[#This Row],[_IsMilestone]]),N(GanttView[[#This Row],[%]])&gt;0),GanttView[[#This Row],[Start]],0))</f>
        <v>0</v>
      </c>
      <c r="Q65" s="96" t="n">
        <f aca="false">IF(GanttView[[#This Row],[_DoneFrom]]=0,0,IF(GanttView[[#This Row],[%]]&gt;=1,GanttView[[#This Row],[Finish]],MAX(GanttView[[#This Row],[_DoneFrom]],GanttView[[#This Row],[Start]]+ROUND((GanttView[[#This Row],[Finish]]-GanttView[[#This Row],[Start]]+1)*GanttView[[#This Row],[%]],0)-1)))</f>
        <v>0</v>
      </c>
      <c r="R65" s="96" t="n">
        <f aca="false">IF(IFERROR(INDEX(tsk_Name,GanttView[[#This Row],[_Row]])="",TRUE()),0,IF(OR(INDEX(tsk_IsLeaf,GanttView[[#This Row],[_Row]])&lt;&gt;1,GanttView[[#This Row],[_IsMilestone]],N(GanttView[[#This Row],[%]])&gt;=1),0,IF(GanttView[[#This Row],[_DoneTo]]&gt;0,GanttView[[#This Row],[_DoneTo]]+1,GanttView[[#This Row],[Start]])))</f>
        <v>0</v>
      </c>
      <c r="S65" s="96" t="n">
        <f aca="false">IF(GanttView[[#This Row],[_RemFrom]]=0,0,GanttView[[#This Row],[Finish]])</f>
        <v>0</v>
      </c>
      <c r="T65" s="95" t="b">
        <f aca="false">IF(IFERROR(INDEX(tsk_Name,GanttView[[#This Row],[_Row]])="",TRUE()),FALSE(),N(INDEX(tsk_Variance,GanttView[[#This Row],[_Row]]))&gt;0)</f>
        <v>0</v>
      </c>
      <c r="U65" s="96" t="n">
        <f aca="false">IF(IFERROR(INDEX(tsk_Name,GanttView[[#This Row],[_Row]])="",TRUE()),0,N(INDEX(tsk_Deadline,GanttView[[#This Row],[_Row]])))</f>
        <v>0</v>
      </c>
      <c r="V65" s="95" t="b">
        <f aca="false">IF(IFERROR(INDEX(tsk_Name,GanttView[[#This Row],[_Row]])="",TRUE()),FALSE(),INDEX(tsk_Critical,GanttView[[#This Row],[_Row]])="Yes")</f>
        <v>0</v>
      </c>
    </row>
    <row r="66" customFormat="false" ht="15" hidden="false" customHeight="false" outlineLevel="0" collapsed="false">
      <c r="A66" s="89" t="str">
        <f aca="false">IF(IFERROR(INDEX(tsk_Name,GanttView[[#This Row],[_Row]])="",TRUE()),"",INDEX(tsk_ID,GanttView[[#This Row],[_Row]]))</f>
        <v/>
      </c>
      <c r="B66" s="90" t="str">
        <f aca="false">IF(IFERROR(INDEX(tsk_Name,GanttView[[#This Row],[_Row]])="",TRUE()),"",REPT("    ",INDEX(tsk_Level,GanttView[[#This Row],[_Row]])-1)&amp;INDEX(tsk_Name,GanttView[[#This Row],[_Row]]))</f>
        <v/>
      </c>
      <c r="C66" s="91" t="str">
        <f aca="false">IF(IFERROR(INDEX(tsk_Name,GanttView[[#This Row],[_Row]])="",TRUE()),"",INDEX(tsk_FcStart,GanttView[[#This Row],[_Row]]))</f>
        <v/>
      </c>
      <c r="D66" s="91" t="str">
        <f aca="false">IF(IFERROR(INDEX(tsk_Name,GanttView[[#This Row],[_Row]])="",TRUE()),"",INDEX(tsk_FcFinish,GanttView[[#This Row],[_Row]]))</f>
        <v/>
      </c>
      <c r="E66" s="92" t="str">
        <f aca="false">IF(IFERROR(INDEX(tsk_Name,GanttView[[#This Row],[_Row]])="",TRUE()),"",INDEX(tsk_Progress,GanttView[[#This Row],[_Row]]))</f>
        <v/>
      </c>
      <c r="F66" s="90" t="str">
        <f aca="false">IF(IFERROR(INDEX(tsk_Name,GanttView[[#This Row],[_Row]])="",TRUE()),"",INDEX(tsk_ResourceNames,GanttView[[#This Row],[_Row]])&amp;"")</f>
        <v/>
      </c>
      <c r="G66" s="89" t="str">
        <f aca="false">IF(IFERROR(INDEX(tsk_Name,GanttView[[#This Row],[_Row]])="",TRUE()),"",INDEX(tsk_WBS,GanttView[[#This Row],[_Row]]))</f>
        <v/>
      </c>
      <c r="H66" s="89" t="str">
        <f aca="false">IF(IFERROR(INDEX(tsk_Name,GanttView[[#This Row],[_Row]])="",TRUE()),"",IF(INDEX(tsk_IsSummary,GanttView[[#This Row],[_Row]]),NETWORKDAYS.INTL(INDEX(tsk_FcStart,GanttView[[#This Row],[_Row]]),INDEX(tsk_FcFinish,GanttView[[#This Row],[_Row]]),WorkWeek,Holidays),N(INDEX(tsk_Duration,GanttView[[#This Row],[_Row]]))))</f>
        <v/>
      </c>
      <c r="I66" s="91" t="str">
        <f aca="false">IF(IFERROR(INDEX(tsk_Name,GanttView[[#This Row],[_Row]])="",TRUE()),"",INDEX(tsk_PlanStart,GanttView[[#This Row],[_Row]]))</f>
        <v/>
      </c>
      <c r="J66" s="91" t="str">
        <f aca="false">IF(IFERROR(INDEX(tsk_Name,GanttView[[#This Row],[_Row]])="",TRUE()),"",INDEX(tsk_PlanFinish,GanttView[[#This Row],[_Row]]))</f>
        <v/>
      </c>
      <c r="K66" s="93" t="str">
        <f aca="false">IF(IFERROR(INDEX(tsk_Name,GanttView[[#This Row],[_Row]])="",TRUE()),"",INDEX(tsk_Status,GanttView[[#This Row],[_Row]]))</f>
        <v/>
      </c>
      <c r="L66" s="93" t="str">
        <f aca="false">IF(IFERROR(INDEX(tsk_Name,GanttView[[#This Row],[_Row]])="",TRUE()),"",INDEX(tsk_Show,GanttView[[#This Row],[_Row]])&amp;"")</f>
        <v/>
      </c>
      <c r="M66" s="94" t="n">
        <f aca="false">ROW()-ROW(GanttView[[#Headers],[ID]])</f>
        <v>61</v>
      </c>
      <c r="N66" s="95" t="b">
        <f aca="false">IF(IFERROR(INDEX(tsk_Name,GanttView[[#This Row],[_Row]])="",TRUE()),FALSE(),INDEX(tsk_IsSummary,GanttView[[#This Row],[_Row]]))</f>
        <v>0</v>
      </c>
      <c r="O66" s="95" t="b">
        <f aca="false">IF(IFERROR(INDEX(tsk_Name,GanttView[[#This Row],[_Row]])="",TRUE()),FALSE(),AND(INDEX(tsk_IsLeaf,GanttView[[#This Row],[_Row]])=1,N(INDEX(tsk_Duration,GanttView[[#This Row],[_Row]]))=0))</f>
        <v>0</v>
      </c>
      <c r="P66" s="96" t="n">
        <f aca="false">IF(IFERROR(INDEX(tsk_Name,GanttView[[#This Row],[_Row]])="",TRUE()),0,IF(AND(INDEX(tsk_IsLeaf,GanttView[[#This Row],[_Row]])=1,NOT(GanttView[[#This Row],[_IsMilestone]]),N(GanttView[[#This Row],[%]])&gt;0),GanttView[[#This Row],[Start]],0))</f>
        <v>0</v>
      </c>
      <c r="Q66" s="96" t="n">
        <f aca="false">IF(GanttView[[#This Row],[_DoneFrom]]=0,0,IF(GanttView[[#This Row],[%]]&gt;=1,GanttView[[#This Row],[Finish]],MAX(GanttView[[#This Row],[_DoneFrom]],GanttView[[#This Row],[Start]]+ROUND((GanttView[[#This Row],[Finish]]-GanttView[[#This Row],[Start]]+1)*GanttView[[#This Row],[%]],0)-1)))</f>
        <v>0</v>
      </c>
      <c r="R66" s="96" t="n">
        <f aca="false">IF(IFERROR(INDEX(tsk_Name,GanttView[[#This Row],[_Row]])="",TRUE()),0,IF(OR(INDEX(tsk_IsLeaf,GanttView[[#This Row],[_Row]])&lt;&gt;1,GanttView[[#This Row],[_IsMilestone]],N(GanttView[[#This Row],[%]])&gt;=1),0,IF(GanttView[[#This Row],[_DoneTo]]&gt;0,GanttView[[#This Row],[_DoneTo]]+1,GanttView[[#This Row],[Start]])))</f>
        <v>0</v>
      </c>
      <c r="S66" s="96" t="n">
        <f aca="false">IF(GanttView[[#This Row],[_RemFrom]]=0,0,GanttView[[#This Row],[Finish]])</f>
        <v>0</v>
      </c>
      <c r="T66" s="95" t="b">
        <f aca="false">IF(IFERROR(INDEX(tsk_Name,GanttView[[#This Row],[_Row]])="",TRUE()),FALSE(),N(INDEX(tsk_Variance,GanttView[[#This Row],[_Row]]))&gt;0)</f>
        <v>0</v>
      </c>
      <c r="U66" s="96" t="n">
        <f aca="false">IF(IFERROR(INDEX(tsk_Name,GanttView[[#This Row],[_Row]])="",TRUE()),0,N(INDEX(tsk_Deadline,GanttView[[#This Row],[_Row]])))</f>
        <v>0</v>
      </c>
      <c r="V66" s="95" t="b">
        <f aca="false">IF(IFERROR(INDEX(tsk_Name,GanttView[[#This Row],[_Row]])="",TRUE()),FALSE(),INDEX(tsk_Critical,GanttView[[#This Row],[_Row]])="Yes")</f>
        <v>0</v>
      </c>
    </row>
    <row r="67" customFormat="false" ht="15" hidden="false" customHeight="false" outlineLevel="0" collapsed="false">
      <c r="A67" s="89" t="str">
        <f aca="false">IF(IFERROR(INDEX(tsk_Name,GanttView[[#This Row],[_Row]])="",TRUE()),"",INDEX(tsk_ID,GanttView[[#This Row],[_Row]]))</f>
        <v/>
      </c>
      <c r="B67" s="90" t="str">
        <f aca="false">IF(IFERROR(INDEX(tsk_Name,GanttView[[#This Row],[_Row]])="",TRUE()),"",REPT("    ",INDEX(tsk_Level,GanttView[[#This Row],[_Row]])-1)&amp;INDEX(tsk_Name,GanttView[[#This Row],[_Row]]))</f>
        <v/>
      </c>
      <c r="C67" s="91" t="str">
        <f aca="false">IF(IFERROR(INDEX(tsk_Name,GanttView[[#This Row],[_Row]])="",TRUE()),"",INDEX(tsk_FcStart,GanttView[[#This Row],[_Row]]))</f>
        <v/>
      </c>
      <c r="D67" s="91" t="str">
        <f aca="false">IF(IFERROR(INDEX(tsk_Name,GanttView[[#This Row],[_Row]])="",TRUE()),"",INDEX(tsk_FcFinish,GanttView[[#This Row],[_Row]]))</f>
        <v/>
      </c>
      <c r="E67" s="92" t="str">
        <f aca="false">IF(IFERROR(INDEX(tsk_Name,GanttView[[#This Row],[_Row]])="",TRUE()),"",INDEX(tsk_Progress,GanttView[[#This Row],[_Row]]))</f>
        <v/>
      </c>
      <c r="F67" s="90" t="str">
        <f aca="false">IF(IFERROR(INDEX(tsk_Name,GanttView[[#This Row],[_Row]])="",TRUE()),"",INDEX(tsk_ResourceNames,GanttView[[#This Row],[_Row]])&amp;"")</f>
        <v/>
      </c>
      <c r="G67" s="89" t="str">
        <f aca="false">IF(IFERROR(INDEX(tsk_Name,GanttView[[#This Row],[_Row]])="",TRUE()),"",INDEX(tsk_WBS,GanttView[[#This Row],[_Row]]))</f>
        <v/>
      </c>
      <c r="H67" s="89" t="str">
        <f aca="false">IF(IFERROR(INDEX(tsk_Name,GanttView[[#This Row],[_Row]])="",TRUE()),"",IF(INDEX(tsk_IsSummary,GanttView[[#This Row],[_Row]]),NETWORKDAYS.INTL(INDEX(tsk_FcStart,GanttView[[#This Row],[_Row]]),INDEX(tsk_FcFinish,GanttView[[#This Row],[_Row]]),WorkWeek,Holidays),N(INDEX(tsk_Duration,GanttView[[#This Row],[_Row]]))))</f>
        <v/>
      </c>
      <c r="I67" s="91" t="str">
        <f aca="false">IF(IFERROR(INDEX(tsk_Name,GanttView[[#This Row],[_Row]])="",TRUE()),"",INDEX(tsk_PlanStart,GanttView[[#This Row],[_Row]]))</f>
        <v/>
      </c>
      <c r="J67" s="91" t="str">
        <f aca="false">IF(IFERROR(INDEX(tsk_Name,GanttView[[#This Row],[_Row]])="",TRUE()),"",INDEX(tsk_PlanFinish,GanttView[[#This Row],[_Row]]))</f>
        <v/>
      </c>
      <c r="K67" s="93" t="str">
        <f aca="false">IF(IFERROR(INDEX(tsk_Name,GanttView[[#This Row],[_Row]])="",TRUE()),"",INDEX(tsk_Status,GanttView[[#This Row],[_Row]]))</f>
        <v/>
      </c>
      <c r="L67" s="93" t="str">
        <f aca="false">IF(IFERROR(INDEX(tsk_Name,GanttView[[#This Row],[_Row]])="",TRUE()),"",INDEX(tsk_Show,GanttView[[#This Row],[_Row]])&amp;"")</f>
        <v/>
      </c>
      <c r="M67" s="94" t="n">
        <f aca="false">ROW()-ROW(GanttView[[#Headers],[ID]])</f>
        <v>62</v>
      </c>
      <c r="N67" s="95" t="b">
        <f aca="false">IF(IFERROR(INDEX(tsk_Name,GanttView[[#This Row],[_Row]])="",TRUE()),FALSE(),INDEX(tsk_IsSummary,GanttView[[#This Row],[_Row]]))</f>
        <v>0</v>
      </c>
      <c r="O67" s="95" t="b">
        <f aca="false">IF(IFERROR(INDEX(tsk_Name,GanttView[[#This Row],[_Row]])="",TRUE()),FALSE(),AND(INDEX(tsk_IsLeaf,GanttView[[#This Row],[_Row]])=1,N(INDEX(tsk_Duration,GanttView[[#This Row],[_Row]]))=0))</f>
        <v>0</v>
      </c>
      <c r="P67" s="96" t="n">
        <f aca="false">IF(IFERROR(INDEX(tsk_Name,GanttView[[#This Row],[_Row]])="",TRUE()),0,IF(AND(INDEX(tsk_IsLeaf,GanttView[[#This Row],[_Row]])=1,NOT(GanttView[[#This Row],[_IsMilestone]]),N(GanttView[[#This Row],[%]])&gt;0),GanttView[[#This Row],[Start]],0))</f>
        <v>0</v>
      </c>
      <c r="Q67" s="96" t="n">
        <f aca="false">IF(GanttView[[#This Row],[_DoneFrom]]=0,0,IF(GanttView[[#This Row],[%]]&gt;=1,GanttView[[#This Row],[Finish]],MAX(GanttView[[#This Row],[_DoneFrom]],GanttView[[#This Row],[Start]]+ROUND((GanttView[[#This Row],[Finish]]-GanttView[[#This Row],[Start]]+1)*GanttView[[#This Row],[%]],0)-1)))</f>
        <v>0</v>
      </c>
      <c r="R67" s="96" t="n">
        <f aca="false">IF(IFERROR(INDEX(tsk_Name,GanttView[[#This Row],[_Row]])="",TRUE()),0,IF(OR(INDEX(tsk_IsLeaf,GanttView[[#This Row],[_Row]])&lt;&gt;1,GanttView[[#This Row],[_IsMilestone]],N(GanttView[[#This Row],[%]])&gt;=1),0,IF(GanttView[[#This Row],[_DoneTo]]&gt;0,GanttView[[#This Row],[_DoneTo]]+1,GanttView[[#This Row],[Start]])))</f>
        <v>0</v>
      </c>
      <c r="S67" s="96" t="n">
        <f aca="false">IF(GanttView[[#This Row],[_RemFrom]]=0,0,GanttView[[#This Row],[Finish]])</f>
        <v>0</v>
      </c>
      <c r="T67" s="95" t="b">
        <f aca="false">IF(IFERROR(INDEX(tsk_Name,GanttView[[#This Row],[_Row]])="",TRUE()),FALSE(),N(INDEX(tsk_Variance,GanttView[[#This Row],[_Row]]))&gt;0)</f>
        <v>0</v>
      </c>
      <c r="U67" s="96" t="n">
        <f aca="false">IF(IFERROR(INDEX(tsk_Name,GanttView[[#This Row],[_Row]])="",TRUE()),0,N(INDEX(tsk_Deadline,GanttView[[#This Row],[_Row]])))</f>
        <v>0</v>
      </c>
      <c r="V67" s="95" t="b">
        <f aca="false">IF(IFERROR(INDEX(tsk_Name,GanttView[[#This Row],[_Row]])="",TRUE()),FALSE(),INDEX(tsk_Critical,GanttView[[#This Row],[_Row]])="Yes")</f>
        <v>0</v>
      </c>
    </row>
    <row r="68" customFormat="false" ht="15" hidden="false" customHeight="false" outlineLevel="0" collapsed="false">
      <c r="A68" s="89" t="str">
        <f aca="false">IF(IFERROR(INDEX(tsk_Name,GanttView[[#This Row],[_Row]])="",TRUE()),"",INDEX(tsk_ID,GanttView[[#This Row],[_Row]]))</f>
        <v/>
      </c>
      <c r="B68" s="90" t="str">
        <f aca="false">IF(IFERROR(INDEX(tsk_Name,GanttView[[#This Row],[_Row]])="",TRUE()),"",REPT("    ",INDEX(tsk_Level,GanttView[[#This Row],[_Row]])-1)&amp;INDEX(tsk_Name,GanttView[[#This Row],[_Row]]))</f>
        <v/>
      </c>
      <c r="C68" s="91" t="str">
        <f aca="false">IF(IFERROR(INDEX(tsk_Name,GanttView[[#This Row],[_Row]])="",TRUE()),"",INDEX(tsk_FcStart,GanttView[[#This Row],[_Row]]))</f>
        <v/>
      </c>
      <c r="D68" s="91" t="str">
        <f aca="false">IF(IFERROR(INDEX(tsk_Name,GanttView[[#This Row],[_Row]])="",TRUE()),"",INDEX(tsk_FcFinish,GanttView[[#This Row],[_Row]]))</f>
        <v/>
      </c>
      <c r="E68" s="92" t="str">
        <f aca="false">IF(IFERROR(INDEX(tsk_Name,GanttView[[#This Row],[_Row]])="",TRUE()),"",INDEX(tsk_Progress,GanttView[[#This Row],[_Row]]))</f>
        <v/>
      </c>
      <c r="F68" s="90" t="str">
        <f aca="false">IF(IFERROR(INDEX(tsk_Name,GanttView[[#This Row],[_Row]])="",TRUE()),"",INDEX(tsk_ResourceNames,GanttView[[#This Row],[_Row]])&amp;"")</f>
        <v/>
      </c>
      <c r="G68" s="89" t="str">
        <f aca="false">IF(IFERROR(INDEX(tsk_Name,GanttView[[#This Row],[_Row]])="",TRUE()),"",INDEX(tsk_WBS,GanttView[[#This Row],[_Row]]))</f>
        <v/>
      </c>
      <c r="H68" s="89" t="str">
        <f aca="false">IF(IFERROR(INDEX(tsk_Name,GanttView[[#This Row],[_Row]])="",TRUE()),"",IF(INDEX(tsk_IsSummary,GanttView[[#This Row],[_Row]]),NETWORKDAYS.INTL(INDEX(tsk_FcStart,GanttView[[#This Row],[_Row]]),INDEX(tsk_FcFinish,GanttView[[#This Row],[_Row]]),WorkWeek,Holidays),N(INDEX(tsk_Duration,GanttView[[#This Row],[_Row]]))))</f>
        <v/>
      </c>
      <c r="I68" s="91" t="str">
        <f aca="false">IF(IFERROR(INDEX(tsk_Name,GanttView[[#This Row],[_Row]])="",TRUE()),"",INDEX(tsk_PlanStart,GanttView[[#This Row],[_Row]]))</f>
        <v/>
      </c>
      <c r="J68" s="91" t="str">
        <f aca="false">IF(IFERROR(INDEX(tsk_Name,GanttView[[#This Row],[_Row]])="",TRUE()),"",INDEX(tsk_PlanFinish,GanttView[[#This Row],[_Row]]))</f>
        <v/>
      </c>
      <c r="K68" s="93" t="str">
        <f aca="false">IF(IFERROR(INDEX(tsk_Name,GanttView[[#This Row],[_Row]])="",TRUE()),"",INDEX(tsk_Status,GanttView[[#This Row],[_Row]]))</f>
        <v/>
      </c>
      <c r="L68" s="93" t="str">
        <f aca="false">IF(IFERROR(INDEX(tsk_Name,GanttView[[#This Row],[_Row]])="",TRUE()),"",INDEX(tsk_Show,GanttView[[#This Row],[_Row]])&amp;"")</f>
        <v/>
      </c>
      <c r="M68" s="94" t="n">
        <f aca="false">ROW()-ROW(GanttView[[#Headers],[ID]])</f>
        <v>63</v>
      </c>
      <c r="N68" s="95" t="b">
        <f aca="false">IF(IFERROR(INDEX(tsk_Name,GanttView[[#This Row],[_Row]])="",TRUE()),FALSE(),INDEX(tsk_IsSummary,GanttView[[#This Row],[_Row]]))</f>
        <v>0</v>
      </c>
      <c r="O68" s="95" t="b">
        <f aca="false">IF(IFERROR(INDEX(tsk_Name,GanttView[[#This Row],[_Row]])="",TRUE()),FALSE(),AND(INDEX(tsk_IsLeaf,GanttView[[#This Row],[_Row]])=1,N(INDEX(tsk_Duration,GanttView[[#This Row],[_Row]]))=0))</f>
        <v>0</v>
      </c>
      <c r="P68" s="96" t="n">
        <f aca="false">IF(IFERROR(INDEX(tsk_Name,GanttView[[#This Row],[_Row]])="",TRUE()),0,IF(AND(INDEX(tsk_IsLeaf,GanttView[[#This Row],[_Row]])=1,NOT(GanttView[[#This Row],[_IsMilestone]]),N(GanttView[[#This Row],[%]])&gt;0),GanttView[[#This Row],[Start]],0))</f>
        <v>0</v>
      </c>
      <c r="Q68" s="96" t="n">
        <f aca="false">IF(GanttView[[#This Row],[_DoneFrom]]=0,0,IF(GanttView[[#This Row],[%]]&gt;=1,GanttView[[#This Row],[Finish]],MAX(GanttView[[#This Row],[_DoneFrom]],GanttView[[#This Row],[Start]]+ROUND((GanttView[[#This Row],[Finish]]-GanttView[[#This Row],[Start]]+1)*GanttView[[#This Row],[%]],0)-1)))</f>
        <v>0</v>
      </c>
      <c r="R68" s="96" t="n">
        <f aca="false">IF(IFERROR(INDEX(tsk_Name,GanttView[[#This Row],[_Row]])="",TRUE()),0,IF(OR(INDEX(tsk_IsLeaf,GanttView[[#This Row],[_Row]])&lt;&gt;1,GanttView[[#This Row],[_IsMilestone]],N(GanttView[[#This Row],[%]])&gt;=1),0,IF(GanttView[[#This Row],[_DoneTo]]&gt;0,GanttView[[#This Row],[_DoneTo]]+1,GanttView[[#This Row],[Start]])))</f>
        <v>0</v>
      </c>
      <c r="S68" s="96" t="n">
        <f aca="false">IF(GanttView[[#This Row],[_RemFrom]]=0,0,GanttView[[#This Row],[Finish]])</f>
        <v>0</v>
      </c>
      <c r="T68" s="95" t="b">
        <f aca="false">IF(IFERROR(INDEX(tsk_Name,GanttView[[#This Row],[_Row]])="",TRUE()),FALSE(),N(INDEX(tsk_Variance,GanttView[[#This Row],[_Row]]))&gt;0)</f>
        <v>0</v>
      </c>
      <c r="U68" s="96" t="n">
        <f aca="false">IF(IFERROR(INDEX(tsk_Name,GanttView[[#This Row],[_Row]])="",TRUE()),0,N(INDEX(tsk_Deadline,GanttView[[#This Row],[_Row]])))</f>
        <v>0</v>
      </c>
      <c r="V68" s="95" t="b">
        <f aca="false">IF(IFERROR(INDEX(tsk_Name,GanttView[[#This Row],[_Row]])="",TRUE()),FALSE(),INDEX(tsk_Critical,GanttView[[#This Row],[_Row]])="Yes")</f>
        <v>0</v>
      </c>
    </row>
    <row r="69" customFormat="false" ht="15" hidden="false" customHeight="false" outlineLevel="0" collapsed="false">
      <c r="A69" s="89" t="str">
        <f aca="false">IF(IFERROR(INDEX(tsk_Name,GanttView[[#This Row],[_Row]])="",TRUE()),"",INDEX(tsk_ID,GanttView[[#This Row],[_Row]]))</f>
        <v/>
      </c>
      <c r="B69" s="90" t="str">
        <f aca="false">IF(IFERROR(INDEX(tsk_Name,GanttView[[#This Row],[_Row]])="",TRUE()),"",REPT("    ",INDEX(tsk_Level,GanttView[[#This Row],[_Row]])-1)&amp;INDEX(tsk_Name,GanttView[[#This Row],[_Row]]))</f>
        <v/>
      </c>
      <c r="C69" s="91" t="str">
        <f aca="false">IF(IFERROR(INDEX(tsk_Name,GanttView[[#This Row],[_Row]])="",TRUE()),"",INDEX(tsk_FcStart,GanttView[[#This Row],[_Row]]))</f>
        <v/>
      </c>
      <c r="D69" s="91" t="str">
        <f aca="false">IF(IFERROR(INDEX(tsk_Name,GanttView[[#This Row],[_Row]])="",TRUE()),"",INDEX(tsk_FcFinish,GanttView[[#This Row],[_Row]]))</f>
        <v/>
      </c>
      <c r="E69" s="92" t="str">
        <f aca="false">IF(IFERROR(INDEX(tsk_Name,GanttView[[#This Row],[_Row]])="",TRUE()),"",INDEX(tsk_Progress,GanttView[[#This Row],[_Row]]))</f>
        <v/>
      </c>
      <c r="F69" s="90" t="str">
        <f aca="false">IF(IFERROR(INDEX(tsk_Name,GanttView[[#This Row],[_Row]])="",TRUE()),"",INDEX(tsk_ResourceNames,GanttView[[#This Row],[_Row]])&amp;"")</f>
        <v/>
      </c>
      <c r="G69" s="89" t="str">
        <f aca="false">IF(IFERROR(INDEX(tsk_Name,GanttView[[#This Row],[_Row]])="",TRUE()),"",INDEX(tsk_WBS,GanttView[[#This Row],[_Row]]))</f>
        <v/>
      </c>
      <c r="H69" s="89" t="str">
        <f aca="false">IF(IFERROR(INDEX(tsk_Name,GanttView[[#This Row],[_Row]])="",TRUE()),"",IF(INDEX(tsk_IsSummary,GanttView[[#This Row],[_Row]]),NETWORKDAYS.INTL(INDEX(tsk_FcStart,GanttView[[#This Row],[_Row]]),INDEX(tsk_FcFinish,GanttView[[#This Row],[_Row]]),WorkWeek,Holidays),N(INDEX(tsk_Duration,GanttView[[#This Row],[_Row]]))))</f>
        <v/>
      </c>
      <c r="I69" s="91" t="str">
        <f aca="false">IF(IFERROR(INDEX(tsk_Name,GanttView[[#This Row],[_Row]])="",TRUE()),"",INDEX(tsk_PlanStart,GanttView[[#This Row],[_Row]]))</f>
        <v/>
      </c>
      <c r="J69" s="91" t="str">
        <f aca="false">IF(IFERROR(INDEX(tsk_Name,GanttView[[#This Row],[_Row]])="",TRUE()),"",INDEX(tsk_PlanFinish,GanttView[[#This Row],[_Row]]))</f>
        <v/>
      </c>
      <c r="K69" s="93" t="str">
        <f aca="false">IF(IFERROR(INDEX(tsk_Name,GanttView[[#This Row],[_Row]])="",TRUE()),"",INDEX(tsk_Status,GanttView[[#This Row],[_Row]]))</f>
        <v/>
      </c>
      <c r="L69" s="93" t="str">
        <f aca="false">IF(IFERROR(INDEX(tsk_Name,GanttView[[#This Row],[_Row]])="",TRUE()),"",INDEX(tsk_Show,GanttView[[#This Row],[_Row]])&amp;"")</f>
        <v/>
      </c>
      <c r="M69" s="94" t="n">
        <f aca="false">ROW()-ROW(GanttView[[#Headers],[ID]])</f>
        <v>64</v>
      </c>
      <c r="N69" s="95" t="b">
        <f aca="false">IF(IFERROR(INDEX(tsk_Name,GanttView[[#This Row],[_Row]])="",TRUE()),FALSE(),INDEX(tsk_IsSummary,GanttView[[#This Row],[_Row]]))</f>
        <v>0</v>
      </c>
      <c r="O69" s="95" t="b">
        <f aca="false">IF(IFERROR(INDEX(tsk_Name,GanttView[[#This Row],[_Row]])="",TRUE()),FALSE(),AND(INDEX(tsk_IsLeaf,GanttView[[#This Row],[_Row]])=1,N(INDEX(tsk_Duration,GanttView[[#This Row],[_Row]]))=0))</f>
        <v>0</v>
      </c>
      <c r="P69" s="96" t="n">
        <f aca="false">IF(IFERROR(INDEX(tsk_Name,GanttView[[#This Row],[_Row]])="",TRUE()),0,IF(AND(INDEX(tsk_IsLeaf,GanttView[[#This Row],[_Row]])=1,NOT(GanttView[[#This Row],[_IsMilestone]]),N(GanttView[[#This Row],[%]])&gt;0),GanttView[[#This Row],[Start]],0))</f>
        <v>0</v>
      </c>
      <c r="Q69" s="96" t="n">
        <f aca="false">IF(GanttView[[#This Row],[_DoneFrom]]=0,0,IF(GanttView[[#This Row],[%]]&gt;=1,GanttView[[#This Row],[Finish]],MAX(GanttView[[#This Row],[_DoneFrom]],GanttView[[#This Row],[Start]]+ROUND((GanttView[[#This Row],[Finish]]-GanttView[[#This Row],[Start]]+1)*GanttView[[#This Row],[%]],0)-1)))</f>
        <v>0</v>
      </c>
      <c r="R69" s="96" t="n">
        <f aca="false">IF(IFERROR(INDEX(tsk_Name,GanttView[[#This Row],[_Row]])="",TRUE()),0,IF(OR(INDEX(tsk_IsLeaf,GanttView[[#This Row],[_Row]])&lt;&gt;1,GanttView[[#This Row],[_IsMilestone]],N(GanttView[[#This Row],[%]])&gt;=1),0,IF(GanttView[[#This Row],[_DoneTo]]&gt;0,GanttView[[#This Row],[_DoneTo]]+1,GanttView[[#This Row],[Start]])))</f>
        <v>0</v>
      </c>
      <c r="S69" s="96" t="n">
        <f aca="false">IF(GanttView[[#This Row],[_RemFrom]]=0,0,GanttView[[#This Row],[Finish]])</f>
        <v>0</v>
      </c>
      <c r="T69" s="95" t="b">
        <f aca="false">IF(IFERROR(INDEX(tsk_Name,GanttView[[#This Row],[_Row]])="",TRUE()),FALSE(),N(INDEX(tsk_Variance,GanttView[[#This Row],[_Row]]))&gt;0)</f>
        <v>0</v>
      </c>
      <c r="U69" s="96" t="n">
        <f aca="false">IF(IFERROR(INDEX(tsk_Name,GanttView[[#This Row],[_Row]])="",TRUE()),0,N(INDEX(tsk_Deadline,GanttView[[#This Row],[_Row]])))</f>
        <v>0</v>
      </c>
      <c r="V69" s="95" t="b">
        <f aca="false">IF(IFERROR(INDEX(tsk_Name,GanttView[[#This Row],[_Row]])="",TRUE()),FALSE(),INDEX(tsk_Critical,GanttView[[#This Row],[_Row]])="Yes")</f>
        <v>0</v>
      </c>
    </row>
    <row r="70" customFormat="false" ht="15" hidden="false" customHeight="false" outlineLevel="0" collapsed="false">
      <c r="A70" s="89" t="str">
        <f aca="false">IF(IFERROR(INDEX(tsk_Name,GanttView[[#This Row],[_Row]])="",TRUE()),"",INDEX(tsk_ID,GanttView[[#This Row],[_Row]]))</f>
        <v/>
      </c>
      <c r="B70" s="90" t="str">
        <f aca="false">IF(IFERROR(INDEX(tsk_Name,GanttView[[#This Row],[_Row]])="",TRUE()),"",REPT("    ",INDEX(tsk_Level,GanttView[[#This Row],[_Row]])-1)&amp;INDEX(tsk_Name,GanttView[[#This Row],[_Row]]))</f>
        <v/>
      </c>
      <c r="C70" s="91" t="str">
        <f aca="false">IF(IFERROR(INDEX(tsk_Name,GanttView[[#This Row],[_Row]])="",TRUE()),"",INDEX(tsk_FcStart,GanttView[[#This Row],[_Row]]))</f>
        <v/>
      </c>
      <c r="D70" s="91" t="str">
        <f aca="false">IF(IFERROR(INDEX(tsk_Name,GanttView[[#This Row],[_Row]])="",TRUE()),"",INDEX(tsk_FcFinish,GanttView[[#This Row],[_Row]]))</f>
        <v/>
      </c>
      <c r="E70" s="92" t="str">
        <f aca="false">IF(IFERROR(INDEX(tsk_Name,GanttView[[#This Row],[_Row]])="",TRUE()),"",INDEX(tsk_Progress,GanttView[[#This Row],[_Row]]))</f>
        <v/>
      </c>
      <c r="F70" s="90" t="str">
        <f aca="false">IF(IFERROR(INDEX(tsk_Name,GanttView[[#This Row],[_Row]])="",TRUE()),"",INDEX(tsk_ResourceNames,GanttView[[#This Row],[_Row]])&amp;"")</f>
        <v/>
      </c>
      <c r="G70" s="89" t="str">
        <f aca="false">IF(IFERROR(INDEX(tsk_Name,GanttView[[#This Row],[_Row]])="",TRUE()),"",INDEX(tsk_WBS,GanttView[[#This Row],[_Row]]))</f>
        <v/>
      </c>
      <c r="H70" s="89" t="str">
        <f aca="false">IF(IFERROR(INDEX(tsk_Name,GanttView[[#This Row],[_Row]])="",TRUE()),"",IF(INDEX(tsk_IsSummary,GanttView[[#This Row],[_Row]]),NETWORKDAYS.INTL(INDEX(tsk_FcStart,GanttView[[#This Row],[_Row]]),INDEX(tsk_FcFinish,GanttView[[#This Row],[_Row]]),WorkWeek,Holidays),N(INDEX(tsk_Duration,GanttView[[#This Row],[_Row]]))))</f>
        <v/>
      </c>
      <c r="I70" s="91" t="str">
        <f aca="false">IF(IFERROR(INDEX(tsk_Name,GanttView[[#This Row],[_Row]])="",TRUE()),"",INDEX(tsk_PlanStart,GanttView[[#This Row],[_Row]]))</f>
        <v/>
      </c>
      <c r="J70" s="91" t="str">
        <f aca="false">IF(IFERROR(INDEX(tsk_Name,GanttView[[#This Row],[_Row]])="",TRUE()),"",INDEX(tsk_PlanFinish,GanttView[[#This Row],[_Row]]))</f>
        <v/>
      </c>
      <c r="K70" s="93" t="str">
        <f aca="false">IF(IFERROR(INDEX(tsk_Name,GanttView[[#This Row],[_Row]])="",TRUE()),"",INDEX(tsk_Status,GanttView[[#This Row],[_Row]]))</f>
        <v/>
      </c>
      <c r="L70" s="93" t="str">
        <f aca="false">IF(IFERROR(INDEX(tsk_Name,GanttView[[#This Row],[_Row]])="",TRUE()),"",INDEX(tsk_Show,GanttView[[#This Row],[_Row]])&amp;"")</f>
        <v/>
      </c>
      <c r="M70" s="94" t="n">
        <f aca="false">ROW()-ROW(GanttView[[#Headers],[ID]])</f>
        <v>65</v>
      </c>
      <c r="N70" s="95" t="b">
        <f aca="false">IF(IFERROR(INDEX(tsk_Name,GanttView[[#This Row],[_Row]])="",TRUE()),FALSE(),INDEX(tsk_IsSummary,GanttView[[#This Row],[_Row]]))</f>
        <v>0</v>
      </c>
      <c r="O70" s="95" t="b">
        <f aca="false">IF(IFERROR(INDEX(tsk_Name,GanttView[[#This Row],[_Row]])="",TRUE()),FALSE(),AND(INDEX(tsk_IsLeaf,GanttView[[#This Row],[_Row]])=1,N(INDEX(tsk_Duration,GanttView[[#This Row],[_Row]]))=0))</f>
        <v>0</v>
      </c>
      <c r="P70" s="96" t="n">
        <f aca="false">IF(IFERROR(INDEX(tsk_Name,GanttView[[#This Row],[_Row]])="",TRUE()),0,IF(AND(INDEX(tsk_IsLeaf,GanttView[[#This Row],[_Row]])=1,NOT(GanttView[[#This Row],[_IsMilestone]]),N(GanttView[[#This Row],[%]])&gt;0),GanttView[[#This Row],[Start]],0))</f>
        <v>0</v>
      </c>
      <c r="Q70" s="96" t="n">
        <f aca="false">IF(GanttView[[#This Row],[_DoneFrom]]=0,0,IF(GanttView[[#This Row],[%]]&gt;=1,GanttView[[#This Row],[Finish]],MAX(GanttView[[#This Row],[_DoneFrom]],GanttView[[#This Row],[Start]]+ROUND((GanttView[[#This Row],[Finish]]-GanttView[[#This Row],[Start]]+1)*GanttView[[#This Row],[%]],0)-1)))</f>
        <v>0</v>
      </c>
      <c r="R70" s="96" t="n">
        <f aca="false">IF(IFERROR(INDEX(tsk_Name,GanttView[[#This Row],[_Row]])="",TRUE()),0,IF(OR(INDEX(tsk_IsLeaf,GanttView[[#This Row],[_Row]])&lt;&gt;1,GanttView[[#This Row],[_IsMilestone]],N(GanttView[[#This Row],[%]])&gt;=1),0,IF(GanttView[[#This Row],[_DoneTo]]&gt;0,GanttView[[#This Row],[_DoneTo]]+1,GanttView[[#This Row],[Start]])))</f>
        <v>0</v>
      </c>
      <c r="S70" s="96" t="n">
        <f aca="false">IF(GanttView[[#This Row],[_RemFrom]]=0,0,GanttView[[#This Row],[Finish]])</f>
        <v>0</v>
      </c>
      <c r="T70" s="95" t="b">
        <f aca="false">IF(IFERROR(INDEX(tsk_Name,GanttView[[#This Row],[_Row]])="",TRUE()),FALSE(),N(INDEX(tsk_Variance,GanttView[[#This Row],[_Row]]))&gt;0)</f>
        <v>0</v>
      </c>
      <c r="U70" s="96" t="n">
        <f aca="false">IF(IFERROR(INDEX(tsk_Name,GanttView[[#This Row],[_Row]])="",TRUE()),0,N(INDEX(tsk_Deadline,GanttView[[#This Row],[_Row]])))</f>
        <v>0</v>
      </c>
      <c r="V70" s="95" t="b">
        <f aca="false">IF(IFERROR(INDEX(tsk_Name,GanttView[[#This Row],[_Row]])="",TRUE()),FALSE(),INDEX(tsk_Critical,GanttView[[#This Row],[_Row]])="Yes")</f>
        <v>0</v>
      </c>
    </row>
    <row r="71" customFormat="false" ht="15" hidden="false" customHeight="false" outlineLevel="0" collapsed="false">
      <c r="A71" s="89" t="str">
        <f aca="false">IF(IFERROR(INDEX(tsk_Name,GanttView[[#This Row],[_Row]])="",TRUE()),"",INDEX(tsk_ID,GanttView[[#This Row],[_Row]]))</f>
        <v/>
      </c>
      <c r="B71" s="90" t="str">
        <f aca="false">IF(IFERROR(INDEX(tsk_Name,GanttView[[#This Row],[_Row]])="",TRUE()),"",REPT("    ",INDEX(tsk_Level,GanttView[[#This Row],[_Row]])-1)&amp;INDEX(tsk_Name,GanttView[[#This Row],[_Row]]))</f>
        <v/>
      </c>
      <c r="C71" s="91" t="str">
        <f aca="false">IF(IFERROR(INDEX(tsk_Name,GanttView[[#This Row],[_Row]])="",TRUE()),"",INDEX(tsk_FcStart,GanttView[[#This Row],[_Row]]))</f>
        <v/>
      </c>
      <c r="D71" s="91" t="str">
        <f aca="false">IF(IFERROR(INDEX(tsk_Name,GanttView[[#This Row],[_Row]])="",TRUE()),"",INDEX(tsk_FcFinish,GanttView[[#This Row],[_Row]]))</f>
        <v/>
      </c>
      <c r="E71" s="92" t="str">
        <f aca="false">IF(IFERROR(INDEX(tsk_Name,GanttView[[#This Row],[_Row]])="",TRUE()),"",INDEX(tsk_Progress,GanttView[[#This Row],[_Row]]))</f>
        <v/>
      </c>
      <c r="F71" s="90" t="str">
        <f aca="false">IF(IFERROR(INDEX(tsk_Name,GanttView[[#This Row],[_Row]])="",TRUE()),"",INDEX(tsk_ResourceNames,GanttView[[#This Row],[_Row]])&amp;"")</f>
        <v/>
      </c>
      <c r="G71" s="89" t="str">
        <f aca="false">IF(IFERROR(INDEX(tsk_Name,GanttView[[#This Row],[_Row]])="",TRUE()),"",INDEX(tsk_WBS,GanttView[[#This Row],[_Row]]))</f>
        <v/>
      </c>
      <c r="H71" s="89" t="str">
        <f aca="false">IF(IFERROR(INDEX(tsk_Name,GanttView[[#This Row],[_Row]])="",TRUE()),"",IF(INDEX(tsk_IsSummary,GanttView[[#This Row],[_Row]]),NETWORKDAYS.INTL(INDEX(tsk_FcStart,GanttView[[#This Row],[_Row]]),INDEX(tsk_FcFinish,GanttView[[#This Row],[_Row]]),WorkWeek,Holidays),N(INDEX(tsk_Duration,GanttView[[#This Row],[_Row]]))))</f>
        <v/>
      </c>
      <c r="I71" s="91" t="str">
        <f aca="false">IF(IFERROR(INDEX(tsk_Name,GanttView[[#This Row],[_Row]])="",TRUE()),"",INDEX(tsk_PlanStart,GanttView[[#This Row],[_Row]]))</f>
        <v/>
      </c>
      <c r="J71" s="91" t="str">
        <f aca="false">IF(IFERROR(INDEX(tsk_Name,GanttView[[#This Row],[_Row]])="",TRUE()),"",INDEX(tsk_PlanFinish,GanttView[[#This Row],[_Row]]))</f>
        <v/>
      </c>
      <c r="K71" s="93" t="str">
        <f aca="false">IF(IFERROR(INDEX(tsk_Name,GanttView[[#This Row],[_Row]])="",TRUE()),"",INDEX(tsk_Status,GanttView[[#This Row],[_Row]]))</f>
        <v/>
      </c>
      <c r="L71" s="93" t="str">
        <f aca="false">IF(IFERROR(INDEX(tsk_Name,GanttView[[#This Row],[_Row]])="",TRUE()),"",INDEX(tsk_Show,GanttView[[#This Row],[_Row]])&amp;"")</f>
        <v/>
      </c>
      <c r="M71" s="94" t="n">
        <f aca="false">ROW()-ROW(GanttView[[#Headers],[ID]])</f>
        <v>66</v>
      </c>
      <c r="N71" s="95" t="b">
        <f aca="false">IF(IFERROR(INDEX(tsk_Name,GanttView[[#This Row],[_Row]])="",TRUE()),FALSE(),INDEX(tsk_IsSummary,GanttView[[#This Row],[_Row]]))</f>
        <v>0</v>
      </c>
      <c r="O71" s="95" t="b">
        <f aca="false">IF(IFERROR(INDEX(tsk_Name,GanttView[[#This Row],[_Row]])="",TRUE()),FALSE(),AND(INDEX(tsk_IsLeaf,GanttView[[#This Row],[_Row]])=1,N(INDEX(tsk_Duration,GanttView[[#This Row],[_Row]]))=0))</f>
        <v>0</v>
      </c>
      <c r="P71" s="96" t="n">
        <f aca="false">IF(IFERROR(INDEX(tsk_Name,GanttView[[#This Row],[_Row]])="",TRUE()),0,IF(AND(INDEX(tsk_IsLeaf,GanttView[[#This Row],[_Row]])=1,NOT(GanttView[[#This Row],[_IsMilestone]]),N(GanttView[[#This Row],[%]])&gt;0),GanttView[[#This Row],[Start]],0))</f>
        <v>0</v>
      </c>
      <c r="Q71" s="96" t="n">
        <f aca="false">IF(GanttView[[#This Row],[_DoneFrom]]=0,0,IF(GanttView[[#This Row],[%]]&gt;=1,GanttView[[#This Row],[Finish]],MAX(GanttView[[#This Row],[_DoneFrom]],GanttView[[#This Row],[Start]]+ROUND((GanttView[[#This Row],[Finish]]-GanttView[[#This Row],[Start]]+1)*GanttView[[#This Row],[%]],0)-1)))</f>
        <v>0</v>
      </c>
      <c r="R71" s="96" t="n">
        <f aca="false">IF(IFERROR(INDEX(tsk_Name,GanttView[[#This Row],[_Row]])="",TRUE()),0,IF(OR(INDEX(tsk_IsLeaf,GanttView[[#This Row],[_Row]])&lt;&gt;1,GanttView[[#This Row],[_IsMilestone]],N(GanttView[[#This Row],[%]])&gt;=1),0,IF(GanttView[[#This Row],[_DoneTo]]&gt;0,GanttView[[#This Row],[_DoneTo]]+1,GanttView[[#This Row],[Start]])))</f>
        <v>0</v>
      </c>
      <c r="S71" s="96" t="n">
        <f aca="false">IF(GanttView[[#This Row],[_RemFrom]]=0,0,GanttView[[#This Row],[Finish]])</f>
        <v>0</v>
      </c>
      <c r="T71" s="95" t="b">
        <f aca="false">IF(IFERROR(INDEX(tsk_Name,GanttView[[#This Row],[_Row]])="",TRUE()),FALSE(),N(INDEX(tsk_Variance,GanttView[[#This Row],[_Row]]))&gt;0)</f>
        <v>0</v>
      </c>
      <c r="U71" s="96" t="n">
        <f aca="false">IF(IFERROR(INDEX(tsk_Name,GanttView[[#This Row],[_Row]])="",TRUE()),0,N(INDEX(tsk_Deadline,GanttView[[#This Row],[_Row]])))</f>
        <v>0</v>
      </c>
      <c r="V71" s="95" t="b">
        <f aca="false">IF(IFERROR(INDEX(tsk_Name,GanttView[[#This Row],[_Row]])="",TRUE()),FALSE(),INDEX(tsk_Critical,GanttView[[#This Row],[_Row]])="Yes")</f>
        <v>0</v>
      </c>
    </row>
    <row r="72" customFormat="false" ht="15" hidden="false" customHeight="false" outlineLevel="0" collapsed="false">
      <c r="A72" s="89" t="str">
        <f aca="false">IF(IFERROR(INDEX(tsk_Name,GanttView[[#This Row],[_Row]])="",TRUE()),"",INDEX(tsk_ID,GanttView[[#This Row],[_Row]]))</f>
        <v/>
      </c>
      <c r="B72" s="90" t="str">
        <f aca="false">IF(IFERROR(INDEX(tsk_Name,GanttView[[#This Row],[_Row]])="",TRUE()),"",REPT("    ",INDEX(tsk_Level,GanttView[[#This Row],[_Row]])-1)&amp;INDEX(tsk_Name,GanttView[[#This Row],[_Row]]))</f>
        <v/>
      </c>
      <c r="C72" s="91" t="str">
        <f aca="false">IF(IFERROR(INDEX(tsk_Name,GanttView[[#This Row],[_Row]])="",TRUE()),"",INDEX(tsk_FcStart,GanttView[[#This Row],[_Row]]))</f>
        <v/>
      </c>
      <c r="D72" s="91" t="str">
        <f aca="false">IF(IFERROR(INDEX(tsk_Name,GanttView[[#This Row],[_Row]])="",TRUE()),"",INDEX(tsk_FcFinish,GanttView[[#This Row],[_Row]]))</f>
        <v/>
      </c>
      <c r="E72" s="92" t="str">
        <f aca="false">IF(IFERROR(INDEX(tsk_Name,GanttView[[#This Row],[_Row]])="",TRUE()),"",INDEX(tsk_Progress,GanttView[[#This Row],[_Row]]))</f>
        <v/>
      </c>
      <c r="F72" s="90" t="str">
        <f aca="false">IF(IFERROR(INDEX(tsk_Name,GanttView[[#This Row],[_Row]])="",TRUE()),"",INDEX(tsk_ResourceNames,GanttView[[#This Row],[_Row]])&amp;"")</f>
        <v/>
      </c>
      <c r="G72" s="89" t="str">
        <f aca="false">IF(IFERROR(INDEX(tsk_Name,GanttView[[#This Row],[_Row]])="",TRUE()),"",INDEX(tsk_WBS,GanttView[[#This Row],[_Row]]))</f>
        <v/>
      </c>
      <c r="H72" s="89" t="str">
        <f aca="false">IF(IFERROR(INDEX(tsk_Name,GanttView[[#This Row],[_Row]])="",TRUE()),"",IF(INDEX(tsk_IsSummary,GanttView[[#This Row],[_Row]]),NETWORKDAYS.INTL(INDEX(tsk_FcStart,GanttView[[#This Row],[_Row]]),INDEX(tsk_FcFinish,GanttView[[#This Row],[_Row]]),WorkWeek,Holidays),N(INDEX(tsk_Duration,GanttView[[#This Row],[_Row]]))))</f>
        <v/>
      </c>
      <c r="I72" s="91" t="str">
        <f aca="false">IF(IFERROR(INDEX(tsk_Name,GanttView[[#This Row],[_Row]])="",TRUE()),"",INDEX(tsk_PlanStart,GanttView[[#This Row],[_Row]]))</f>
        <v/>
      </c>
      <c r="J72" s="91" t="str">
        <f aca="false">IF(IFERROR(INDEX(tsk_Name,GanttView[[#This Row],[_Row]])="",TRUE()),"",INDEX(tsk_PlanFinish,GanttView[[#This Row],[_Row]]))</f>
        <v/>
      </c>
      <c r="K72" s="93" t="str">
        <f aca="false">IF(IFERROR(INDEX(tsk_Name,GanttView[[#This Row],[_Row]])="",TRUE()),"",INDEX(tsk_Status,GanttView[[#This Row],[_Row]]))</f>
        <v/>
      </c>
      <c r="L72" s="93" t="str">
        <f aca="false">IF(IFERROR(INDEX(tsk_Name,GanttView[[#This Row],[_Row]])="",TRUE()),"",INDEX(tsk_Show,GanttView[[#This Row],[_Row]])&amp;"")</f>
        <v/>
      </c>
      <c r="M72" s="94" t="n">
        <f aca="false">ROW()-ROW(GanttView[[#Headers],[ID]])</f>
        <v>67</v>
      </c>
      <c r="N72" s="95" t="b">
        <f aca="false">IF(IFERROR(INDEX(tsk_Name,GanttView[[#This Row],[_Row]])="",TRUE()),FALSE(),INDEX(tsk_IsSummary,GanttView[[#This Row],[_Row]]))</f>
        <v>0</v>
      </c>
      <c r="O72" s="95" t="b">
        <f aca="false">IF(IFERROR(INDEX(tsk_Name,GanttView[[#This Row],[_Row]])="",TRUE()),FALSE(),AND(INDEX(tsk_IsLeaf,GanttView[[#This Row],[_Row]])=1,N(INDEX(tsk_Duration,GanttView[[#This Row],[_Row]]))=0))</f>
        <v>0</v>
      </c>
      <c r="P72" s="96" t="n">
        <f aca="false">IF(IFERROR(INDEX(tsk_Name,GanttView[[#This Row],[_Row]])="",TRUE()),0,IF(AND(INDEX(tsk_IsLeaf,GanttView[[#This Row],[_Row]])=1,NOT(GanttView[[#This Row],[_IsMilestone]]),N(GanttView[[#This Row],[%]])&gt;0),GanttView[[#This Row],[Start]],0))</f>
        <v>0</v>
      </c>
      <c r="Q72" s="96" t="n">
        <f aca="false">IF(GanttView[[#This Row],[_DoneFrom]]=0,0,IF(GanttView[[#This Row],[%]]&gt;=1,GanttView[[#This Row],[Finish]],MAX(GanttView[[#This Row],[_DoneFrom]],GanttView[[#This Row],[Start]]+ROUND((GanttView[[#This Row],[Finish]]-GanttView[[#This Row],[Start]]+1)*GanttView[[#This Row],[%]],0)-1)))</f>
        <v>0</v>
      </c>
      <c r="R72" s="96" t="n">
        <f aca="false">IF(IFERROR(INDEX(tsk_Name,GanttView[[#This Row],[_Row]])="",TRUE()),0,IF(OR(INDEX(tsk_IsLeaf,GanttView[[#This Row],[_Row]])&lt;&gt;1,GanttView[[#This Row],[_IsMilestone]],N(GanttView[[#This Row],[%]])&gt;=1),0,IF(GanttView[[#This Row],[_DoneTo]]&gt;0,GanttView[[#This Row],[_DoneTo]]+1,GanttView[[#This Row],[Start]])))</f>
        <v>0</v>
      </c>
      <c r="S72" s="96" t="n">
        <f aca="false">IF(GanttView[[#This Row],[_RemFrom]]=0,0,GanttView[[#This Row],[Finish]])</f>
        <v>0</v>
      </c>
      <c r="T72" s="95" t="b">
        <f aca="false">IF(IFERROR(INDEX(tsk_Name,GanttView[[#This Row],[_Row]])="",TRUE()),FALSE(),N(INDEX(tsk_Variance,GanttView[[#This Row],[_Row]]))&gt;0)</f>
        <v>0</v>
      </c>
      <c r="U72" s="96" t="n">
        <f aca="false">IF(IFERROR(INDEX(tsk_Name,GanttView[[#This Row],[_Row]])="",TRUE()),0,N(INDEX(tsk_Deadline,GanttView[[#This Row],[_Row]])))</f>
        <v>0</v>
      </c>
      <c r="V72" s="95" t="b">
        <f aca="false">IF(IFERROR(INDEX(tsk_Name,GanttView[[#This Row],[_Row]])="",TRUE()),FALSE(),INDEX(tsk_Critical,GanttView[[#This Row],[_Row]])="Yes")</f>
        <v>0</v>
      </c>
    </row>
    <row r="73" customFormat="false" ht="15" hidden="false" customHeight="false" outlineLevel="0" collapsed="false">
      <c r="A73" s="89" t="str">
        <f aca="false">IF(IFERROR(INDEX(tsk_Name,GanttView[[#This Row],[_Row]])="",TRUE()),"",INDEX(tsk_ID,GanttView[[#This Row],[_Row]]))</f>
        <v/>
      </c>
      <c r="B73" s="90" t="str">
        <f aca="false">IF(IFERROR(INDEX(tsk_Name,GanttView[[#This Row],[_Row]])="",TRUE()),"",REPT("    ",INDEX(tsk_Level,GanttView[[#This Row],[_Row]])-1)&amp;INDEX(tsk_Name,GanttView[[#This Row],[_Row]]))</f>
        <v/>
      </c>
      <c r="C73" s="91" t="str">
        <f aca="false">IF(IFERROR(INDEX(tsk_Name,GanttView[[#This Row],[_Row]])="",TRUE()),"",INDEX(tsk_FcStart,GanttView[[#This Row],[_Row]]))</f>
        <v/>
      </c>
      <c r="D73" s="91" t="str">
        <f aca="false">IF(IFERROR(INDEX(tsk_Name,GanttView[[#This Row],[_Row]])="",TRUE()),"",INDEX(tsk_FcFinish,GanttView[[#This Row],[_Row]]))</f>
        <v/>
      </c>
      <c r="E73" s="92" t="str">
        <f aca="false">IF(IFERROR(INDEX(tsk_Name,GanttView[[#This Row],[_Row]])="",TRUE()),"",INDEX(tsk_Progress,GanttView[[#This Row],[_Row]]))</f>
        <v/>
      </c>
      <c r="F73" s="90" t="str">
        <f aca="false">IF(IFERROR(INDEX(tsk_Name,GanttView[[#This Row],[_Row]])="",TRUE()),"",INDEX(tsk_ResourceNames,GanttView[[#This Row],[_Row]])&amp;"")</f>
        <v/>
      </c>
      <c r="G73" s="89" t="str">
        <f aca="false">IF(IFERROR(INDEX(tsk_Name,GanttView[[#This Row],[_Row]])="",TRUE()),"",INDEX(tsk_WBS,GanttView[[#This Row],[_Row]]))</f>
        <v/>
      </c>
      <c r="H73" s="89" t="str">
        <f aca="false">IF(IFERROR(INDEX(tsk_Name,GanttView[[#This Row],[_Row]])="",TRUE()),"",IF(INDEX(tsk_IsSummary,GanttView[[#This Row],[_Row]]),NETWORKDAYS.INTL(INDEX(tsk_FcStart,GanttView[[#This Row],[_Row]]),INDEX(tsk_FcFinish,GanttView[[#This Row],[_Row]]),WorkWeek,Holidays),N(INDEX(tsk_Duration,GanttView[[#This Row],[_Row]]))))</f>
        <v/>
      </c>
      <c r="I73" s="91" t="str">
        <f aca="false">IF(IFERROR(INDEX(tsk_Name,GanttView[[#This Row],[_Row]])="",TRUE()),"",INDEX(tsk_PlanStart,GanttView[[#This Row],[_Row]]))</f>
        <v/>
      </c>
      <c r="J73" s="91" t="str">
        <f aca="false">IF(IFERROR(INDEX(tsk_Name,GanttView[[#This Row],[_Row]])="",TRUE()),"",INDEX(tsk_PlanFinish,GanttView[[#This Row],[_Row]]))</f>
        <v/>
      </c>
      <c r="K73" s="93" t="str">
        <f aca="false">IF(IFERROR(INDEX(tsk_Name,GanttView[[#This Row],[_Row]])="",TRUE()),"",INDEX(tsk_Status,GanttView[[#This Row],[_Row]]))</f>
        <v/>
      </c>
      <c r="L73" s="93" t="str">
        <f aca="false">IF(IFERROR(INDEX(tsk_Name,GanttView[[#This Row],[_Row]])="",TRUE()),"",INDEX(tsk_Show,GanttView[[#This Row],[_Row]])&amp;"")</f>
        <v/>
      </c>
      <c r="M73" s="94" t="n">
        <f aca="false">ROW()-ROW(GanttView[[#Headers],[ID]])</f>
        <v>68</v>
      </c>
      <c r="N73" s="95" t="b">
        <f aca="false">IF(IFERROR(INDEX(tsk_Name,GanttView[[#This Row],[_Row]])="",TRUE()),FALSE(),INDEX(tsk_IsSummary,GanttView[[#This Row],[_Row]]))</f>
        <v>0</v>
      </c>
      <c r="O73" s="95" t="b">
        <f aca="false">IF(IFERROR(INDEX(tsk_Name,GanttView[[#This Row],[_Row]])="",TRUE()),FALSE(),AND(INDEX(tsk_IsLeaf,GanttView[[#This Row],[_Row]])=1,N(INDEX(tsk_Duration,GanttView[[#This Row],[_Row]]))=0))</f>
        <v>0</v>
      </c>
      <c r="P73" s="96" t="n">
        <f aca="false">IF(IFERROR(INDEX(tsk_Name,GanttView[[#This Row],[_Row]])="",TRUE()),0,IF(AND(INDEX(tsk_IsLeaf,GanttView[[#This Row],[_Row]])=1,NOT(GanttView[[#This Row],[_IsMilestone]]),N(GanttView[[#This Row],[%]])&gt;0),GanttView[[#This Row],[Start]],0))</f>
        <v>0</v>
      </c>
      <c r="Q73" s="96" t="n">
        <f aca="false">IF(GanttView[[#This Row],[_DoneFrom]]=0,0,IF(GanttView[[#This Row],[%]]&gt;=1,GanttView[[#This Row],[Finish]],MAX(GanttView[[#This Row],[_DoneFrom]],GanttView[[#This Row],[Start]]+ROUND((GanttView[[#This Row],[Finish]]-GanttView[[#This Row],[Start]]+1)*GanttView[[#This Row],[%]],0)-1)))</f>
        <v>0</v>
      </c>
      <c r="R73" s="96" t="n">
        <f aca="false">IF(IFERROR(INDEX(tsk_Name,GanttView[[#This Row],[_Row]])="",TRUE()),0,IF(OR(INDEX(tsk_IsLeaf,GanttView[[#This Row],[_Row]])&lt;&gt;1,GanttView[[#This Row],[_IsMilestone]],N(GanttView[[#This Row],[%]])&gt;=1),0,IF(GanttView[[#This Row],[_DoneTo]]&gt;0,GanttView[[#This Row],[_DoneTo]]+1,GanttView[[#This Row],[Start]])))</f>
        <v>0</v>
      </c>
      <c r="S73" s="96" t="n">
        <f aca="false">IF(GanttView[[#This Row],[_RemFrom]]=0,0,GanttView[[#This Row],[Finish]])</f>
        <v>0</v>
      </c>
      <c r="T73" s="95" t="b">
        <f aca="false">IF(IFERROR(INDEX(tsk_Name,GanttView[[#This Row],[_Row]])="",TRUE()),FALSE(),N(INDEX(tsk_Variance,GanttView[[#This Row],[_Row]]))&gt;0)</f>
        <v>0</v>
      </c>
      <c r="U73" s="96" t="n">
        <f aca="false">IF(IFERROR(INDEX(tsk_Name,GanttView[[#This Row],[_Row]])="",TRUE()),0,N(INDEX(tsk_Deadline,GanttView[[#This Row],[_Row]])))</f>
        <v>0</v>
      </c>
      <c r="V73" s="95" t="b">
        <f aca="false">IF(IFERROR(INDEX(tsk_Name,GanttView[[#This Row],[_Row]])="",TRUE()),FALSE(),INDEX(tsk_Critical,GanttView[[#This Row],[_Row]])="Yes")</f>
        <v>0</v>
      </c>
    </row>
    <row r="74" customFormat="false" ht="15" hidden="false" customHeight="false" outlineLevel="0" collapsed="false">
      <c r="A74" s="89" t="str">
        <f aca="false">IF(IFERROR(INDEX(tsk_Name,GanttView[[#This Row],[_Row]])="",TRUE()),"",INDEX(tsk_ID,GanttView[[#This Row],[_Row]]))</f>
        <v/>
      </c>
      <c r="B74" s="90" t="str">
        <f aca="false">IF(IFERROR(INDEX(tsk_Name,GanttView[[#This Row],[_Row]])="",TRUE()),"",REPT("    ",INDEX(tsk_Level,GanttView[[#This Row],[_Row]])-1)&amp;INDEX(tsk_Name,GanttView[[#This Row],[_Row]]))</f>
        <v/>
      </c>
      <c r="C74" s="91" t="str">
        <f aca="false">IF(IFERROR(INDEX(tsk_Name,GanttView[[#This Row],[_Row]])="",TRUE()),"",INDEX(tsk_FcStart,GanttView[[#This Row],[_Row]]))</f>
        <v/>
      </c>
      <c r="D74" s="91" t="str">
        <f aca="false">IF(IFERROR(INDEX(tsk_Name,GanttView[[#This Row],[_Row]])="",TRUE()),"",INDEX(tsk_FcFinish,GanttView[[#This Row],[_Row]]))</f>
        <v/>
      </c>
      <c r="E74" s="92" t="str">
        <f aca="false">IF(IFERROR(INDEX(tsk_Name,GanttView[[#This Row],[_Row]])="",TRUE()),"",INDEX(tsk_Progress,GanttView[[#This Row],[_Row]]))</f>
        <v/>
      </c>
      <c r="F74" s="90" t="str">
        <f aca="false">IF(IFERROR(INDEX(tsk_Name,GanttView[[#This Row],[_Row]])="",TRUE()),"",INDEX(tsk_ResourceNames,GanttView[[#This Row],[_Row]])&amp;"")</f>
        <v/>
      </c>
      <c r="G74" s="89" t="str">
        <f aca="false">IF(IFERROR(INDEX(tsk_Name,GanttView[[#This Row],[_Row]])="",TRUE()),"",INDEX(tsk_WBS,GanttView[[#This Row],[_Row]]))</f>
        <v/>
      </c>
      <c r="H74" s="89" t="str">
        <f aca="false">IF(IFERROR(INDEX(tsk_Name,GanttView[[#This Row],[_Row]])="",TRUE()),"",IF(INDEX(tsk_IsSummary,GanttView[[#This Row],[_Row]]),NETWORKDAYS.INTL(INDEX(tsk_FcStart,GanttView[[#This Row],[_Row]]),INDEX(tsk_FcFinish,GanttView[[#This Row],[_Row]]),WorkWeek,Holidays),N(INDEX(tsk_Duration,GanttView[[#This Row],[_Row]]))))</f>
        <v/>
      </c>
      <c r="I74" s="91" t="str">
        <f aca="false">IF(IFERROR(INDEX(tsk_Name,GanttView[[#This Row],[_Row]])="",TRUE()),"",INDEX(tsk_PlanStart,GanttView[[#This Row],[_Row]]))</f>
        <v/>
      </c>
      <c r="J74" s="91" t="str">
        <f aca="false">IF(IFERROR(INDEX(tsk_Name,GanttView[[#This Row],[_Row]])="",TRUE()),"",INDEX(tsk_PlanFinish,GanttView[[#This Row],[_Row]]))</f>
        <v/>
      </c>
      <c r="K74" s="93" t="str">
        <f aca="false">IF(IFERROR(INDEX(tsk_Name,GanttView[[#This Row],[_Row]])="",TRUE()),"",INDEX(tsk_Status,GanttView[[#This Row],[_Row]]))</f>
        <v/>
      </c>
      <c r="L74" s="93" t="str">
        <f aca="false">IF(IFERROR(INDEX(tsk_Name,GanttView[[#This Row],[_Row]])="",TRUE()),"",INDEX(tsk_Show,GanttView[[#This Row],[_Row]])&amp;"")</f>
        <v/>
      </c>
      <c r="M74" s="94" t="n">
        <f aca="false">ROW()-ROW(GanttView[[#Headers],[ID]])</f>
        <v>69</v>
      </c>
      <c r="N74" s="95" t="b">
        <f aca="false">IF(IFERROR(INDEX(tsk_Name,GanttView[[#This Row],[_Row]])="",TRUE()),FALSE(),INDEX(tsk_IsSummary,GanttView[[#This Row],[_Row]]))</f>
        <v>0</v>
      </c>
      <c r="O74" s="95" t="b">
        <f aca="false">IF(IFERROR(INDEX(tsk_Name,GanttView[[#This Row],[_Row]])="",TRUE()),FALSE(),AND(INDEX(tsk_IsLeaf,GanttView[[#This Row],[_Row]])=1,N(INDEX(tsk_Duration,GanttView[[#This Row],[_Row]]))=0))</f>
        <v>0</v>
      </c>
      <c r="P74" s="96" t="n">
        <f aca="false">IF(IFERROR(INDEX(tsk_Name,GanttView[[#This Row],[_Row]])="",TRUE()),0,IF(AND(INDEX(tsk_IsLeaf,GanttView[[#This Row],[_Row]])=1,NOT(GanttView[[#This Row],[_IsMilestone]]),N(GanttView[[#This Row],[%]])&gt;0),GanttView[[#This Row],[Start]],0))</f>
        <v>0</v>
      </c>
      <c r="Q74" s="96" t="n">
        <f aca="false">IF(GanttView[[#This Row],[_DoneFrom]]=0,0,IF(GanttView[[#This Row],[%]]&gt;=1,GanttView[[#This Row],[Finish]],MAX(GanttView[[#This Row],[_DoneFrom]],GanttView[[#This Row],[Start]]+ROUND((GanttView[[#This Row],[Finish]]-GanttView[[#This Row],[Start]]+1)*GanttView[[#This Row],[%]],0)-1)))</f>
        <v>0</v>
      </c>
      <c r="R74" s="96" t="n">
        <f aca="false">IF(IFERROR(INDEX(tsk_Name,GanttView[[#This Row],[_Row]])="",TRUE()),0,IF(OR(INDEX(tsk_IsLeaf,GanttView[[#This Row],[_Row]])&lt;&gt;1,GanttView[[#This Row],[_IsMilestone]],N(GanttView[[#This Row],[%]])&gt;=1),0,IF(GanttView[[#This Row],[_DoneTo]]&gt;0,GanttView[[#This Row],[_DoneTo]]+1,GanttView[[#This Row],[Start]])))</f>
        <v>0</v>
      </c>
      <c r="S74" s="96" t="n">
        <f aca="false">IF(GanttView[[#This Row],[_RemFrom]]=0,0,GanttView[[#This Row],[Finish]])</f>
        <v>0</v>
      </c>
      <c r="T74" s="95" t="b">
        <f aca="false">IF(IFERROR(INDEX(tsk_Name,GanttView[[#This Row],[_Row]])="",TRUE()),FALSE(),N(INDEX(tsk_Variance,GanttView[[#This Row],[_Row]]))&gt;0)</f>
        <v>0</v>
      </c>
      <c r="U74" s="96" t="n">
        <f aca="false">IF(IFERROR(INDEX(tsk_Name,GanttView[[#This Row],[_Row]])="",TRUE()),0,N(INDEX(tsk_Deadline,GanttView[[#This Row],[_Row]])))</f>
        <v>0</v>
      </c>
      <c r="V74" s="95" t="b">
        <f aca="false">IF(IFERROR(INDEX(tsk_Name,GanttView[[#This Row],[_Row]])="",TRUE()),FALSE(),INDEX(tsk_Critical,GanttView[[#This Row],[_Row]])="Yes")</f>
        <v>0</v>
      </c>
    </row>
    <row r="75" customFormat="false" ht="15" hidden="false" customHeight="false" outlineLevel="0" collapsed="false">
      <c r="A75" s="89" t="str">
        <f aca="false">IF(IFERROR(INDEX(tsk_Name,GanttView[[#This Row],[_Row]])="",TRUE()),"",INDEX(tsk_ID,GanttView[[#This Row],[_Row]]))</f>
        <v/>
      </c>
      <c r="B75" s="90" t="str">
        <f aca="false">IF(IFERROR(INDEX(tsk_Name,GanttView[[#This Row],[_Row]])="",TRUE()),"",REPT("    ",INDEX(tsk_Level,GanttView[[#This Row],[_Row]])-1)&amp;INDEX(tsk_Name,GanttView[[#This Row],[_Row]]))</f>
        <v/>
      </c>
      <c r="C75" s="91" t="str">
        <f aca="false">IF(IFERROR(INDEX(tsk_Name,GanttView[[#This Row],[_Row]])="",TRUE()),"",INDEX(tsk_FcStart,GanttView[[#This Row],[_Row]]))</f>
        <v/>
      </c>
      <c r="D75" s="91" t="str">
        <f aca="false">IF(IFERROR(INDEX(tsk_Name,GanttView[[#This Row],[_Row]])="",TRUE()),"",INDEX(tsk_FcFinish,GanttView[[#This Row],[_Row]]))</f>
        <v/>
      </c>
      <c r="E75" s="92" t="str">
        <f aca="false">IF(IFERROR(INDEX(tsk_Name,GanttView[[#This Row],[_Row]])="",TRUE()),"",INDEX(tsk_Progress,GanttView[[#This Row],[_Row]]))</f>
        <v/>
      </c>
      <c r="F75" s="90" t="str">
        <f aca="false">IF(IFERROR(INDEX(tsk_Name,GanttView[[#This Row],[_Row]])="",TRUE()),"",INDEX(tsk_ResourceNames,GanttView[[#This Row],[_Row]])&amp;"")</f>
        <v/>
      </c>
      <c r="G75" s="89" t="str">
        <f aca="false">IF(IFERROR(INDEX(tsk_Name,GanttView[[#This Row],[_Row]])="",TRUE()),"",INDEX(tsk_WBS,GanttView[[#This Row],[_Row]]))</f>
        <v/>
      </c>
      <c r="H75" s="89" t="str">
        <f aca="false">IF(IFERROR(INDEX(tsk_Name,GanttView[[#This Row],[_Row]])="",TRUE()),"",IF(INDEX(tsk_IsSummary,GanttView[[#This Row],[_Row]]),NETWORKDAYS.INTL(INDEX(tsk_FcStart,GanttView[[#This Row],[_Row]]),INDEX(tsk_FcFinish,GanttView[[#This Row],[_Row]]),WorkWeek,Holidays),N(INDEX(tsk_Duration,GanttView[[#This Row],[_Row]]))))</f>
        <v/>
      </c>
      <c r="I75" s="91" t="str">
        <f aca="false">IF(IFERROR(INDEX(tsk_Name,GanttView[[#This Row],[_Row]])="",TRUE()),"",INDEX(tsk_PlanStart,GanttView[[#This Row],[_Row]]))</f>
        <v/>
      </c>
      <c r="J75" s="91" t="str">
        <f aca="false">IF(IFERROR(INDEX(tsk_Name,GanttView[[#This Row],[_Row]])="",TRUE()),"",INDEX(tsk_PlanFinish,GanttView[[#This Row],[_Row]]))</f>
        <v/>
      </c>
      <c r="K75" s="93" t="str">
        <f aca="false">IF(IFERROR(INDEX(tsk_Name,GanttView[[#This Row],[_Row]])="",TRUE()),"",INDEX(tsk_Status,GanttView[[#This Row],[_Row]]))</f>
        <v/>
      </c>
      <c r="L75" s="93" t="str">
        <f aca="false">IF(IFERROR(INDEX(tsk_Name,GanttView[[#This Row],[_Row]])="",TRUE()),"",INDEX(tsk_Show,GanttView[[#This Row],[_Row]])&amp;"")</f>
        <v/>
      </c>
      <c r="M75" s="94" t="n">
        <f aca="false">ROW()-ROW(GanttView[[#Headers],[ID]])</f>
        <v>70</v>
      </c>
      <c r="N75" s="95" t="b">
        <f aca="false">IF(IFERROR(INDEX(tsk_Name,GanttView[[#This Row],[_Row]])="",TRUE()),FALSE(),INDEX(tsk_IsSummary,GanttView[[#This Row],[_Row]]))</f>
        <v>0</v>
      </c>
      <c r="O75" s="95" t="b">
        <f aca="false">IF(IFERROR(INDEX(tsk_Name,GanttView[[#This Row],[_Row]])="",TRUE()),FALSE(),AND(INDEX(tsk_IsLeaf,GanttView[[#This Row],[_Row]])=1,N(INDEX(tsk_Duration,GanttView[[#This Row],[_Row]]))=0))</f>
        <v>0</v>
      </c>
      <c r="P75" s="96" t="n">
        <f aca="false">IF(IFERROR(INDEX(tsk_Name,GanttView[[#This Row],[_Row]])="",TRUE()),0,IF(AND(INDEX(tsk_IsLeaf,GanttView[[#This Row],[_Row]])=1,NOT(GanttView[[#This Row],[_IsMilestone]]),N(GanttView[[#This Row],[%]])&gt;0),GanttView[[#This Row],[Start]],0))</f>
        <v>0</v>
      </c>
      <c r="Q75" s="96" t="n">
        <f aca="false">IF(GanttView[[#This Row],[_DoneFrom]]=0,0,IF(GanttView[[#This Row],[%]]&gt;=1,GanttView[[#This Row],[Finish]],MAX(GanttView[[#This Row],[_DoneFrom]],GanttView[[#This Row],[Start]]+ROUND((GanttView[[#This Row],[Finish]]-GanttView[[#This Row],[Start]]+1)*GanttView[[#This Row],[%]],0)-1)))</f>
        <v>0</v>
      </c>
      <c r="R75" s="96" t="n">
        <f aca="false">IF(IFERROR(INDEX(tsk_Name,GanttView[[#This Row],[_Row]])="",TRUE()),0,IF(OR(INDEX(tsk_IsLeaf,GanttView[[#This Row],[_Row]])&lt;&gt;1,GanttView[[#This Row],[_IsMilestone]],N(GanttView[[#This Row],[%]])&gt;=1),0,IF(GanttView[[#This Row],[_DoneTo]]&gt;0,GanttView[[#This Row],[_DoneTo]]+1,GanttView[[#This Row],[Start]])))</f>
        <v>0</v>
      </c>
      <c r="S75" s="96" t="n">
        <f aca="false">IF(GanttView[[#This Row],[_RemFrom]]=0,0,GanttView[[#This Row],[Finish]])</f>
        <v>0</v>
      </c>
      <c r="T75" s="95" t="b">
        <f aca="false">IF(IFERROR(INDEX(tsk_Name,GanttView[[#This Row],[_Row]])="",TRUE()),FALSE(),N(INDEX(tsk_Variance,GanttView[[#This Row],[_Row]]))&gt;0)</f>
        <v>0</v>
      </c>
      <c r="U75" s="96" t="n">
        <f aca="false">IF(IFERROR(INDEX(tsk_Name,GanttView[[#This Row],[_Row]])="",TRUE()),0,N(INDEX(tsk_Deadline,GanttView[[#This Row],[_Row]])))</f>
        <v>0</v>
      </c>
      <c r="V75" s="95" t="b">
        <f aca="false">IF(IFERROR(INDEX(tsk_Name,GanttView[[#This Row],[_Row]])="",TRUE()),FALSE(),INDEX(tsk_Critical,GanttView[[#This Row],[_Row]])="Yes")</f>
        <v>0</v>
      </c>
    </row>
    <row r="76" customFormat="false" ht="15" hidden="false" customHeight="false" outlineLevel="0" collapsed="false">
      <c r="A76" s="89" t="str">
        <f aca="false">IF(IFERROR(INDEX(tsk_Name,GanttView[[#This Row],[_Row]])="",TRUE()),"",INDEX(tsk_ID,GanttView[[#This Row],[_Row]]))</f>
        <v/>
      </c>
      <c r="B76" s="90" t="str">
        <f aca="false">IF(IFERROR(INDEX(tsk_Name,GanttView[[#This Row],[_Row]])="",TRUE()),"",REPT("    ",INDEX(tsk_Level,GanttView[[#This Row],[_Row]])-1)&amp;INDEX(tsk_Name,GanttView[[#This Row],[_Row]]))</f>
        <v/>
      </c>
      <c r="C76" s="91" t="str">
        <f aca="false">IF(IFERROR(INDEX(tsk_Name,GanttView[[#This Row],[_Row]])="",TRUE()),"",INDEX(tsk_FcStart,GanttView[[#This Row],[_Row]]))</f>
        <v/>
      </c>
      <c r="D76" s="91" t="str">
        <f aca="false">IF(IFERROR(INDEX(tsk_Name,GanttView[[#This Row],[_Row]])="",TRUE()),"",INDEX(tsk_FcFinish,GanttView[[#This Row],[_Row]]))</f>
        <v/>
      </c>
      <c r="E76" s="92" t="str">
        <f aca="false">IF(IFERROR(INDEX(tsk_Name,GanttView[[#This Row],[_Row]])="",TRUE()),"",INDEX(tsk_Progress,GanttView[[#This Row],[_Row]]))</f>
        <v/>
      </c>
      <c r="F76" s="90" t="str">
        <f aca="false">IF(IFERROR(INDEX(tsk_Name,GanttView[[#This Row],[_Row]])="",TRUE()),"",INDEX(tsk_ResourceNames,GanttView[[#This Row],[_Row]])&amp;"")</f>
        <v/>
      </c>
      <c r="G76" s="89" t="str">
        <f aca="false">IF(IFERROR(INDEX(tsk_Name,GanttView[[#This Row],[_Row]])="",TRUE()),"",INDEX(tsk_WBS,GanttView[[#This Row],[_Row]]))</f>
        <v/>
      </c>
      <c r="H76" s="89" t="str">
        <f aca="false">IF(IFERROR(INDEX(tsk_Name,GanttView[[#This Row],[_Row]])="",TRUE()),"",IF(INDEX(tsk_IsSummary,GanttView[[#This Row],[_Row]]),NETWORKDAYS.INTL(INDEX(tsk_FcStart,GanttView[[#This Row],[_Row]]),INDEX(tsk_FcFinish,GanttView[[#This Row],[_Row]]),WorkWeek,Holidays),N(INDEX(tsk_Duration,GanttView[[#This Row],[_Row]]))))</f>
        <v/>
      </c>
      <c r="I76" s="91" t="str">
        <f aca="false">IF(IFERROR(INDEX(tsk_Name,GanttView[[#This Row],[_Row]])="",TRUE()),"",INDEX(tsk_PlanStart,GanttView[[#This Row],[_Row]]))</f>
        <v/>
      </c>
      <c r="J76" s="91" t="str">
        <f aca="false">IF(IFERROR(INDEX(tsk_Name,GanttView[[#This Row],[_Row]])="",TRUE()),"",INDEX(tsk_PlanFinish,GanttView[[#This Row],[_Row]]))</f>
        <v/>
      </c>
      <c r="K76" s="93" t="str">
        <f aca="false">IF(IFERROR(INDEX(tsk_Name,GanttView[[#This Row],[_Row]])="",TRUE()),"",INDEX(tsk_Status,GanttView[[#This Row],[_Row]]))</f>
        <v/>
      </c>
      <c r="L76" s="93" t="str">
        <f aca="false">IF(IFERROR(INDEX(tsk_Name,GanttView[[#This Row],[_Row]])="",TRUE()),"",INDEX(tsk_Show,GanttView[[#This Row],[_Row]])&amp;"")</f>
        <v/>
      </c>
      <c r="M76" s="94" t="n">
        <f aca="false">ROW()-ROW(GanttView[[#Headers],[ID]])</f>
        <v>71</v>
      </c>
      <c r="N76" s="95" t="b">
        <f aca="false">IF(IFERROR(INDEX(tsk_Name,GanttView[[#This Row],[_Row]])="",TRUE()),FALSE(),INDEX(tsk_IsSummary,GanttView[[#This Row],[_Row]]))</f>
        <v>0</v>
      </c>
      <c r="O76" s="95" t="b">
        <f aca="false">IF(IFERROR(INDEX(tsk_Name,GanttView[[#This Row],[_Row]])="",TRUE()),FALSE(),AND(INDEX(tsk_IsLeaf,GanttView[[#This Row],[_Row]])=1,N(INDEX(tsk_Duration,GanttView[[#This Row],[_Row]]))=0))</f>
        <v>0</v>
      </c>
      <c r="P76" s="96" t="n">
        <f aca="false">IF(IFERROR(INDEX(tsk_Name,GanttView[[#This Row],[_Row]])="",TRUE()),0,IF(AND(INDEX(tsk_IsLeaf,GanttView[[#This Row],[_Row]])=1,NOT(GanttView[[#This Row],[_IsMilestone]]),N(GanttView[[#This Row],[%]])&gt;0),GanttView[[#This Row],[Start]],0))</f>
        <v>0</v>
      </c>
      <c r="Q76" s="96" t="n">
        <f aca="false">IF(GanttView[[#This Row],[_DoneFrom]]=0,0,IF(GanttView[[#This Row],[%]]&gt;=1,GanttView[[#This Row],[Finish]],MAX(GanttView[[#This Row],[_DoneFrom]],GanttView[[#This Row],[Start]]+ROUND((GanttView[[#This Row],[Finish]]-GanttView[[#This Row],[Start]]+1)*GanttView[[#This Row],[%]],0)-1)))</f>
        <v>0</v>
      </c>
      <c r="R76" s="96" t="n">
        <f aca="false">IF(IFERROR(INDEX(tsk_Name,GanttView[[#This Row],[_Row]])="",TRUE()),0,IF(OR(INDEX(tsk_IsLeaf,GanttView[[#This Row],[_Row]])&lt;&gt;1,GanttView[[#This Row],[_IsMilestone]],N(GanttView[[#This Row],[%]])&gt;=1),0,IF(GanttView[[#This Row],[_DoneTo]]&gt;0,GanttView[[#This Row],[_DoneTo]]+1,GanttView[[#This Row],[Start]])))</f>
        <v>0</v>
      </c>
      <c r="S76" s="96" t="n">
        <f aca="false">IF(GanttView[[#This Row],[_RemFrom]]=0,0,GanttView[[#This Row],[Finish]])</f>
        <v>0</v>
      </c>
      <c r="T76" s="95" t="b">
        <f aca="false">IF(IFERROR(INDEX(tsk_Name,GanttView[[#This Row],[_Row]])="",TRUE()),FALSE(),N(INDEX(tsk_Variance,GanttView[[#This Row],[_Row]]))&gt;0)</f>
        <v>0</v>
      </c>
      <c r="U76" s="96" t="n">
        <f aca="false">IF(IFERROR(INDEX(tsk_Name,GanttView[[#This Row],[_Row]])="",TRUE()),0,N(INDEX(tsk_Deadline,GanttView[[#This Row],[_Row]])))</f>
        <v>0</v>
      </c>
      <c r="V76" s="95" t="b">
        <f aca="false">IF(IFERROR(INDEX(tsk_Name,GanttView[[#This Row],[_Row]])="",TRUE()),FALSE(),INDEX(tsk_Critical,GanttView[[#This Row],[_Row]])="Yes")</f>
        <v>0</v>
      </c>
    </row>
    <row r="77" customFormat="false" ht="15" hidden="false" customHeight="false" outlineLevel="0" collapsed="false">
      <c r="A77" s="89" t="str">
        <f aca="false">IF(IFERROR(INDEX(tsk_Name,GanttView[[#This Row],[_Row]])="",TRUE()),"",INDEX(tsk_ID,GanttView[[#This Row],[_Row]]))</f>
        <v/>
      </c>
      <c r="B77" s="90" t="str">
        <f aca="false">IF(IFERROR(INDEX(tsk_Name,GanttView[[#This Row],[_Row]])="",TRUE()),"",REPT("    ",INDEX(tsk_Level,GanttView[[#This Row],[_Row]])-1)&amp;INDEX(tsk_Name,GanttView[[#This Row],[_Row]]))</f>
        <v/>
      </c>
      <c r="C77" s="91" t="str">
        <f aca="false">IF(IFERROR(INDEX(tsk_Name,GanttView[[#This Row],[_Row]])="",TRUE()),"",INDEX(tsk_FcStart,GanttView[[#This Row],[_Row]]))</f>
        <v/>
      </c>
      <c r="D77" s="91" t="str">
        <f aca="false">IF(IFERROR(INDEX(tsk_Name,GanttView[[#This Row],[_Row]])="",TRUE()),"",INDEX(tsk_FcFinish,GanttView[[#This Row],[_Row]]))</f>
        <v/>
      </c>
      <c r="E77" s="92" t="str">
        <f aca="false">IF(IFERROR(INDEX(tsk_Name,GanttView[[#This Row],[_Row]])="",TRUE()),"",INDEX(tsk_Progress,GanttView[[#This Row],[_Row]]))</f>
        <v/>
      </c>
      <c r="F77" s="90" t="str">
        <f aca="false">IF(IFERROR(INDEX(tsk_Name,GanttView[[#This Row],[_Row]])="",TRUE()),"",INDEX(tsk_ResourceNames,GanttView[[#This Row],[_Row]])&amp;"")</f>
        <v/>
      </c>
      <c r="G77" s="89" t="str">
        <f aca="false">IF(IFERROR(INDEX(tsk_Name,GanttView[[#This Row],[_Row]])="",TRUE()),"",INDEX(tsk_WBS,GanttView[[#This Row],[_Row]]))</f>
        <v/>
      </c>
      <c r="H77" s="89" t="str">
        <f aca="false">IF(IFERROR(INDEX(tsk_Name,GanttView[[#This Row],[_Row]])="",TRUE()),"",IF(INDEX(tsk_IsSummary,GanttView[[#This Row],[_Row]]),NETWORKDAYS.INTL(INDEX(tsk_FcStart,GanttView[[#This Row],[_Row]]),INDEX(tsk_FcFinish,GanttView[[#This Row],[_Row]]),WorkWeek,Holidays),N(INDEX(tsk_Duration,GanttView[[#This Row],[_Row]]))))</f>
        <v/>
      </c>
      <c r="I77" s="91" t="str">
        <f aca="false">IF(IFERROR(INDEX(tsk_Name,GanttView[[#This Row],[_Row]])="",TRUE()),"",INDEX(tsk_PlanStart,GanttView[[#This Row],[_Row]]))</f>
        <v/>
      </c>
      <c r="J77" s="91" t="str">
        <f aca="false">IF(IFERROR(INDEX(tsk_Name,GanttView[[#This Row],[_Row]])="",TRUE()),"",INDEX(tsk_PlanFinish,GanttView[[#This Row],[_Row]]))</f>
        <v/>
      </c>
      <c r="K77" s="93" t="str">
        <f aca="false">IF(IFERROR(INDEX(tsk_Name,GanttView[[#This Row],[_Row]])="",TRUE()),"",INDEX(tsk_Status,GanttView[[#This Row],[_Row]]))</f>
        <v/>
      </c>
      <c r="L77" s="93" t="str">
        <f aca="false">IF(IFERROR(INDEX(tsk_Name,GanttView[[#This Row],[_Row]])="",TRUE()),"",INDEX(tsk_Show,GanttView[[#This Row],[_Row]])&amp;"")</f>
        <v/>
      </c>
      <c r="M77" s="94" t="n">
        <f aca="false">ROW()-ROW(GanttView[[#Headers],[ID]])</f>
        <v>72</v>
      </c>
      <c r="N77" s="95" t="b">
        <f aca="false">IF(IFERROR(INDEX(tsk_Name,GanttView[[#This Row],[_Row]])="",TRUE()),FALSE(),INDEX(tsk_IsSummary,GanttView[[#This Row],[_Row]]))</f>
        <v>0</v>
      </c>
      <c r="O77" s="95" t="b">
        <f aca="false">IF(IFERROR(INDEX(tsk_Name,GanttView[[#This Row],[_Row]])="",TRUE()),FALSE(),AND(INDEX(tsk_IsLeaf,GanttView[[#This Row],[_Row]])=1,N(INDEX(tsk_Duration,GanttView[[#This Row],[_Row]]))=0))</f>
        <v>0</v>
      </c>
      <c r="P77" s="96" t="n">
        <f aca="false">IF(IFERROR(INDEX(tsk_Name,GanttView[[#This Row],[_Row]])="",TRUE()),0,IF(AND(INDEX(tsk_IsLeaf,GanttView[[#This Row],[_Row]])=1,NOT(GanttView[[#This Row],[_IsMilestone]]),N(GanttView[[#This Row],[%]])&gt;0),GanttView[[#This Row],[Start]],0))</f>
        <v>0</v>
      </c>
      <c r="Q77" s="96" t="n">
        <f aca="false">IF(GanttView[[#This Row],[_DoneFrom]]=0,0,IF(GanttView[[#This Row],[%]]&gt;=1,GanttView[[#This Row],[Finish]],MAX(GanttView[[#This Row],[_DoneFrom]],GanttView[[#This Row],[Start]]+ROUND((GanttView[[#This Row],[Finish]]-GanttView[[#This Row],[Start]]+1)*GanttView[[#This Row],[%]],0)-1)))</f>
        <v>0</v>
      </c>
      <c r="R77" s="96" t="n">
        <f aca="false">IF(IFERROR(INDEX(tsk_Name,GanttView[[#This Row],[_Row]])="",TRUE()),0,IF(OR(INDEX(tsk_IsLeaf,GanttView[[#This Row],[_Row]])&lt;&gt;1,GanttView[[#This Row],[_IsMilestone]],N(GanttView[[#This Row],[%]])&gt;=1),0,IF(GanttView[[#This Row],[_DoneTo]]&gt;0,GanttView[[#This Row],[_DoneTo]]+1,GanttView[[#This Row],[Start]])))</f>
        <v>0</v>
      </c>
      <c r="S77" s="96" t="n">
        <f aca="false">IF(GanttView[[#This Row],[_RemFrom]]=0,0,GanttView[[#This Row],[Finish]])</f>
        <v>0</v>
      </c>
      <c r="T77" s="95" t="b">
        <f aca="false">IF(IFERROR(INDEX(tsk_Name,GanttView[[#This Row],[_Row]])="",TRUE()),FALSE(),N(INDEX(tsk_Variance,GanttView[[#This Row],[_Row]]))&gt;0)</f>
        <v>0</v>
      </c>
      <c r="U77" s="96" t="n">
        <f aca="false">IF(IFERROR(INDEX(tsk_Name,GanttView[[#This Row],[_Row]])="",TRUE()),0,N(INDEX(tsk_Deadline,GanttView[[#This Row],[_Row]])))</f>
        <v>0</v>
      </c>
      <c r="V77" s="95" t="b">
        <f aca="false">IF(IFERROR(INDEX(tsk_Name,GanttView[[#This Row],[_Row]])="",TRUE()),FALSE(),INDEX(tsk_Critical,GanttView[[#This Row],[_Row]])="Yes")</f>
        <v>0</v>
      </c>
    </row>
    <row r="78" customFormat="false" ht="15" hidden="false" customHeight="false" outlineLevel="0" collapsed="false">
      <c r="A78" s="89" t="str">
        <f aca="false">IF(IFERROR(INDEX(tsk_Name,GanttView[[#This Row],[_Row]])="",TRUE()),"",INDEX(tsk_ID,GanttView[[#This Row],[_Row]]))</f>
        <v/>
      </c>
      <c r="B78" s="90" t="str">
        <f aca="false">IF(IFERROR(INDEX(tsk_Name,GanttView[[#This Row],[_Row]])="",TRUE()),"",REPT("    ",INDEX(tsk_Level,GanttView[[#This Row],[_Row]])-1)&amp;INDEX(tsk_Name,GanttView[[#This Row],[_Row]]))</f>
        <v/>
      </c>
      <c r="C78" s="91" t="str">
        <f aca="false">IF(IFERROR(INDEX(tsk_Name,GanttView[[#This Row],[_Row]])="",TRUE()),"",INDEX(tsk_FcStart,GanttView[[#This Row],[_Row]]))</f>
        <v/>
      </c>
      <c r="D78" s="91" t="str">
        <f aca="false">IF(IFERROR(INDEX(tsk_Name,GanttView[[#This Row],[_Row]])="",TRUE()),"",INDEX(tsk_FcFinish,GanttView[[#This Row],[_Row]]))</f>
        <v/>
      </c>
      <c r="E78" s="92" t="str">
        <f aca="false">IF(IFERROR(INDEX(tsk_Name,GanttView[[#This Row],[_Row]])="",TRUE()),"",INDEX(tsk_Progress,GanttView[[#This Row],[_Row]]))</f>
        <v/>
      </c>
      <c r="F78" s="90" t="str">
        <f aca="false">IF(IFERROR(INDEX(tsk_Name,GanttView[[#This Row],[_Row]])="",TRUE()),"",INDEX(tsk_ResourceNames,GanttView[[#This Row],[_Row]])&amp;"")</f>
        <v/>
      </c>
      <c r="G78" s="89" t="str">
        <f aca="false">IF(IFERROR(INDEX(tsk_Name,GanttView[[#This Row],[_Row]])="",TRUE()),"",INDEX(tsk_WBS,GanttView[[#This Row],[_Row]]))</f>
        <v/>
      </c>
      <c r="H78" s="89" t="str">
        <f aca="false">IF(IFERROR(INDEX(tsk_Name,GanttView[[#This Row],[_Row]])="",TRUE()),"",IF(INDEX(tsk_IsSummary,GanttView[[#This Row],[_Row]]),NETWORKDAYS.INTL(INDEX(tsk_FcStart,GanttView[[#This Row],[_Row]]),INDEX(tsk_FcFinish,GanttView[[#This Row],[_Row]]),WorkWeek,Holidays),N(INDEX(tsk_Duration,GanttView[[#This Row],[_Row]]))))</f>
        <v/>
      </c>
      <c r="I78" s="91" t="str">
        <f aca="false">IF(IFERROR(INDEX(tsk_Name,GanttView[[#This Row],[_Row]])="",TRUE()),"",INDEX(tsk_PlanStart,GanttView[[#This Row],[_Row]]))</f>
        <v/>
      </c>
      <c r="J78" s="91" t="str">
        <f aca="false">IF(IFERROR(INDEX(tsk_Name,GanttView[[#This Row],[_Row]])="",TRUE()),"",INDEX(tsk_PlanFinish,GanttView[[#This Row],[_Row]]))</f>
        <v/>
      </c>
      <c r="K78" s="93" t="str">
        <f aca="false">IF(IFERROR(INDEX(tsk_Name,GanttView[[#This Row],[_Row]])="",TRUE()),"",INDEX(tsk_Status,GanttView[[#This Row],[_Row]]))</f>
        <v/>
      </c>
      <c r="L78" s="93" t="str">
        <f aca="false">IF(IFERROR(INDEX(tsk_Name,GanttView[[#This Row],[_Row]])="",TRUE()),"",INDEX(tsk_Show,GanttView[[#This Row],[_Row]])&amp;"")</f>
        <v/>
      </c>
      <c r="M78" s="94" t="n">
        <f aca="false">ROW()-ROW(GanttView[[#Headers],[ID]])</f>
        <v>73</v>
      </c>
      <c r="N78" s="95" t="b">
        <f aca="false">IF(IFERROR(INDEX(tsk_Name,GanttView[[#This Row],[_Row]])="",TRUE()),FALSE(),INDEX(tsk_IsSummary,GanttView[[#This Row],[_Row]]))</f>
        <v>0</v>
      </c>
      <c r="O78" s="95" t="b">
        <f aca="false">IF(IFERROR(INDEX(tsk_Name,GanttView[[#This Row],[_Row]])="",TRUE()),FALSE(),AND(INDEX(tsk_IsLeaf,GanttView[[#This Row],[_Row]])=1,N(INDEX(tsk_Duration,GanttView[[#This Row],[_Row]]))=0))</f>
        <v>0</v>
      </c>
      <c r="P78" s="96" t="n">
        <f aca="false">IF(IFERROR(INDEX(tsk_Name,GanttView[[#This Row],[_Row]])="",TRUE()),0,IF(AND(INDEX(tsk_IsLeaf,GanttView[[#This Row],[_Row]])=1,NOT(GanttView[[#This Row],[_IsMilestone]]),N(GanttView[[#This Row],[%]])&gt;0),GanttView[[#This Row],[Start]],0))</f>
        <v>0</v>
      </c>
      <c r="Q78" s="96" t="n">
        <f aca="false">IF(GanttView[[#This Row],[_DoneFrom]]=0,0,IF(GanttView[[#This Row],[%]]&gt;=1,GanttView[[#This Row],[Finish]],MAX(GanttView[[#This Row],[_DoneFrom]],GanttView[[#This Row],[Start]]+ROUND((GanttView[[#This Row],[Finish]]-GanttView[[#This Row],[Start]]+1)*GanttView[[#This Row],[%]],0)-1)))</f>
        <v>0</v>
      </c>
      <c r="R78" s="96" t="n">
        <f aca="false">IF(IFERROR(INDEX(tsk_Name,GanttView[[#This Row],[_Row]])="",TRUE()),0,IF(OR(INDEX(tsk_IsLeaf,GanttView[[#This Row],[_Row]])&lt;&gt;1,GanttView[[#This Row],[_IsMilestone]],N(GanttView[[#This Row],[%]])&gt;=1),0,IF(GanttView[[#This Row],[_DoneTo]]&gt;0,GanttView[[#This Row],[_DoneTo]]+1,GanttView[[#This Row],[Start]])))</f>
        <v>0</v>
      </c>
      <c r="S78" s="96" t="n">
        <f aca="false">IF(GanttView[[#This Row],[_RemFrom]]=0,0,GanttView[[#This Row],[Finish]])</f>
        <v>0</v>
      </c>
      <c r="T78" s="95" t="b">
        <f aca="false">IF(IFERROR(INDEX(tsk_Name,GanttView[[#This Row],[_Row]])="",TRUE()),FALSE(),N(INDEX(tsk_Variance,GanttView[[#This Row],[_Row]]))&gt;0)</f>
        <v>0</v>
      </c>
      <c r="U78" s="96" t="n">
        <f aca="false">IF(IFERROR(INDEX(tsk_Name,GanttView[[#This Row],[_Row]])="",TRUE()),0,N(INDEX(tsk_Deadline,GanttView[[#This Row],[_Row]])))</f>
        <v>0</v>
      </c>
      <c r="V78" s="95" t="b">
        <f aca="false">IF(IFERROR(INDEX(tsk_Name,GanttView[[#This Row],[_Row]])="",TRUE()),FALSE(),INDEX(tsk_Critical,GanttView[[#This Row],[_Row]])="Yes")</f>
        <v>0</v>
      </c>
    </row>
    <row r="79" customFormat="false" ht="15" hidden="false" customHeight="false" outlineLevel="0" collapsed="false">
      <c r="A79" s="89" t="str">
        <f aca="false">IF(IFERROR(INDEX(tsk_Name,GanttView[[#This Row],[_Row]])="",TRUE()),"",INDEX(tsk_ID,GanttView[[#This Row],[_Row]]))</f>
        <v/>
      </c>
      <c r="B79" s="90" t="str">
        <f aca="false">IF(IFERROR(INDEX(tsk_Name,GanttView[[#This Row],[_Row]])="",TRUE()),"",REPT("    ",INDEX(tsk_Level,GanttView[[#This Row],[_Row]])-1)&amp;INDEX(tsk_Name,GanttView[[#This Row],[_Row]]))</f>
        <v/>
      </c>
      <c r="C79" s="91" t="str">
        <f aca="false">IF(IFERROR(INDEX(tsk_Name,GanttView[[#This Row],[_Row]])="",TRUE()),"",INDEX(tsk_FcStart,GanttView[[#This Row],[_Row]]))</f>
        <v/>
      </c>
      <c r="D79" s="91" t="str">
        <f aca="false">IF(IFERROR(INDEX(tsk_Name,GanttView[[#This Row],[_Row]])="",TRUE()),"",INDEX(tsk_FcFinish,GanttView[[#This Row],[_Row]]))</f>
        <v/>
      </c>
      <c r="E79" s="92" t="str">
        <f aca="false">IF(IFERROR(INDEX(tsk_Name,GanttView[[#This Row],[_Row]])="",TRUE()),"",INDEX(tsk_Progress,GanttView[[#This Row],[_Row]]))</f>
        <v/>
      </c>
      <c r="F79" s="90" t="str">
        <f aca="false">IF(IFERROR(INDEX(tsk_Name,GanttView[[#This Row],[_Row]])="",TRUE()),"",INDEX(tsk_ResourceNames,GanttView[[#This Row],[_Row]])&amp;"")</f>
        <v/>
      </c>
      <c r="G79" s="89" t="str">
        <f aca="false">IF(IFERROR(INDEX(tsk_Name,GanttView[[#This Row],[_Row]])="",TRUE()),"",INDEX(tsk_WBS,GanttView[[#This Row],[_Row]]))</f>
        <v/>
      </c>
      <c r="H79" s="89" t="str">
        <f aca="false">IF(IFERROR(INDEX(tsk_Name,GanttView[[#This Row],[_Row]])="",TRUE()),"",IF(INDEX(tsk_IsSummary,GanttView[[#This Row],[_Row]]),NETWORKDAYS.INTL(INDEX(tsk_FcStart,GanttView[[#This Row],[_Row]]),INDEX(tsk_FcFinish,GanttView[[#This Row],[_Row]]),WorkWeek,Holidays),N(INDEX(tsk_Duration,GanttView[[#This Row],[_Row]]))))</f>
        <v/>
      </c>
      <c r="I79" s="91" t="str">
        <f aca="false">IF(IFERROR(INDEX(tsk_Name,GanttView[[#This Row],[_Row]])="",TRUE()),"",INDEX(tsk_PlanStart,GanttView[[#This Row],[_Row]]))</f>
        <v/>
      </c>
      <c r="J79" s="91" t="str">
        <f aca="false">IF(IFERROR(INDEX(tsk_Name,GanttView[[#This Row],[_Row]])="",TRUE()),"",INDEX(tsk_PlanFinish,GanttView[[#This Row],[_Row]]))</f>
        <v/>
      </c>
      <c r="K79" s="93" t="str">
        <f aca="false">IF(IFERROR(INDEX(tsk_Name,GanttView[[#This Row],[_Row]])="",TRUE()),"",INDEX(tsk_Status,GanttView[[#This Row],[_Row]]))</f>
        <v/>
      </c>
      <c r="L79" s="93" t="str">
        <f aca="false">IF(IFERROR(INDEX(tsk_Name,GanttView[[#This Row],[_Row]])="",TRUE()),"",INDEX(tsk_Show,GanttView[[#This Row],[_Row]])&amp;"")</f>
        <v/>
      </c>
      <c r="M79" s="94" t="n">
        <f aca="false">ROW()-ROW(GanttView[[#Headers],[ID]])</f>
        <v>74</v>
      </c>
      <c r="N79" s="95" t="b">
        <f aca="false">IF(IFERROR(INDEX(tsk_Name,GanttView[[#This Row],[_Row]])="",TRUE()),FALSE(),INDEX(tsk_IsSummary,GanttView[[#This Row],[_Row]]))</f>
        <v>0</v>
      </c>
      <c r="O79" s="95" t="b">
        <f aca="false">IF(IFERROR(INDEX(tsk_Name,GanttView[[#This Row],[_Row]])="",TRUE()),FALSE(),AND(INDEX(tsk_IsLeaf,GanttView[[#This Row],[_Row]])=1,N(INDEX(tsk_Duration,GanttView[[#This Row],[_Row]]))=0))</f>
        <v>0</v>
      </c>
      <c r="P79" s="96" t="n">
        <f aca="false">IF(IFERROR(INDEX(tsk_Name,GanttView[[#This Row],[_Row]])="",TRUE()),0,IF(AND(INDEX(tsk_IsLeaf,GanttView[[#This Row],[_Row]])=1,NOT(GanttView[[#This Row],[_IsMilestone]]),N(GanttView[[#This Row],[%]])&gt;0),GanttView[[#This Row],[Start]],0))</f>
        <v>0</v>
      </c>
      <c r="Q79" s="96" t="n">
        <f aca="false">IF(GanttView[[#This Row],[_DoneFrom]]=0,0,IF(GanttView[[#This Row],[%]]&gt;=1,GanttView[[#This Row],[Finish]],MAX(GanttView[[#This Row],[_DoneFrom]],GanttView[[#This Row],[Start]]+ROUND((GanttView[[#This Row],[Finish]]-GanttView[[#This Row],[Start]]+1)*GanttView[[#This Row],[%]],0)-1)))</f>
        <v>0</v>
      </c>
      <c r="R79" s="96" t="n">
        <f aca="false">IF(IFERROR(INDEX(tsk_Name,GanttView[[#This Row],[_Row]])="",TRUE()),0,IF(OR(INDEX(tsk_IsLeaf,GanttView[[#This Row],[_Row]])&lt;&gt;1,GanttView[[#This Row],[_IsMilestone]],N(GanttView[[#This Row],[%]])&gt;=1),0,IF(GanttView[[#This Row],[_DoneTo]]&gt;0,GanttView[[#This Row],[_DoneTo]]+1,GanttView[[#This Row],[Start]])))</f>
        <v>0</v>
      </c>
      <c r="S79" s="96" t="n">
        <f aca="false">IF(GanttView[[#This Row],[_RemFrom]]=0,0,GanttView[[#This Row],[Finish]])</f>
        <v>0</v>
      </c>
      <c r="T79" s="95" t="b">
        <f aca="false">IF(IFERROR(INDEX(tsk_Name,GanttView[[#This Row],[_Row]])="",TRUE()),FALSE(),N(INDEX(tsk_Variance,GanttView[[#This Row],[_Row]]))&gt;0)</f>
        <v>0</v>
      </c>
      <c r="U79" s="96" t="n">
        <f aca="false">IF(IFERROR(INDEX(tsk_Name,GanttView[[#This Row],[_Row]])="",TRUE()),0,N(INDEX(tsk_Deadline,GanttView[[#This Row],[_Row]])))</f>
        <v>0</v>
      </c>
      <c r="V79" s="95" t="b">
        <f aca="false">IF(IFERROR(INDEX(tsk_Name,GanttView[[#This Row],[_Row]])="",TRUE()),FALSE(),INDEX(tsk_Critical,GanttView[[#This Row],[_Row]])="Yes")</f>
        <v>0</v>
      </c>
    </row>
    <row r="80" customFormat="false" ht="15" hidden="false" customHeight="false" outlineLevel="0" collapsed="false">
      <c r="A80" s="89" t="str">
        <f aca="false">IF(IFERROR(INDEX(tsk_Name,GanttView[[#This Row],[_Row]])="",TRUE()),"",INDEX(tsk_ID,GanttView[[#This Row],[_Row]]))</f>
        <v/>
      </c>
      <c r="B80" s="90" t="str">
        <f aca="false">IF(IFERROR(INDEX(tsk_Name,GanttView[[#This Row],[_Row]])="",TRUE()),"",REPT("    ",INDEX(tsk_Level,GanttView[[#This Row],[_Row]])-1)&amp;INDEX(tsk_Name,GanttView[[#This Row],[_Row]]))</f>
        <v/>
      </c>
      <c r="C80" s="91" t="str">
        <f aca="false">IF(IFERROR(INDEX(tsk_Name,GanttView[[#This Row],[_Row]])="",TRUE()),"",INDEX(tsk_FcStart,GanttView[[#This Row],[_Row]]))</f>
        <v/>
      </c>
      <c r="D80" s="91" t="str">
        <f aca="false">IF(IFERROR(INDEX(tsk_Name,GanttView[[#This Row],[_Row]])="",TRUE()),"",INDEX(tsk_FcFinish,GanttView[[#This Row],[_Row]]))</f>
        <v/>
      </c>
      <c r="E80" s="92" t="str">
        <f aca="false">IF(IFERROR(INDEX(tsk_Name,GanttView[[#This Row],[_Row]])="",TRUE()),"",INDEX(tsk_Progress,GanttView[[#This Row],[_Row]]))</f>
        <v/>
      </c>
      <c r="F80" s="90" t="str">
        <f aca="false">IF(IFERROR(INDEX(tsk_Name,GanttView[[#This Row],[_Row]])="",TRUE()),"",INDEX(tsk_ResourceNames,GanttView[[#This Row],[_Row]])&amp;"")</f>
        <v/>
      </c>
      <c r="G80" s="89" t="str">
        <f aca="false">IF(IFERROR(INDEX(tsk_Name,GanttView[[#This Row],[_Row]])="",TRUE()),"",INDEX(tsk_WBS,GanttView[[#This Row],[_Row]]))</f>
        <v/>
      </c>
      <c r="H80" s="89" t="str">
        <f aca="false">IF(IFERROR(INDEX(tsk_Name,GanttView[[#This Row],[_Row]])="",TRUE()),"",IF(INDEX(tsk_IsSummary,GanttView[[#This Row],[_Row]]),NETWORKDAYS.INTL(INDEX(tsk_FcStart,GanttView[[#This Row],[_Row]]),INDEX(tsk_FcFinish,GanttView[[#This Row],[_Row]]),WorkWeek,Holidays),N(INDEX(tsk_Duration,GanttView[[#This Row],[_Row]]))))</f>
        <v/>
      </c>
      <c r="I80" s="91" t="str">
        <f aca="false">IF(IFERROR(INDEX(tsk_Name,GanttView[[#This Row],[_Row]])="",TRUE()),"",INDEX(tsk_PlanStart,GanttView[[#This Row],[_Row]]))</f>
        <v/>
      </c>
      <c r="J80" s="91" t="str">
        <f aca="false">IF(IFERROR(INDEX(tsk_Name,GanttView[[#This Row],[_Row]])="",TRUE()),"",INDEX(tsk_PlanFinish,GanttView[[#This Row],[_Row]]))</f>
        <v/>
      </c>
      <c r="K80" s="93" t="str">
        <f aca="false">IF(IFERROR(INDEX(tsk_Name,GanttView[[#This Row],[_Row]])="",TRUE()),"",INDEX(tsk_Status,GanttView[[#This Row],[_Row]]))</f>
        <v/>
      </c>
      <c r="L80" s="93" t="str">
        <f aca="false">IF(IFERROR(INDEX(tsk_Name,GanttView[[#This Row],[_Row]])="",TRUE()),"",INDEX(tsk_Show,GanttView[[#This Row],[_Row]])&amp;"")</f>
        <v/>
      </c>
      <c r="M80" s="94" t="n">
        <f aca="false">ROW()-ROW(GanttView[[#Headers],[ID]])</f>
        <v>75</v>
      </c>
      <c r="N80" s="95" t="b">
        <f aca="false">IF(IFERROR(INDEX(tsk_Name,GanttView[[#This Row],[_Row]])="",TRUE()),FALSE(),INDEX(tsk_IsSummary,GanttView[[#This Row],[_Row]]))</f>
        <v>0</v>
      </c>
      <c r="O80" s="95" t="b">
        <f aca="false">IF(IFERROR(INDEX(tsk_Name,GanttView[[#This Row],[_Row]])="",TRUE()),FALSE(),AND(INDEX(tsk_IsLeaf,GanttView[[#This Row],[_Row]])=1,N(INDEX(tsk_Duration,GanttView[[#This Row],[_Row]]))=0))</f>
        <v>0</v>
      </c>
      <c r="P80" s="96" t="n">
        <f aca="false">IF(IFERROR(INDEX(tsk_Name,GanttView[[#This Row],[_Row]])="",TRUE()),0,IF(AND(INDEX(tsk_IsLeaf,GanttView[[#This Row],[_Row]])=1,NOT(GanttView[[#This Row],[_IsMilestone]]),N(GanttView[[#This Row],[%]])&gt;0),GanttView[[#This Row],[Start]],0))</f>
        <v>0</v>
      </c>
      <c r="Q80" s="96" t="n">
        <f aca="false">IF(GanttView[[#This Row],[_DoneFrom]]=0,0,IF(GanttView[[#This Row],[%]]&gt;=1,GanttView[[#This Row],[Finish]],MAX(GanttView[[#This Row],[_DoneFrom]],GanttView[[#This Row],[Start]]+ROUND((GanttView[[#This Row],[Finish]]-GanttView[[#This Row],[Start]]+1)*GanttView[[#This Row],[%]],0)-1)))</f>
        <v>0</v>
      </c>
      <c r="R80" s="96" t="n">
        <f aca="false">IF(IFERROR(INDEX(tsk_Name,GanttView[[#This Row],[_Row]])="",TRUE()),0,IF(OR(INDEX(tsk_IsLeaf,GanttView[[#This Row],[_Row]])&lt;&gt;1,GanttView[[#This Row],[_IsMilestone]],N(GanttView[[#This Row],[%]])&gt;=1),0,IF(GanttView[[#This Row],[_DoneTo]]&gt;0,GanttView[[#This Row],[_DoneTo]]+1,GanttView[[#This Row],[Start]])))</f>
        <v>0</v>
      </c>
      <c r="S80" s="96" t="n">
        <f aca="false">IF(GanttView[[#This Row],[_RemFrom]]=0,0,GanttView[[#This Row],[Finish]])</f>
        <v>0</v>
      </c>
      <c r="T80" s="95" t="b">
        <f aca="false">IF(IFERROR(INDEX(tsk_Name,GanttView[[#This Row],[_Row]])="",TRUE()),FALSE(),N(INDEX(tsk_Variance,GanttView[[#This Row],[_Row]]))&gt;0)</f>
        <v>0</v>
      </c>
      <c r="U80" s="96" t="n">
        <f aca="false">IF(IFERROR(INDEX(tsk_Name,GanttView[[#This Row],[_Row]])="",TRUE()),0,N(INDEX(tsk_Deadline,GanttView[[#This Row],[_Row]])))</f>
        <v>0</v>
      </c>
      <c r="V80" s="95" t="b">
        <f aca="false">IF(IFERROR(INDEX(tsk_Name,GanttView[[#This Row],[_Row]])="",TRUE()),FALSE(),INDEX(tsk_Critical,GanttView[[#This Row],[_Row]])="Yes")</f>
        <v>0</v>
      </c>
    </row>
    <row r="81" customFormat="false" ht="15" hidden="false" customHeight="false" outlineLevel="0" collapsed="false">
      <c r="A81" s="89" t="str">
        <f aca="false">IF(IFERROR(INDEX(tsk_Name,GanttView[[#This Row],[_Row]])="",TRUE()),"",INDEX(tsk_ID,GanttView[[#This Row],[_Row]]))</f>
        <v/>
      </c>
      <c r="B81" s="90" t="str">
        <f aca="false">IF(IFERROR(INDEX(tsk_Name,GanttView[[#This Row],[_Row]])="",TRUE()),"",REPT("    ",INDEX(tsk_Level,GanttView[[#This Row],[_Row]])-1)&amp;INDEX(tsk_Name,GanttView[[#This Row],[_Row]]))</f>
        <v/>
      </c>
      <c r="C81" s="91" t="str">
        <f aca="false">IF(IFERROR(INDEX(tsk_Name,GanttView[[#This Row],[_Row]])="",TRUE()),"",INDEX(tsk_FcStart,GanttView[[#This Row],[_Row]]))</f>
        <v/>
      </c>
      <c r="D81" s="91" t="str">
        <f aca="false">IF(IFERROR(INDEX(tsk_Name,GanttView[[#This Row],[_Row]])="",TRUE()),"",INDEX(tsk_FcFinish,GanttView[[#This Row],[_Row]]))</f>
        <v/>
      </c>
      <c r="E81" s="92" t="str">
        <f aca="false">IF(IFERROR(INDEX(tsk_Name,GanttView[[#This Row],[_Row]])="",TRUE()),"",INDEX(tsk_Progress,GanttView[[#This Row],[_Row]]))</f>
        <v/>
      </c>
      <c r="F81" s="90" t="str">
        <f aca="false">IF(IFERROR(INDEX(tsk_Name,GanttView[[#This Row],[_Row]])="",TRUE()),"",INDEX(tsk_ResourceNames,GanttView[[#This Row],[_Row]])&amp;"")</f>
        <v/>
      </c>
      <c r="G81" s="89" t="str">
        <f aca="false">IF(IFERROR(INDEX(tsk_Name,GanttView[[#This Row],[_Row]])="",TRUE()),"",INDEX(tsk_WBS,GanttView[[#This Row],[_Row]]))</f>
        <v/>
      </c>
      <c r="H81" s="89" t="str">
        <f aca="false">IF(IFERROR(INDEX(tsk_Name,GanttView[[#This Row],[_Row]])="",TRUE()),"",IF(INDEX(tsk_IsSummary,GanttView[[#This Row],[_Row]]),NETWORKDAYS.INTL(INDEX(tsk_FcStart,GanttView[[#This Row],[_Row]]),INDEX(tsk_FcFinish,GanttView[[#This Row],[_Row]]),WorkWeek,Holidays),N(INDEX(tsk_Duration,GanttView[[#This Row],[_Row]]))))</f>
        <v/>
      </c>
      <c r="I81" s="91" t="str">
        <f aca="false">IF(IFERROR(INDEX(tsk_Name,GanttView[[#This Row],[_Row]])="",TRUE()),"",INDEX(tsk_PlanStart,GanttView[[#This Row],[_Row]]))</f>
        <v/>
      </c>
      <c r="J81" s="91" t="str">
        <f aca="false">IF(IFERROR(INDEX(tsk_Name,GanttView[[#This Row],[_Row]])="",TRUE()),"",INDEX(tsk_PlanFinish,GanttView[[#This Row],[_Row]]))</f>
        <v/>
      </c>
      <c r="K81" s="93" t="str">
        <f aca="false">IF(IFERROR(INDEX(tsk_Name,GanttView[[#This Row],[_Row]])="",TRUE()),"",INDEX(tsk_Status,GanttView[[#This Row],[_Row]]))</f>
        <v/>
      </c>
      <c r="L81" s="93" t="str">
        <f aca="false">IF(IFERROR(INDEX(tsk_Name,GanttView[[#This Row],[_Row]])="",TRUE()),"",INDEX(tsk_Show,GanttView[[#This Row],[_Row]])&amp;"")</f>
        <v/>
      </c>
      <c r="M81" s="94" t="n">
        <f aca="false">ROW()-ROW(GanttView[[#Headers],[ID]])</f>
        <v>76</v>
      </c>
      <c r="N81" s="95" t="b">
        <f aca="false">IF(IFERROR(INDEX(tsk_Name,GanttView[[#This Row],[_Row]])="",TRUE()),FALSE(),INDEX(tsk_IsSummary,GanttView[[#This Row],[_Row]]))</f>
        <v>0</v>
      </c>
      <c r="O81" s="95" t="b">
        <f aca="false">IF(IFERROR(INDEX(tsk_Name,GanttView[[#This Row],[_Row]])="",TRUE()),FALSE(),AND(INDEX(tsk_IsLeaf,GanttView[[#This Row],[_Row]])=1,N(INDEX(tsk_Duration,GanttView[[#This Row],[_Row]]))=0))</f>
        <v>0</v>
      </c>
      <c r="P81" s="96" t="n">
        <f aca="false">IF(IFERROR(INDEX(tsk_Name,GanttView[[#This Row],[_Row]])="",TRUE()),0,IF(AND(INDEX(tsk_IsLeaf,GanttView[[#This Row],[_Row]])=1,NOT(GanttView[[#This Row],[_IsMilestone]]),N(GanttView[[#This Row],[%]])&gt;0),GanttView[[#This Row],[Start]],0))</f>
        <v>0</v>
      </c>
      <c r="Q81" s="96" t="n">
        <f aca="false">IF(GanttView[[#This Row],[_DoneFrom]]=0,0,IF(GanttView[[#This Row],[%]]&gt;=1,GanttView[[#This Row],[Finish]],MAX(GanttView[[#This Row],[_DoneFrom]],GanttView[[#This Row],[Start]]+ROUND((GanttView[[#This Row],[Finish]]-GanttView[[#This Row],[Start]]+1)*GanttView[[#This Row],[%]],0)-1)))</f>
        <v>0</v>
      </c>
      <c r="R81" s="96" t="n">
        <f aca="false">IF(IFERROR(INDEX(tsk_Name,GanttView[[#This Row],[_Row]])="",TRUE()),0,IF(OR(INDEX(tsk_IsLeaf,GanttView[[#This Row],[_Row]])&lt;&gt;1,GanttView[[#This Row],[_IsMilestone]],N(GanttView[[#This Row],[%]])&gt;=1),0,IF(GanttView[[#This Row],[_DoneTo]]&gt;0,GanttView[[#This Row],[_DoneTo]]+1,GanttView[[#This Row],[Start]])))</f>
        <v>0</v>
      </c>
      <c r="S81" s="96" t="n">
        <f aca="false">IF(GanttView[[#This Row],[_RemFrom]]=0,0,GanttView[[#This Row],[Finish]])</f>
        <v>0</v>
      </c>
      <c r="T81" s="95" t="b">
        <f aca="false">IF(IFERROR(INDEX(tsk_Name,GanttView[[#This Row],[_Row]])="",TRUE()),FALSE(),N(INDEX(tsk_Variance,GanttView[[#This Row],[_Row]]))&gt;0)</f>
        <v>0</v>
      </c>
      <c r="U81" s="96" t="n">
        <f aca="false">IF(IFERROR(INDEX(tsk_Name,GanttView[[#This Row],[_Row]])="",TRUE()),0,N(INDEX(tsk_Deadline,GanttView[[#This Row],[_Row]])))</f>
        <v>0</v>
      </c>
      <c r="V81" s="95" t="b">
        <f aca="false">IF(IFERROR(INDEX(tsk_Name,GanttView[[#This Row],[_Row]])="",TRUE()),FALSE(),INDEX(tsk_Critical,GanttView[[#This Row],[_Row]])="Yes")</f>
        <v>0</v>
      </c>
    </row>
    <row r="82" customFormat="false" ht="15" hidden="false" customHeight="false" outlineLevel="0" collapsed="false">
      <c r="A82" s="89" t="str">
        <f aca="false">IF(IFERROR(INDEX(tsk_Name,GanttView[[#This Row],[_Row]])="",TRUE()),"",INDEX(tsk_ID,GanttView[[#This Row],[_Row]]))</f>
        <v/>
      </c>
      <c r="B82" s="90" t="str">
        <f aca="false">IF(IFERROR(INDEX(tsk_Name,GanttView[[#This Row],[_Row]])="",TRUE()),"",REPT("    ",INDEX(tsk_Level,GanttView[[#This Row],[_Row]])-1)&amp;INDEX(tsk_Name,GanttView[[#This Row],[_Row]]))</f>
        <v/>
      </c>
      <c r="C82" s="91" t="str">
        <f aca="false">IF(IFERROR(INDEX(tsk_Name,GanttView[[#This Row],[_Row]])="",TRUE()),"",INDEX(tsk_FcStart,GanttView[[#This Row],[_Row]]))</f>
        <v/>
      </c>
      <c r="D82" s="91" t="str">
        <f aca="false">IF(IFERROR(INDEX(tsk_Name,GanttView[[#This Row],[_Row]])="",TRUE()),"",INDEX(tsk_FcFinish,GanttView[[#This Row],[_Row]]))</f>
        <v/>
      </c>
      <c r="E82" s="92" t="str">
        <f aca="false">IF(IFERROR(INDEX(tsk_Name,GanttView[[#This Row],[_Row]])="",TRUE()),"",INDEX(tsk_Progress,GanttView[[#This Row],[_Row]]))</f>
        <v/>
      </c>
      <c r="F82" s="90" t="str">
        <f aca="false">IF(IFERROR(INDEX(tsk_Name,GanttView[[#This Row],[_Row]])="",TRUE()),"",INDEX(tsk_ResourceNames,GanttView[[#This Row],[_Row]])&amp;"")</f>
        <v/>
      </c>
      <c r="G82" s="89" t="str">
        <f aca="false">IF(IFERROR(INDEX(tsk_Name,GanttView[[#This Row],[_Row]])="",TRUE()),"",INDEX(tsk_WBS,GanttView[[#This Row],[_Row]]))</f>
        <v/>
      </c>
      <c r="H82" s="89" t="str">
        <f aca="false">IF(IFERROR(INDEX(tsk_Name,GanttView[[#This Row],[_Row]])="",TRUE()),"",IF(INDEX(tsk_IsSummary,GanttView[[#This Row],[_Row]]),NETWORKDAYS.INTL(INDEX(tsk_FcStart,GanttView[[#This Row],[_Row]]),INDEX(tsk_FcFinish,GanttView[[#This Row],[_Row]]),WorkWeek,Holidays),N(INDEX(tsk_Duration,GanttView[[#This Row],[_Row]]))))</f>
        <v/>
      </c>
      <c r="I82" s="91" t="str">
        <f aca="false">IF(IFERROR(INDEX(tsk_Name,GanttView[[#This Row],[_Row]])="",TRUE()),"",INDEX(tsk_PlanStart,GanttView[[#This Row],[_Row]]))</f>
        <v/>
      </c>
      <c r="J82" s="91" t="str">
        <f aca="false">IF(IFERROR(INDEX(tsk_Name,GanttView[[#This Row],[_Row]])="",TRUE()),"",INDEX(tsk_PlanFinish,GanttView[[#This Row],[_Row]]))</f>
        <v/>
      </c>
      <c r="K82" s="93" t="str">
        <f aca="false">IF(IFERROR(INDEX(tsk_Name,GanttView[[#This Row],[_Row]])="",TRUE()),"",INDEX(tsk_Status,GanttView[[#This Row],[_Row]]))</f>
        <v/>
      </c>
      <c r="L82" s="93" t="str">
        <f aca="false">IF(IFERROR(INDEX(tsk_Name,GanttView[[#This Row],[_Row]])="",TRUE()),"",INDEX(tsk_Show,GanttView[[#This Row],[_Row]])&amp;"")</f>
        <v/>
      </c>
      <c r="M82" s="94" t="n">
        <f aca="false">ROW()-ROW(GanttView[[#Headers],[ID]])</f>
        <v>77</v>
      </c>
      <c r="N82" s="95" t="b">
        <f aca="false">IF(IFERROR(INDEX(tsk_Name,GanttView[[#This Row],[_Row]])="",TRUE()),FALSE(),INDEX(tsk_IsSummary,GanttView[[#This Row],[_Row]]))</f>
        <v>0</v>
      </c>
      <c r="O82" s="95" t="b">
        <f aca="false">IF(IFERROR(INDEX(tsk_Name,GanttView[[#This Row],[_Row]])="",TRUE()),FALSE(),AND(INDEX(tsk_IsLeaf,GanttView[[#This Row],[_Row]])=1,N(INDEX(tsk_Duration,GanttView[[#This Row],[_Row]]))=0))</f>
        <v>0</v>
      </c>
      <c r="P82" s="96" t="n">
        <f aca="false">IF(IFERROR(INDEX(tsk_Name,GanttView[[#This Row],[_Row]])="",TRUE()),0,IF(AND(INDEX(tsk_IsLeaf,GanttView[[#This Row],[_Row]])=1,NOT(GanttView[[#This Row],[_IsMilestone]]),N(GanttView[[#This Row],[%]])&gt;0),GanttView[[#This Row],[Start]],0))</f>
        <v>0</v>
      </c>
      <c r="Q82" s="96" t="n">
        <f aca="false">IF(GanttView[[#This Row],[_DoneFrom]]=0,0,IF(GanttView[[#This Row],[%]]&gt;=1,GanttView[[#This Row],[Finish]],MAX(GanttView[[#This Row],[_DoneFrom]],GanttView[[#This Row],[Start]]+ROUND((GanttView[[#This Row],[Finish]]-GanttView[[#This Row],[Start]]+1)*GanttView[[#This Row],[%]],0)-1)))</f>
        <v>0</v>
      </c>
      <c r="R82" s="96" t="n">
        <f aca="false">IF(IFERROR(INDEX(tsk_Name,GanttView[[#This Row],[_Row]])="",TRUE()),0,IF(OR(INDEX(tsk_IsLeaf,GanttView[[#This Row],[_Row]])&lt;&gt;1,GanttView[[#This Row],[_IsMilestone]],N(GanttView[[#This Row],[%]])&gt;=1),0,IF(GanttView[[#This Row],[_DoneTo]]&gt;0,GanttView[[#This Row],[_DoneTo]]+1,GanttView[[#This Row],[Start]])))</f>
        <v>0</v>
      </c>
      <c r="S82" s="96" t="n">
        <f aca="false">IF(GanttView[[#This Row],[_RemFrom]]=0,0,GanttView[[#This Row],[Finish]])</f>
        <v>0</v>
      </c>
      <c r="T82" s="95" t="b">
        <f aca="false">IF(IFERROR(INDEX(tsk_Name,GanttView[[#This Row],[_Row]])="",TRUE()),FALSE(),N(INDEX(tsk_Variance,GanttView[[#This Row],[_Row]]))&gt;0)</f>
        <v>0</v>
      </c>
      <c r="U82" s="96" t="n">
        <f aca="false">IF(IFERROR(INDEX(tsk_Name,GanttView[[#This Row],[_Row]])="",TRUE()),0,N(INDEX(tsk_Deadline,GanttView[[#This Row],[_Row]])))</f>
        <v>0</v>
      </c>
      <c r="V82" s="95" t="b">
        <f aca="false">IF(IFERROR(INDEX(tsk_Name,GanttView[[#This Row],[_Row]])="",TRUE()),FALSE(),INDEX(tsk_Critical,GanttView[[#This Row],[_Row]])="Yes")</f>
        <v>0</v>
      </c>
    </row>
    <row r="83" customFormat="false" ht="15" hidden="false" customHeight="false" outlineLevel="0" collapsed="false">
      <c r="A83" s="89" t="str">
        <f aca="false">IF(IFERROR(INDEX(tsk_Name,GanttView[[#This Row],[_Row]])="",TRUE()),"",INDEX(tsk_ID,GanttView[[#This Row],[_Row]]))</f>
        <v/>
      </c>
      <c r="B83" s="90" t="str">
        <f aca="false">IF(IFERROR(INDEX(tsk_Name,GanttView[[#This Row],[_Row]])="",TRUE()),"",REPT("    ",INDEX(tsk_Level,GanttView[[#This Row],[_Row]])-1)&amp;INDEX(tsk_Name,GanttView[[#This Row],[_Row]]))</f>
        <v/>
      </c>
      <c r="C83" s="91" t="str">
        <f aca="false">IF(IFERROR(INDEX(tsk_Name,GanttView[[#This Row],[_Row]])="",TRUE()),"",INDEX(tsk_FcStart,GanttView[[#This Row],[_Row]]))</f>
        <v/>
      </c>
      <c r="D83" s="91" t="str">
        <f aca="false">IF(IFERROR(INDEX(tsk_Name,GanttView[[#This Row],[_Row]])="",TRUE()),"",INDEX(tsk_FcFinish,GanttView[[#This Row],[_Row]]))</f>
        <v/>
      </c>
      <c r="E83" s="92" t="str">
        <f aca="false">IF(IFERROR(INDEX(tsk_Name,GanttView[[#This Row],[_Row]])="",TRUE()),"",INDEX(tsk_Progress,GanttView[[#This Row],[_Row]]))</f>
        <v/>
      </c>
      <c r="F83" s="90" t="str">
        <f aca="false">IF(IFERROR(INDEX(tsk_Name,GanttView[[#This Row],[_Row]])="",TRUE()),"",INDEX(tsk_ResourceNames,GanttView[[#This Row],[_Row]])&amp;"")</f>
        <v/>
      </c>
      <c r="G83" s="89" t="str">
        <f aca="false">IF(IFERROR(INDEX(tsk_Name,GanttView[[#This Row],[_Row]])="",TRUE()),"",INDEX(tsk_WBS,GanttView[[#This Row],[_Row]]))</f>
        <v/>
      </c>
      <c r="H83" s="89" t="str">
        <f aca="false">IF(IFERROR(INDEX(tsk_Name,GanttView[[#This Row],[_Row]])="",TRUE()),"",IF(INDEX(tsk_IsSummary,GanttView[[#This Row],[_Row]]),NETWORKDAYS.INTL(INDEX(tsk_FcStart,GanttView[[#This Row],[_Row]]),INDEX(tsk_FcFinish,GanttView[[#This Row],[_Row]]),WorkWeek,Holidays),N(INDEX(tsk_Duration,GanttView[[#This Row],[_Row]]))))</f>
        <v/>
      </c>
      <c r="I83" s="91" t="str">
        <f aca="false">IF(IFERROR(INDEX(tsk_Name,GanttView[[#This Row],[_Row]])="",TRUE()),"",INDEX(tsk_PlanStart,GanttView[[#This Row],[_Row]]))</f>
        <v/>
      </c>
      <c r="J83" s="91" t="str">
        <f aca="false">IF(IFERROR(INDEX(tsk_Name,GanttView[[#This Row],[_Row]])="",TRUE()),"",INDEX(tsk_PlanFinish,GanttView[[#This Row],[_Row]]))</f>
        <v/>
      </c>
      <c r="K83" s="93" t="str">
        <f aca="false">IF(IFERROR(INDEX(tsk_Name,GanttView[[#This Row],[_Row]])="",TRUE()),"",INDEX(tsk_Status,GanttView[[#This Row],[_Row]]))</f>
        <v/>
      </c>
      <c r="L83" s="93" t="str">
        <f aca="false">IF(IFERROR(INDEX(tsk_Name,GanttView[[#This Row],[_Row]])="",TRUE()),"",INDEX(tsk_Show,GanttView[[#This Row],[_Row]])&amp;"")</f>
        <v/>
      </c>
      <c r="M83" s="94" t="n">
        <f aca="false">ROW()-ROW(GanttView[[#Headers],[ID]])</f>
        <v>78</v>
      </c>
      <c r="N83" s="95" t="b">
        <f aca="false">IF(IFERROR(INDEX(tsk_Name,GanttView[[#This Row],[_Row]])="",TRUE()),FALSE(),INDEX(tsk_IsSummary,GanttView[[#This Row],[_Row]]))</f>
        <v>0</v>
      </c>
      <c r="O83" s="95" t="b">
        <f aca="false">IF(IFERROR(INDEX(tsk_Name,GanttView[[#This Row],[_Row]])="",TRUE()),FALSE(),AND(INDEX(tsk_IsLeaf,GanttView[[#This Row],[_Row]])=1,N(INDEX(tsk_Duration,GanttView[[#This Row],[_Row]]))=0))</f>
        <v>0</v>
      </c>
      <c r="P83" s="96" t="n">
        <f aca="false">IF(IFERROR(INDEX(tsk_Name,GanttView[[#This Row],[_Row]])="",TRUE()),0,IF(AND(INDEX(tsk_IsLeaf,GanttView[[#This Row],[_Row]])=1,NOT(GanttView[[#This Row],[_IsMilestone]]),N(GanttView[[#This Row],[%]])&gt;0),GanttView[[#This Row],[Start]],0))</f>
        <v>0</v>
      </c>
      <c r="Q83" s="96" t="n">
        <f aca="false">IF(GanttView[[#This Row],[_DoneFrom]]=0,0,IF(GanttView[[#This Row],[%]]&gt;=1,GanttView[[#This Row],[Finish]],MAX(GanttView[[#This Row],[_DoneFrom]],GanttView[[#This Row],[Start]]+ROUND((GanttView[[#This Row],[Finish]]-GanttView[[#This Row],[Start]]+1)*GanttView[[#This Row],[%]],0)-1)))</f>
        <v>0</v>
      </c>
      <c r="R83" s="96" t="n">
        <f aca="false">IF(IFERROR(INDEX(tsk_Name,GanttView[[#This Row],[_Row]])="",TRUE()),0,IF(OR(INDEX(tsk_IsLeaf,GanttView[[#This Row],[_Row]])&lt;&gt;1,GanttView[[#This Row],[_IsMilestone]],N(GanttView[[#This Row],[%]])&gt;=1),0,IF(GanttView[[#This Row],[_DoneTo]]&gt;0,GanttView[[#This Row],[_DoneTo]]+1,GanttView[[#This Row],[Start]])))</f>
        <v>0</v>
      </c>
      <c r="S83" s="96" t="n">
        <f aca="false">IF(GanttView[[#This Row],[_RemFrom]]=0,0,GanttView[[#This Row],[Finish]])</f>
        <v>0</v>
      </c>
      <c r="T83" s="95" t="b">
        <f aca="false">IF(IFERROR(INDEX(tsk_Name,GanttView[[#This Row],[_Row]])="",TRUE()),FALSE(),N(INDEX(tsk_Variance,GanttView[[#This Row],[_Row]]))&gt;0)</f>
        <v>0</v>
      </c>
      <c r="U83" s="96" t="n">
        <f aca="false">IF(IFERROR(INDEX(tsk_Name,GanttView[[#This Row],[_Row]])="",TRUE()),0,N(INDEX(tsk_Deadline,GanttView[[#This Row],[_Row]])))</f>
        <v>0</v>
      </c>
      <c r="V83" s="95" t="b">
        <f aca="false">IF(IFERROR(INDEX(tsk_Name,GanttView[[#This Row],[_Row]])="",TRUE()),FALSE(),INDEX(tsk_Critical,GanttView[[#This Row],[_Row]])="Yes")</f>
        <v>0</v>
      </c>
    </row>
    <row r="84" customFormat="false" ht="15" hidden="false" customHeight="false" outlineLevel="0" collapsed="false">
      <c r="A84" s="89" t="str">
        <f aca="false">IF(IFERROR(INDEX(tsk_Name,GanttView[[#This Row],[_Row]])="",TRUE()),"",INDEX(tsk_ID,GanttView[[#This Row],[_Row]]))</f>
        <v/>
      </c>
      <c r="B84" s="90" t="str">
        <f aca="false">IF(IFERROR(INDEX(tsk_Name,GanttView[[#This Row],[_Row]])="",TRUE()),"",REPT("    ",INDEX(tsk_Level,GanttView[[#This Row],[_Row]])-1)&amp;INDEX(tsk_Name,GanttView[[#This Row],[_Row]]))</f>
        <v/>
      </c>
      <c r="C84" s="91" t="str">
        <f aca="false">IF(IFERROR(INDEX(tsk_Name,GanttView[[#This Row],[_Row]])="",TRUE()),"",INDEX(tsk_FcStart,GanttView[[#This Row],[_Row]]))</f>
        <v/>
      </c>
      <c r="D84" s="91" t="str">
        <f aca="false">IF(IFERROR(INDEX(tsk_Name,GanttView[[#This Row],[_Row]])="",TRUE()),"",INDEX(tsk_FcFinish,GanttView[[#This Row],[_Row]]))</f>
        <v/>
      </c>
      <c r="E84" s="92" t="str">
        <f aca="false">IF(IFERROR(INDEX(tsk_Name,GanttView[[#This Row],[_Row]])="",TRUE()),"",INDEX(tsk_Progress,GanttView[[#This Row],[_Row]]))</f>
        <v/>
      </c>
      <c r="F84" s="90" t="str">
        <f aca="false">IF(IFERROR(INDEX(tsk_Name,GanttView[[#This Row],[_Row]])="",TRUE()),"",INDEX(tsk_ResourceNames,GanttView[[#This Row],[_Row]])&amp;"")</f>
        <v/>
      </c>
      <c r="G84" s="89" t="str">
        <f aca="false">IF(IFERROR(INDEX(tsk_Name,GanttView[[#This Row],[_Row]])="",TRUE()),"",INDEX(tsk_WBS,GanttView[[#This Row],[_Row]]))</f>
        <v/>
      </c>
      <c r="H84" s="89" t="str">
        <f aca="false">IF(IFERROR(INDEX(tsk_Name,GanttView[[#This Row],[_Row]])="",TRUE()),"",IF(INDEX(tsk_IsSummary,GanttView[[#This Row],[_Row]]),NETWORKDAYS.INTL(INDEX(tsk_FcStart,GanttView[[#This Row],[_Row]]),INDEX(tsk_FcFinish,GanttView[[#This Row],[_Row]]),WorkWeek,Holidays),N(INDEX(tsk_Duration,GanttView[[#This Row],[_Row]]))))</f>
        <v/>
      </c>
      <c r="I84" s="91" t="str">
        <f aca="false">IF(IFERROR(INDEX(tsk_Name,GanttView[[#This Row],[_Row]])="",TRUE()),"",INDEX(tsk_PlanStart,GanttView[[#This Row],[_Row]]))</f>
        <v/>
      </c>
      <c r="J84" s="91" t="str">
        <f aca="false">IF(IFERROR(INDEX(tsk_Name,GanttView[[#This Row],[_Row]])="",TRUE()),"",INDEX(tsk_PlanFinish,GanttView[[#This Row],[_Row]]))</f>
        <v/>
      </c>
      <c r="K84" s="93" t="str">
        <f aca="false">IF(IFERROR(INDEX(tsk_Name,GanttView[[#This Row],[_Row]])="",TRUE()),"",INDEX(tsk_Status,GanttView[[#This Row],[_Row]]))</f>
        <v/>
      </c>
      <c r="L84" s="93" t="str">
        <f aca="false">IF(IFERROR(INDEX(tsk_Name,GanttView[[#This Row],[_Row]])="",TRUE()),"",INDEX(tsk_Show,GanttView[[#This Row],[_Row]])&amp;"")</f>
        <v/>
      </c>
      <c r="M84" s="94" t="n">
        <f aca="false">ROW()-ROW(GanttView[[#Headers],[ID]])</f>
        <v>79</v>
      </c>
      <c r="N84" s="95" t="b">
        <f aca="false">IF(IFERROR(INDEX(tsk_Name,GanttView[[#This Row],[_Row]])="",TRUE()),FALSE(),INDEX(tsk_IsSummary,GanttView[[#This Row],[_Row]]))</f>
        <v>0</v>
      </c>
      <c r="O84" s="95" t="b">
        <f aca="false">IF(IFERROR(INDEX(tsk_Name,GanttView[[#This Row],[_Row]])="",TRUE()),FALSE(),AND(INDEX(tsk_IsLeaf,GanttView[[#This Row],[_Row]])=1,N(INDEX(tsk_Duration,GanttView[[#This Row],[_Row]]))=0))</f>
        <v>0</v>
      </c>
      <c r="P84" s="96" t="n">
        <f aca="false">IF(IFERROR(INDEX(tsk_Name,GanttView[[#This Row],[_Row]])="",TRUE()),0,IF(AND(INDEX(tsk_IsLeaf,GanttView[[#This Row],[_Row]])=1,NOT(GanttView[[#This Row],[_IsMilestone]]),N(GanttView[[#This Row],[%]])&gt;0),GanttView[[#This Row],[Start]],0))</f>
        <v>0</v>
      </c>
      <c r="Q84" s="96" t="n">
        <f aca="false">IF(GanttView[[#This Row],[_DoneFrom]]=0,0,IF(GanttView[[#This Row],[%]]&gt;=1,GanttView[[#This Row],[Finish]],MAX(GanttView[[#This Row],[_DoneFrom]],GanttView[[#This Row],[Start]]+ROUND((GanttView[[#This Row],[Finish]]-GanttView[[#This Row],[Start]]+1)*GanttView[[#This Row],[%]],0)-1)))</f>
        <v>0</v>
      </c>
      <c r="R84" s="96" t="n">
        <f aca="false">IF(IFERROR(INDEX(tsk_Name,GanttView[[#This Row],[_Row]])="",TRUE()),0,IF(OR(INDEX(tsk_IsLeaf,GanttView[[#This Row],[_Row]])&lt;&gt;1,GanttView[[#This Row],[_IsMilestone]],N(GanttView[[#This Row],[%]])&gt;=1),0,IF(GanttView[[#This Row],[_DoneTo]]&gt;0,GanttView[[#This Row],[_DoneTo]]+1,GanttView[[#This Row],[Start]])))</f>
        <v>0</v>
      </c>
      <c r="S84" s="96" t="n">
        <f aca="false">IF(GanttView[[#This Row],[_RemFrom]]=0,0,GanttView[[#This Row],[Finish]])</f>
        <v>0</v>
      </c>
      <c r="T84" s="95" t="b">
        <f aca="false">IF(IFERROR(INDEX(tsk_Name,GanttView[[#This Row],[_Row]])="",TRUE()),FALSE(),N(INDEX(tsk_Variance,GanttView[[#This Row],[_Row]]))&gt;0)</f>
        <v>0</v>
      </c>
      <c r="U84" s="96" t="n">
        <f aca="false">IF(IFERROR(INDEX(tsk_Name,GanttView[[#This Row],[_Row]])="",TRUE()),0,N(INDEX(tsk_Deadline,GanttView[[#This Row],[_Row]])))</f>
        <v>0</v>
      </c>
      <c r="V84" s="95" t="b">
        <f aca="false">IF(IFERROR(INDEX(tsk_Name,GanttView[[#This Row],[_Row]])="",TRUE()),FALSE(),INDEX(tsk_Critical,GanttView[[#This Row],[_Row]])="Yes")</f>
        <v>0</v>
      </c>
    </row>
    <row r="85" customFormat="false" ht="15" hidden="false" customHeight="false" outlineLevel="0" collapsed="false">
      <c r="A85" s="89" t="str">
        <f aca="false">IF(IFERROR(INDEX(tsk_Name,GanttView[[#This Row],[_Row]])="",TRUE()),"",INDEX(tsk_ID,GanttView[[#This Row],[_Row]]))</f>
        <v/>
      </c>
      <c r="B85" s="90" t="str">
        <f aca="false">IF(IFERROR(INDEX(tsk_Name,GanttView[[#This Row],[_Row]])="",TRUE()),"",REPT("    ",INDEX(tsk_Level,GanttView[[#This Row],[_Row]])-1)&amp;INDEX(tsk_Name,GanttView[[#This Row],[_Row]]))</f>
        <v/>
      </c>
      <c r="C85" s="91" t="str">
        <f aca="false">IF(IFERROR(INDEX(tsk_Name,GanttView[[#This Row],[_Row]])="",TRUE()),"",INDEX(tsk_FcStart,GanttView[[#This Row],[_Row]]))</f>
        <v/>
      </c>
      <c r="D85" s="91" t="str">
        <f aca="false">IF(IFERROR(INDEX(tsk_Name,GanttView[[#This Row],[_Row]])="",TRUE()),"",INDEX(tsk_FcFinish,GanttView[[#This Row],[_Row]]))</f>
        <v/>
      </c>
      <c r="E85" s="92" t="str">
        <f aca="false">IF(IFERROR(INDEX(tsk_Name,GanttView[[#This Row],[_Row]])="",TRUE()),"",INDEX(tsk_Progress,GanttView[[#This Row],[_Row]]))</f>
        <v/>
      </c>
      <c r="F85" s="90" t="str">
        <f aca="false">IF(IFERROR(INDEX(tsk_Name,GanttView[[#This Row],[_Row]])="",TRUE()),"",INDEX(tsk_ResourceNames,GanttView[[#This Row],[_Row]])&amp;"")</f>
        <v/>
      </c>
      <c r="G85" s="89" t="str">
        <f aca="false">IF(IFERROR(INDEX(tsk_Name,GanttView[[#This Row],[_Row]])="",TRUE()),"",INDEX(tsk_WBS,GanttView[[#This Row],[_Row]]))</f>
        <v/>
      </c>
      <c r="H85" s="89" t="str">
        <f aca="false">IF(IFERROR(INDEX(tsk_Name,GanttView[[#This Row],[_Row]])="",TRUE()),"",IF(INDEX(tsk_IsSummary,GanttView[[#This Row],[_Row]]),NETWORKDAYS.INTL(INDEX(tsk_FcStart,GanttView[[#This Row],[_Row]]),INDEX(tsk_FcFinish,GanttView[[#This Row],[_Row]]),WorkWeek,Holidays),N(INDEX(tsk_Duration,GanttView[[#This Row],[_Row]]))))</f>
        <v/>
      </c>
      <c r="I85" s="91" t="str">
        <f aca="false">IF(IFERROR(INDEX(tsk_Name,GanttView[[#This Row],[_Row]])="",TRUE()),"",INDEX(tsk_PlanStart,GanttView[[#This Row],[_Row]]))</f>
        <v/>
      </c>
      <c r="J85" s="91" t="str">
        <f aca="false">IF(IFERROR(INDEX(tsk_Name,GanttView[[#This Row],[_Row]])="",TRUE()),"",INDEX(tsk_PlanFinish,GanttView[[#This Row],[_Row]]))</f>
        <v/>
      </c>
      <c r="K85" s="93" t="str">
        <f aca="false">IF(IFERROR(INDEX(tsk_Name,GanttView[[#This Row],[_Row]])="",TRUE()),"",INDEX(tsk_Status,GanttView[[#This Row],[_Row]]))</f>
        <v/>
      </c>
      <c r="L85" s="93" t="str">
        <f aca="false">IF(IFERROR(INDEX(tsk_Name,GanttView[[#This Row],[_Row]])="",TRUE()),"",INDEX(tsk_Show,GanttView[[#This Row],[_Row]])&amp;"")</f>
        <v/>
      </c>
      <c r="M85" s="94" t="n">
        <f aca="false">ROW()-ROW(GanttView[[#Headers],[ID]])</f>
        <v>80</v>
      </c>
      <c r="N85" s="95" t="b">
        <f aca="false">IF(IFERROR(INDEX(tsk_Name,GanttView[[#This Row],[_Row]])="",TRUE()),FALSE(),INDEX(tsk_IsSummary,GanttView[[#This Row],[_Row]]))</f>
        <v>0</v>
      </c>
      <c r="O85" s="95" t="b">
        <f aca="false">IF(IFERROR(INDEX(tsk_Name,GanttView[[#This Row],[_Row]])="",TRUE()),FALSE(),AND(INDEX(tsk_IsLeaf,GanttView[[#This Row],[_Row]])=1,N(INDEX(tsk_Duration,GanttView[[#This Row],[_Row]]))=0))</f>
        <v>0</v>
      </c>
      <c r="P85" s="96" t="n">
        <f aca="false">IF(IFERROR(INDEX(tsk_Name,GanttView[[#This Row],[_Row]])="",TRUE()),0,IF(AND(INDEX(tsk_IsLeaf,GanttView[[#This Row],[_Row]])=1,NOT(GanttView[[#This Row],[_IsMilestone]]),N(GanttView[[#This Row],[%]])&gt;0),GanttView[[#This Row],[Start]],0))</f>
        <v>0</v>
      </c>
      <c r="Q85" s="96" t="n">
        <f aca="false">IF(GanttView[[#This Row],[_DoneFrom]]=0,0,IF(GanttView[[#This Row],[%]]&gt;=1,GanttView[[#This Row],[Finish]],MAX(GanttView[[#This Row],[_DoneFrom]],GanttView[[#This Row],[Start]]+ROUND((GanttView[[#This Row],[Finish]]-GanttView[[#This Row],[Start]]+1)*GanttView[[#This Row],[%]],0)-1)))</f>
        <v>0</v>
      </c>
      <c r="R85" s="96" t="n">
        <f aca="false">IF(IFERROR(INDEX(tsk_Name,GanttView[[#This Row],[_Row]])="",TRUE()),0,IF(OR(INDEX(tsk_IsLeaf,GanttView[[#This Row],[_Row]])&lt;&gt;1,GanttView[[#This Row],[_IsMilestone]],N(GanttView[[#This Row],[%]])&gt;=1),0,IF(GanttView[[#This Row],[_DoneTo]]&gt;0,GanttView[[#This Row],[_DoneTo]]+1,GanttView[[#This Row],[Start]])))</f>
        <v>0</v>
      </c>
      <c r="S85" s="96" t="n">
        <f aca="false">IF(GanttView[[#This Row],[_RemFrom]]=0,0,GanttView[[#This Row],[Finish]])</f>
        <v>0</v>
      </c>
      <c r="T85" s="95" t="b">
        <f aca="false">IF(IFERROR(INDEX(tsk_Name,GanttView[[#This Row],[_Row]])="",TRUE()),FALSE(),N(INDEX(tsk_Variance,GanttView[[#This Row],[_Row]]))&gt;0)</f>
        <v>0</v>
      </c>
      <c r="U85" s="96" t="n">
        <f aca="false">IF(IFERROR(INDEX(tsk_Name,GanttView[[#This Row],[_Row]])="",TRUE()),0,N(INDEX(tsk_Deadline,GanttView[[#This Row],[_Row]])))</f>
        <v>0</v>
      </c>
      <c r="V85" s="95" t="b">
        <f aca="false">IF(IFERROR(INDEX(tsk_Name,GanttView[[#This Row],[_Row]])="",TRUE()),FALSE(),INDEX(tsk_Critical,GanttView[[#This Row],[_Row]])="Yes")</f>
        <v>0</v>
      </c>
    </row>
    <row r="86" customFormat="false" ht="15" hidden="false" customHeight="false" outlineLevel="0" collapsed="false">
      <c r="A86" s="89" t="str">
        <f aca="false">IF(IFERROR(INDEX(tsk_Name,GanttView[[#This Row],[_Row]])="",TRUE()),"",INDEX(tsk_ID,GanttView[[#This Row],[_Row]]))</f>
        <v/>
      </c>
      <c r="B86" s="90" t="str">
        <f aca="false">IF(IFERROR(INDEX(tsk_Name,GanttView[[#This Row],[_Row]])="",TRUE()),"",REPT("    ",INDEX(tsk_Level,GanttView[[#This Row],[_Row]])-1)&amp;INDEX(tsk_Name,GanttView[[#This Row],[_Row]]))</f>
        <v/>
      </c>
      <c r="C86" s="91" t="str">
        <f aca="false">IF(IFERROR(INDEX(tsk_Name,GanttView[[#This Row],[_Row]])="",TRUE()),"",INDEX(tsk_FcStart,GanttView[[#This Row],[_Row]]))</f>
        <v/>
      </c>
      <c r="D86" s="91" t="str">
        <f aca="false">IF(IFERROR(INDEX(tsk_Name,GanttView[[#This Row],[_Row]])="",TRUE()),"",INDEX(tsk_FcFinish,GanttView[[#This Row],[_Row]]))</f>
        <v/>
      </c>
      <c r="E86" s="92" t="str">
        <f aca="false">IF(IFERROR(INDEX(tsk_Name,GanttView[[#This Row],[_Row]])="",TRUE()),"",INDEX(tsk_Progress,GanttView[[#This Row],[_Row]]))</f>
        <v/>
      </c>
      <c r="F86" s="90" t="str">
        <f aca="false">IF(IFERROR(INDEX(tsk_Name,GanttView[[#This Row],[_Row]])="",TRUE()),"",INDEX(tsk_ResourceNames,GanttView[[#This Row],[_Row]])&amp;"")</f>
        <v/>
      </c>
      <c r="G86" s="89" t="str">
        <f aca="false">IF(IFERROR(INDEX(tsk_Name,GanttView[[#This Row],[_Row]])="",TRUE()),"",INDEX(tsk_WBS,GanttView[[#This Row],[_Row]]))</f>
        <v/>
      </c>
      <c r="H86" s="89" t="str">
        <f aca="false">IF(IFERROR(INDEX(tsk_Name,GanttView[[#This Row],[_Row]])="",TRUE()),"",IF(INDEX(tsk_IsSummary,GanttView[[#This Row],[_Row]]),NETWORKDAYS.INTL(INDEX(tsk_FcStart,GanttView[[#This Row],[_Row]]),INDEX(tsk_FcFinish,GanttView[[#This Row],[_Row]]),WorkWeek,Holidays),N(INDEX(tsk_Duration,GanttView[[#This Row],[_Row]]))))</f>
        <v/>
      </c>
      <c r="I86" s="91" t="str">
        <f aca="false">IF(IFERROR(INDEX(tsk_Name,GanttView[[#This Row],[_Row]])="",TRUE()),"",INDEX(tsk_PlanStart,GanttView[[#This Row],[_Row]]))</f>
        <v/>
      </c>
      <c r="J86" s="91" t="str">
        <f aca="false">IF(IFERROR(INDEX(tsk_Name,GanttView[[#This Row],[_Row]])="",TRUE()),"",INDEX(tsk_PlanFinish,GanttView[[#This Row],[_Row]]))</f>
        <v/>
      </c>
      <c r="K86" s="93" t="str">
        <f aca="false">IF(IFERROR(INDEX(tsk_Name,GanttView[[#This Row],[_Row]])="",TRUE()),"",INDEX(tsk_Status,GanttView[[#This Row],[_Row]]))</f>
        <v/>
      </c>
      <c r="L86" s="93" t="str">
        <f aca="false">IF(IFERROR(INDEX(tsk_Name,GanttView[[#This Row],[_Row]])="",TRUE()),"",INDEX(tsk_Show,GanttView[[#This Row],[_Row]])&amp;"")</f>
        <v/>
      </c>
      <c r="M86" s="94" t="n">
        <f aca="false">ROW()-ROW(GanttView[[#Headers],[ID]])</f>
        <v>81</v>
      </c>
      <c r="N86" s="95" t="b">
        <f aca="false">IF(IFERROR(INDEX(tsk_Name,GanttView[[#This Row],[_Row]])="",TRUE()),FALSE(),INDEX(tsk_IsSummary,GanttView[[#This Row],[_Row]]))</f>
        <v>0</v>
      </c>
      <c r="O86" s="95" t="b">
        <f aca="false">IF(IFERROR(INDEX(tsk_Name,GanttView[[#This Row],[_Row]])="",TRUE()),FALSE(),AND(INDEX(tsk_IsLeaf,GanttView[[#This Row],[_Row]])=1,N(INDEX(tsk_Duration,GanttView[[#This Row],[_Row]]))=0))</f>
        <v>0</v>
      </c>
      <c r="P86" s="96" t="n">
        <f aca="false">IF(IFERROR(INDEX(tsk_Name,GanttView[[#This Row],[_Row]])="",TRUE()),0,IF(AND(INDEX(tsk_IsLeaf,GanttView[[#This Row],[_Row]])=1,NOT(GanttView[[#This Row],[_IsMilestone]]),N(GanttView[[#This Row],[%]])&gt;0),GanttView[[#This Row],[Start]],0))</f>
        <v>0</v>
      </c>
      <c r="Q86" s="96" t="n">
        <f aca="false">IF(GanttView[[#This Row],[_DoneFrom]]=0,0,IF(GanttView[[#This Row],[%]]&gt;=1,GanttView[[#This Row],[Finish]],MAX(GanttView[[#This Row],[_DoneFrom]],GanttView[[#This Row],[Start]]+ROUND((GanttView[[#This Row],[Finish]]-GanttView[[#This Row],[Start]]+1)*GanttView[[#This Row],[%]],0)-1)))</f>
        <v>0</v>
      </c>
      <c r="R86" s="96" t="n">
        <f aca="false">IF(IFERROR(INDEX(tsk_Name,GanttView[[#This Row],[_Row]])="",TRUE()),0,IF(OR(INDEX(tsk_IsLeaf,GanttView[[#This Row],[_Row]])&lt;&gt;1,GanttView[[#This Row],[_IsMilestone]],N(GanttView[[#This Row],[%]])&gt;=1),0,IF(GanttView[[#This Row],[_DoneTo]]&gt;0,GanttView[[#This Row],[_DoneTo]]+1,GanttView[[#This Row],[Start]])))</f>
        <v>0</v>
      </c>
      <c r="S86" s="96" t="n">
        <f aca="false">IF(GanttView[[#This Row],[_RemFrom]]=0,0,GanttView[[#This Row],[Finish]])</f>
        <v>0</v>
      </c>
      <c r="T86" s="95" t="b">
        <f aca="false">IF(IFERROR(INDEX(tsk_Name,GanttView[[#This Row],[_Row]])="",TRUE()),FALSE(),N(INDEX(tsk_Variance,GanttView[[#This Row],[_Row]]))&gt;0)</f>
        <v>0</v>
      </c>
      <c r="U86" s="96" t="n">
        <f aca="false">IF(IFERROR(INDEX(tsk_Name,GanttView[[#This Row],[_Row]])="",TRUE()),0,N(INDEX(tsk_Deadline,GanttView[[#This Row],[_Row]])))</f>
        <v>0</v>
      </c>
      <c r="V86" s="95" t="b">
        <f aca="false">IF(IFERROR(INDEX(tsk_Name,GanttView[[#This Row],[_Row]])="",TRUE()),FALSE(),INDEX(tsk_Critical,GanttView[[#This Row],[_Row]])="Yes")</f>
        <v>0</v>
      </c>
    </row>
    <row r="87" customFormat="false" ht="15" hidden="false" customHeight="false" outlineLevel="0" collapsed="false">
      <c r="A87" s="89" t="str">
        <f aca="false">IF(IFERROR(INDEX(tsk_Name,GanttView[[#This Row],[_Row]])="",TRUE()),"",INDEX(tsk_ID,GanttView[[#This Row],[_Row]]))</f>
        <v/>
      </c>
      <c r="B87" s="90" t="str">
        <f aca="false">IF(IFERROR(INDEX(tsk_Name,GanttView[[#This Row],[_Row]])="",TRUE()),"",REPT("    ",INDEX(tsk_Level,GanttView[[#This Row],[_Row]])-1)&amp;INDEX(tsk_Name,GanttView[[#This Row],[_Row]]))</f>
        <v/>
      </c>
      <c r="C87" s="91" t="str">
        <f aca="false">IF(IFERROR(INDEX(tsk_Name,GanttView[[#This Row],[_Row]])="",TRUE()),"",INDEX(tsk_FcStart,GanttView[[#This Row],[_Row]]))</f>
        <v/>
      </c>
      <c r="D87" s="91" t="str">
        <f aca="false">IF(IFERROR(INDEX(tsk_Name,GanttView[[#This Row],[_Row]])="",TRUE()),"",INDEX(tsk_FcFinish,GanttView[[#This Row],[_Row]]))</f>
        <v/>
      </c>
      <c r="E87" s="92" t="str">
        <f aca="false">IF(IFERROR(INDEX(tsk_Name,GanttView[[#This Row],[_Row]])="",TRUE()),"",INDEX(tsk_Progress,GanttView[[#This Row],[_Row]]))</f>
        <v/>
      </c>
      <c r="F87" s="90" t="str">
        <f aca="false">IF(IFERROR(INDEX(tsk_Name,GanttView[[#This Row],[_Row]])="",TRUE()),"",INDEX(tsk_ResourceNames,GanttView[[#This Row],[_Row]])&amp;"")</f>
        <v/>
      </c>
      <c r="G87" s="89" t="str">
        <f aca="false">IF(IFERROR(INDEX(tsk_Name,GanttView[[#This Row],[_Row]])="",TRUE()),"",INDEX(tsk_WBS,GanttView[[#This Row],[_Row]]))</f>
        <v/>
      </c>
      <c r="H87" s="89" t="str">
        <f aca="false">IF(IFERROR(INDEX(tsk_Name,GanttView[[#This Row],[_Row]])="",TRUE()),"",IF(INDEX(tsk_IsSummary,GanttView[[#This Row],[_Row]]),NETWORKDAYS.INTL(INDEX(tsk_FcStart,GanttView[[#This Row],[_Row]]),INDEX(tsk_FcFinish,GanttView[[#This Row],[_Row]]),WorkWeek,Holidays),N(INDEX(tsk_Duration,GanttView[[#This Row],[_Row]]))))</f>
        <v/>
      </c>
      <c r="I87" s="91" t="str">
        <f aca="false">IF(IFERROR(INDEX(tsk_Name,GanttView[[#This Row],[_Row]])="",TRUE()),"",INDEX(tsk_PlanStart,GanttView[[#This Row],[_Row]]))</f>
        <v/>
      </c>
      <c r="J87" s="91" t="str">
        <f aca="false">IF(IFERROR(INDEX(tsk_Name,GanttView[[#This Row],[_Row]])="",TRUE()),"",INDEX(tsk_PlanFinish,GanttView[[#This Row],[_Row]]))</f>
        <v/>
      </c>
      <c r="K87" s="93" t="str">
        <f aca="false">IF(IFERROR(INDEX(tsk_Name,GanttView[[#This Row],[_Row]])="",TRUE()),"",INDEX(tsk_Status,GanttView[[#This Row],[_Row]]))</f>
        <v/>
      </c>
      <c r="L87" s="93" t="str">
        <f aca="false">IF(IFERROR(INDEX(tsk_Name,GanttView[[#This Row],[_Row]])="",TRUE()),"",INDEX(tsk_Show,GanttView[[#This Row],[_Row]])&amp;"")</f>
        <v/>
      </c>
      <c r="M87" s="94" t="n">
        <f aca="false">ROW()-ROW(GanttView[[#Headers],[ID]])</f>
        <v>82</v>
      </c>
      <c r="N87" s="95" t="b">
        <f aca="false">IF(IFERROR(INDEX(tsk_Name,GanttView[[#This Row],[_Row]])="",TRUE()),FALSE(),INDEX(tsk_IsSummary,GanttView[[#This Row],[_Row]]))</f>
        <v>0</v>
      </c>
      <c r="O87" s="95" t="b">
        <f aca="false">IF(IFERROR(INDEX(tsk_Name,GanttView[[#This Row],[_Row]])="",TRUE()),FALSE(),AND(INDEX(tsk_IsLeaf,GanttView[[#This Row],[_Row]])=1,N(INDEX(tsk_Duration,GanttView[[#This Row],[_Row]]))=0))</f>
        <v>0</v>
      </c>
      <c r="P87" s="96" t="n">
        <f aca="false">IF(IFERROR(INDEX(tsk_Name,GanttView[[#This Row],[_Row]])="",TRUE()),0,IF(AND(INDEX(tsk_IsLeaf,GanttView[[#This Row],[_Row]])=1,NOT(GanttView[[#This Row],[_IsMilestone]]),N(GanttView[[#This Row],[%]])&gt;0),GanttView[[#This Row],[Start]],0))</f>
        <v>0</v>
      </c>
      <c r="Q87" s="96" t="n">
        <f aca="false">IF(GanttView[[#This Row],[_DoneFrom]]=0,0,IF(GanttView[[#This Row],[%]]&gt;=1,GanttView[[#This Row],[Finish]],MAX(GanttView[[#This Row],[_DoneFrom]],GanttView[[#This Row],[Start]]+ROUND((GanttView[[#This Row],[Finish]]-GanttView[[#This Row],[Start]]+1)*GanttView[[#This Row],[%]],0)-1)))</f>
        <v>0</v>
      </c>
      <c r="R87" s="96" t="n">
        <f aca="false">IF(IFERROR(INDEX(tsk_Name,GanttView[[#This Row],[_Row]])="",TRUE()),0,IF(OR(INDEX(tsk_IsLeaf,GanttView[[#This Row],[_Row]])&lt;&gt;1,GanttView[[#This Row],[_IsMilestone]],N(GanttView[[#This Row],[%]])&gt;=1),0,IF(GanttView[[#This Row],[_DoneTo]]&gt;0,GanttView[[#This Row],[_DoneTo]]+1,GanttView[[#This Row],[Start]])))</f>
        <v>0</v>
      </c>
      <c r="S87" s="96" t="n">
        <f aca="false">IF(GanttView[[#This Row],[_RemFrom]]=0,0,GanttView[[#This Row],[Finish]])</f>
        <v>0</v>
      </c>
      <c r="T87" s="95" t="b">
        <f aca="false">IF(IFERROR(INDEX(tsk_Name,GanttView[[#This Row],[_Row]])="",TRUE()),FALSE(),N(INDEX(tsk_Variance,GanttView[[#This Row],[_Row]]))&gt;0)</f>
        <v>0</v>
      </c>
      <c r="U87" s="96" t="n">
        <f aca="false">IF(IFERROR(INDEX(tsk_Name,GanttView[[#This Row],[_Row]])="",TRUE()),0,N(INDEX(tsk_Deadline,GanttView[[#This Row],[_Row]])))</f>
        <v>0</v>
      </c>
      <c r="V87" s="95" t="b">
        <f aca="false">IF(IFERROR(INDEX(tsk_Name,GanttView[[#This Row],[_Row]])="",TRUE()),FALSE(),INDEX(tsk_Critical,GanttView[[#This Row],[_Row]])="Yes")</f>
        <v>0</v>
      </c>
    </row>
    <row r="88" customFormat="false" ht="15" hidden="false" customHeight="false" outlineLevel="0" collapsed="false">
      <c r="A88" s="89" t="str">
        <f aca="false">IF(IFERROR(INDEX(tsk_Name,GanttView[[#This Row],[_Row]])="",TRUE()),"",INDEX(tsk_ID,GanttView[[#This Row],[_Row]]))</f>
        <v/>
      </c>
      <c r="B88" s="90" t="str">
        <f aca="false">IF(IFERROR(INDEX(tsk_Name,GanttView[[#This Row],[_Row]])="",TRUE()),"",REPT("    ",INDEX(tsk_Level,GanttView[[#This Row],[_Row]])-1)&amp;INDEX(tsk_Name,GanttView[[#This Row],[_Row]]))</f>
        <v/>
      </c>
      <c r="C88" s="91" t="str">
        <f aca="false">IF(IFERROR(INDEX(tsk_Name,GanttView[[#This Row],[_Row]])="",TRUE()),"",INDEX(tsk_FcStart,GanttView[[#This Row],[_Row]]))</f>
        <v/>
      </c>
      <c r="D88" s="91" t="str">
        <f aca="false">IF(IFERROR(INDEX(tsk_Name,GanttView[[#This Row],[_Row]])="",TRUE()),"",INDEX(tsk_FcFinish,GanttView[[#This Row],[_Row]]))</f>
        <v/>
      </c>
      <c r="E88" s="92" t="str">
        <f aca="false">IF(IFERROR(INDEX(tsk_Name,GanttView[[#This Row],[_Row]])="",TRUE()),"",INDEX(tsk_Progress,GanttView[[#This Row],[_Row]]))</f>
        <v/>
      </c>
      <c r="F88" s="90" t="str">
        <f aca="false">IF(IFERROR(INDEX(tsk_Name,GanttView[[#This Row],[_Row]])="",TRUE()),"",INDEX(tsk_ResourceNames,GanttView[[#This Row],[_Row]])&amp;"")</f>
        <v/>
      </c>
      <c r="G88" s="89" t="str">
        <f aca="false">IF(IFERROR(INDEX(tsk_Name,GanttView[[#This Row],[_Row]])="",TRUE()),"",INDEX(tsk_WBS,GanttView[[#This Row],[_Row]]))</f>
        <v/>
      </c>
      <c r="H88" s="89" t="str">
        <f aca="false">IF(IFERROR(INDEX(tsk_Name,GanttView[[#This Row],[_Row]])="",TRUE()),"",IF(INDEX(tsk_IsSummary,GanttView[[#This Row],[_Row]]),NETWORKDAYS.INTL(INDEX(tsk_FcStart,GanttView[[#This Row],[_Row]]),INDEX(tsk_FcFinish,GanttView[[#This Row],[_Row]]),WorkWeek,Holidays),N(INDEX(tsk_Duration,GanttView[[#This Row],[_Row]]))))</f>
        <v/>
      </c>
      <c r="I88" s="91" t="str">
        <f aca="false">IF(IFERROR(INDEX(tsk_Name,GanttView[[#This Row],[_Row]])="",TRUE()),"",INDEX(tsk_PlanStart,GanttView[[#This Row],[_Row]]))</f>
        <v/>
      </c>
      <c r="J88" s="91" t="str">
        <f aca="false">IF(IFERROR(INDEX(tsk_Name,GanttView[[#This Row],[_Row]])="",TRUE()),"",INDEX(tsk_PlanFinish,GanttView[[#This Row],[_Row]]))</f>
        <v/>
      </c>
      <c r="K88" s="93" t="str">
        <f aca="false">IF(IFERROR(INDEX(tsk_Name,GanttView[[#This Row],[_Row]])="",TRUE()),"",INDEX(tsk_Status,GanttView[[#This Row],[_Row]]))</f>
        <v/>
      </c>
      <c r="L88" s="93" t="str">
        <f aca="false">IF(IFERROR(INDEX(tsk_Name,GanttView[[#This Row],[_Row]])="",TRUE()),"",INDEX(tsk_Show,GanttView[[#This Row],[_Row]])&amp;"")</f>
        <v/>
      </c>
      <c r="M88" s="94" t="n">
        <f aca="false">ROW()-ROW(GanttView[[#Headers],[ID]])</f>
        <v>83</v>
      </c>
      <c r="N88" s="95" t="b">
        <f aca="false">IF(IFERROR(INDEX(tsk_Name,GanttView[[#This Row],[_Row]])="",TRUE()),FALSE(),INDEX(tsk_IsSummary,GanttView[[#This Row],[_Row]]))</f>
        <v>0</v>
      </c>
      <c r="O88" s="95" t="b">
        <f aca="false">IF(IFERROR(INDEX(tsk_Name,GanttView[[#This Row],[_Row]])="",TRUE()),FALSE(),AND(INDEX(tsk_IsLeaf,GanttView[[#This Row],[_Row]])=1,N(INDEX(tsk_Duration,GanttView[[#This Row],[_Row]]))=0))</f>
        <v>0</v>
      </c>
      <c r="P88" s="96" t="n">
        <f aca="false">IF(IFERROR(INDEX(tsk_Name,GanttView[[#This Row],[_Row]])="",TRUE()),0,IF(AND(INDEX(tsk_IsLeaf,GanttView[[#This Row],[_Row]])=1,NOT(GanttView[[#This Row],[_IsMilestone]]),N(GanttView[[#This Row],[%]])&gt;0),GanttView[[#This Row],[Start]],0))</f>
        <v>0</v>
      </c>
      <c r="Q88" s="96" t="n">
        <f aca="false">IF(GanttView[[#This Row],[_DoneFrom]]=0,0,IF(GanttView[[#This Row],[%]]&gt;=1,GanttView[[#This Row],[Finish]],MAX(GanttView[[#This Row],[_DoneFrom]],GanttView[[#This Row],[Start]]+ROUND((GanttView[[#This Row],[Finish]]-GanttView[[#This Row],[Start]]+1)*GanttView[[#This Row],[%]],0)-1)))</f>
        <v>0</v>
      </c>
      <c r="R88" s="96" t="n">
        <f aca="false">IF(IFERROR(INDEX(tsk_Name,GanttView[[#This Row],[_Row]])="",TRUE()),0,IF(OR(INDEX(tsk_IsLeaf,GanttView[[#This Row],[_Row]])&lt;&gt;1,GanttView[[#This Row],[_IsMilestone]],N(GanttView[[#This Row],[%]])&gt;=1),0,IF(GanttView[[#This Row],[_DoneTo]]&gt;0,GanttView[[#This Row],[_DoneTo]]+1,GanttView[[#This Row],[Start]])))</f>
        <v>0</v>
      </c>
      <c r="S88" s="96" t="n">
        <f aca="false">IF(GanttView[[#This Row],[_RemFrom]]=0,0,GanttView[[#This Row],[Finish]])</f>
        <v>0</v>
      </c>
      <c r="T88" s="95" t="b">
        <f aca="false">IF(IFERROR(INDEX(tsk_Name,GanttView[[#This Row],[_Row]])="",TRUE()),FALSE(),N(INDEX(tsk_Variance,GanttView[[#This Row],[_Row]]))&gt;0)</f>
        <v>0</v>
      </c>
      <c r="U88" s="96" t="n">
        <f aca="false">IF(IFERROR(INDEX(tsk_Name,GanttView[[#This Row],[_Row]])="",TRUE()),0,N(INDEX(tsk_Deadline,GanttView[[#This Row],[_Row]])))</f>
        <v>0</v>
      </c>
      <c r="V88" s="95" t="b">
        <f aca="false">IF(IFERROR(INDEX(tsk_Name,GanttView[[#This Row],[_Row]])="",TRUE()),FALSE(),INDEX(tsk_Critical,GanttView[[#This Row],[_Row]])="Yes")</f>
        <v>0</v>
      </c>
    </row>
    <row r="89" customFormat="false" ht="15" hidden="false" customHeight="false" outlineLevel="0" collapsed="false">
      <c r="A89" s="89" t="str">
        <f aca="false">IF(IFERROR(INDEX(tsk_Name,GanttView[[#This Row],[_Row]])="",TRUE()),"",INDEX(tsk_ID,GanttView[[#This Row],[_Row]]))</f>
        <v/>
      </c>
      <c r="B89" s="90" t="str">
        <f aca="false">IF(IFERROR(INDEX(tsk_Name,GanttView[[#This Row],[_Row]])="",TRUE()),"",REPT("    ",INDEX(tsk_Level,GanttView[[#This Row],[_Row]])-1)&amp;INDEX(tsk_Name,GanttView[[#This Row],[_Row]]))</f>
        <v/>
      </c>
      <c r="C89" s="91" t="str">
        <f aca="false">IF(IFERROR(INDEX(tsk_Name,GanttView[[#This Row],[_Row]])="",TRUE()),"",INDEX(tsk_FcStart,GanttView[[#This Row],[_Row]]))</f>
        <v/>
      </c>
      <c r="D89" s="91" t="str">
        <f aca="false">IF(IFERROR(INDEX(tsk_Name,GanttView[[#This Row],[_Row]])="",TRUE()),"",INDEX(tsk_FcFinish,GanttView[[#This Row],[_Row]]))</f>
        <v/>
      </c>
      <c r="E89" s="92" t="str">
        <f aca="false">IF(IFERROR(INDEX(tsk_Name,GanttView[[#This Row],[_Row]])="",TRUE()),"",INDEX(tsk_Progress,GanttView[[#This Row],[_Row]]))</f>
        <v/>
      </c>
      <c r="F89" s="90" t="str">
        <f aca="false">IF(IFERROR(INDEX(tsk_Name,GanttView[[#This Row],[_Row]])="",TRUE()),"",INDEX(tsk_ResourceNames,GanttView[[#This Row],[_Row]])&amp;"")</f>
        <v/>
      </c>
      <c r="G89" s="89" t="str">
        <f aca="false">IF(IFERROR(INDEX(tsk_Name,GanttView[[#This Row],[_Row]])="",TRUE()),"",INDEX(tsk_WBS,GanttView[[#This Row],[_Row]]))</f>
        <v/>
      </c>
      <c r="H89" s="89" t="str">
        <f aca="false">IF(IFERROR(INDEX(tsk_Name,GanttView[[#This Row],[_Row]])="",TRUE()),"",IF(INDEX(tsk_IsSummary,GanttView[[#This Row],[_Row]]),NETWORKDAYS.INTL(INDEX(tsk_FcStart,GanttView[[#This Row],[_Row]]),INDEX(tsk_FcFinish,GanttView[[#This Row],[_Row]]),WorkWeek,Holidays),N(INDEX(tsk_Duration,GanttView[[#This Row],[_Row]]))))</f>
        <v/>
      </c>
      <c r="I89" s="91" t="str">
        <f aca="false">IF(IFERROR(INDEX(tsk_Name,GanttView[[#This Row],[_Row]])="",TRUE()),"",INDEX(tsk_PlanStart,GanttView[[#This Row],[_Row]]))</f>
        <v/>
      </c>
      <c r="J89" s="91" t="str">
        <f aca="false">IF(IFERROR(INDEX(tsk_Name,GanttView[[#This Row],[_Row]])="",TRUE()),"",INDEX(tsk_PlanFinish,GanttView[[#This Row],[_Row]]))</f>
        <v/>
      </c>
      <c r="K89" s="93" t="str">
        <f aca="false">IF(IFERROR(INDEX(tsk_Name,GanttView[[#This Row],[_Row]])="",TRUE()),"",INDEX(tsk_Status,GanttView[[#This Row],[_Row]]))</f>
        <v/>
      </c>
      <c r="L89" s="93" t="str">
        <f aca="false">IF(IFERROR(INDEX(tsk_Name,GanttView[[#This Row],[_Row]])="",TRUE()),"",INDEX(tsk_Show,GanttView[[#This Row],[_Row]])&amp;"")</f>
        <v/>
      </c>
      <c r="M89" s="94" t="n">
        <f aca="false">ROW()-ROW(GanttView[[#Headers],[ID]])</f>
        <v>84</v>
      </c>
      <c r="N89" s="95" t="b">
        <f aca="false">IF(IFERROR(INDEX(tsk_Name,GanttView[[#This Row],[_Row]])="",TRUE()),FALSE(),INDEX(tsk_IsSummary,GanttView[[#This Row],[_Row]]))</f>
        <v>0</v>
      </c>
      <c r="O89" s="95" t="b">
        <f aca="false">IF(IFERROR(INDEX(tsk_Name,GanttView[[#This Row],[_Row]])="",TRUE()),FALSE(),AND(INDEX(tsk_IsLeaf,GanttView[[#This Row],[_Row]])=1,N(INDEX(tsk_Duration,GanttView[[#This Row],[_Row]]))=0))</f>
        <v>0</v>
      </c>
      <c r="P89" s="96" t="n">
        <f aca="false">IF(IFERROR(INDEX(tsk_Name,GanttView[[#This Row],[_Row]])="",TRUE()),0,IF(AND(INDEX(tsk_IsLeaf,GanttView[[#This Row],[_Row]])=1,NOT(GanttView[[#This Row],[_IsMilestone]]),N(GanttView[[#This Row],[%]])&gt;0),GanttView[[#This Row],[Start]],0))</f>
        <v>0</v>
      </c>
      <c r="Q89" s="96" t="n">
        <f aca="false">IF(GanttView[[#This Row],[_DoneFrom]]=0,0,IF(GanttView[[#This Row],[%]]&gt;=1,GanttView[[#This Row],[Finish]],MAX(GanttView[[#This Row],[_DoneFrom]],GanttView[[#This Row],[Start]]+ROUND((GanttView[[#This Row],[Finish]]-GanttView[[#This Row],[Start]]+1)*GanttView[[#This Row],[%]],0)-1)))</f>
        <v>0</v>
      </c>
      <c r="R89" s="96" t="n">
        <f aca="false">IF(IFERROR(INDEX(tsk_Name,GanttView[[#This Row],[_Row]])="",TRUE()),0,IF(OR(INDEX(tsk_IsLeaf,GanttView[[#This Row],[_Row]])&lt;&gt;1,GanttView[[#This Row],[_IsMilestone]],N(GanttView[[#This Row],[%]])&gt;=1),0,IF(GanttView[[#This Row],[_DoneTo]]&gt;0,GanttView[[#This Row],[_DoneTo]]+1,GanttView[[#This Row],[Start]])))</f>
        <v>0</v>
      </c>
      <c r="S89" s="96" t="n">
        <f aca="false">IF(GanttView[[#This Row],[_RemFrom]]=0,0,GanttView[[#This Row],[Finish]])</f>
        <v>0</v>
      </c>
      <c r="T89" s="95" t="b">
        <f aca="false">IF(IFERROR(INDEX(tsk_Name,GanttView[[#This Row],[_Row]])="",TRUE()),FALSE(),N(INDEX(tsk_Variance,GanttView[[#This Row],[_Row]]))&gt;0)</f>
        <v>0</v>
      </c>
      <c r="U89" s="96" t="n">
        <f aca="false">IF(IFERROR(INDEX(tsk_Name,GanttView[[#This Row],[_Row]])="",TRUE()),0,N(INDEX(tsk_Deadline,GanttView[[#This Row],[_Row]])))</f>
        <v>0</v>
      </c>
      <c r="V89" s="95" t="b">
        <f aca="false">IF(IFERROR(INDEX(tsk_Name,GanttView[[#This Row],[_Row]])="",TRUE()),FALSE(),INDEX(tsk_Critical,GanttView[[#This Row],[_Row]])="Yes")</f>
        <v>0</v>
      </c>
    </row>
    <row r="90" customFormat="false" ht="15" hidden="false" customHeight="false" outlineLevel="0" collapsed="false">
      <c r="A90" s="89" t="str">
        <f aca="false">IF(IFERROR(INDEX(tsk_Name,GanttView[[#This Row],[_Row]])="",TRUE()),"",INDEX(tsk_ID,GanttView[[#This Row],[_Row]]))</f>
        <v/>
      </c>
      <c r="B90" s="90" t="str">
        <f aca="false">IF(IFERROR(INDEX(tsk_Name,GanttView[[#This Row],[_Row]])="",TRUE()),"",REPT("    ",INDEX(tsk_Level,GanttView[[#This Row],[_Row]])-1)&amp;INDEX(tsk_Name,GanttView[[#This Row],[_Row]]))</f>
        <v/>
      </c>
      <c r="C90" s="91" t="str">
        <f aca="false">IF(IFERROR(INDEX(tsk_Name,GanttView[[#This Row],[_Row]])="",TRUE()),"",INDEX(tsk_FcStart,GanttView[[#This Row],[_Row]]))</f>
        <v/>
      </c>
      <c r="D90" s="91" t="str">
        <f aca="false">IF(IFERROR(INDEX(tsk_Name,GanttView[[#This Row],[_Row]])="",TRUE()),"",INDEX(tsk_FcFinish,GanttView[[#This Row],[_Row]]))</f>
        <v/>
      </c>
      <c r="E90" s="92" t="str">
        <f aca="false">IF(IFERROR(INDEX(tsk_Name,GanttView[[#This Row],[_Row]])="",TRUE()),"",INDEX(tsk_Progress,GanttView[[#This Row],[_Row]]))</f>
        <v/>
      </c>
      <c r="F90" s="90" t="str">
        <f aca="false">IF(IFERROR(INDEX(tsk_Name,GanttView[[#This Row],[_Row]])="",TRUE()),"",INDEX(tsk_ResourceNames,GanttView[[#This Row],[_Row]])&amp;"")</f>
        <v/>
      </c>
      <c r="G90" s="89" t="str">
        <f aca="false">IF(IFERROR(INDEX(tsk_Name,GanttView[[#This Row],[_Row]])="",TRUE()),"",INDEX(tsk_WBS,GanttView[[#This Row],[_Row]]))</f>
        <v/>
      </c>
      <c r="H90" s="89" t="str">
        <f aca="false">IF(IFERROR(INDEX(tsk_Name,GanttView[[#This Row],[_Row]])="",TRUE()),"",IF(INDEX(tsk_IsSummary,GanttView[[#This Row],[_Row]]),NETWORKDAYS.INTL(INDEX(tsk_FcStart,GanttView[[#This Row],[_Row]]),INDEX(tsk_FcFinish,GanttView[[#This Row],[_Row]]),WorkWeek,Holidays),N(INDEX(tsk_Duration,GanttView[[#This Row],[_Row]]))))</f>
        <v/>
      </c>
      <c r="I90" s="91" t="str">
        <f aca="false">IF(IFERROR(INDEX(tsk_Name,GanttView[[#This Row],[_Row]])="",TRUE()),"",INDEX(tsk_PlanStart,GanttView[[#This Row],[_Row]]))</f>
        <v/>
      </c>
      <c r="J90" s="91" t="str">
        <f aca="false">IF(IFERROR(INDEX(tsk_Name,GanttView[[#This Row],[_Row]])="",TRUE()),"",INDEX(tsk_PlanFinish,GanttView[[#This Row],[_Row]]))</f>
        <v/>
      </c>
      <c r="K90" s="93" t="str">
        <f aca="false">IF(IFERROR(INDEX(tsk_Name,GanttView[[#This Row],[_Row]])="",TRUE()),"",INDEX(tsk_Status,GanttView[[#This Row],[_Row]]))</f>
        <v/>
      </c>
      <c r="L90" s="93" t="str">
        <f aca="false">IF(IFERROR(INDEX(tsk_Name,GanttView[[#This Row],[_Row]])="",TRUE()),"",INDEX(tsk_Show,GanttView[[#This Row],[_Row]])&amp;"")</f>
        <v/>
      </c>
      <c r="M90" s="94" t="n">
        <f aca="false">ROW()-ROW(GanttView[[#Headers],[ID]])</f>
        <v>85</v>
      </c>
      <c r="N90" s="95" t="b">
        <f aca="false">IF(IFERROR(INDEX(tsk_Name,GanttView[[#This Row],[_Row]])="",TRUE()),FALSE(),INDEX(tsk_IsSummary,GanttView[[#This Row],[_Row]]))</f>
        <v>0</v>
      </c>
      <c r="O90" s="95" t="b">
        <f aca="false">IF(IFERROR(INDEX(tsk_Name,GanttView[[#This Row],[_Row]])="",TRUE()),FALSE(),AND(INDEX(tsk_IsLeaf,GanttView[[#This Row],[_Row]])=1,N(INDEX(tsk_Duration,GanttView[[#This Row],[_Row]]))=0))</f>
        <v>0</v>
      </c>
      <c r="P90" s="96" t="n">
        <f aca="false">IF(IFERROR(INDEX(tsk_Name,GanttView[[#This Row],[_Row]])="",TRUE()),0,IF(AND(INDEX(tsk_IsLeaf,GanttView[[#This Row],[_Row]])=1,NOT(GanttView[[#This Row],[_IsMilestone]]),N(GanttView[[#This Row],[%]])&gt;0),GanttView[[#This Row],[Start]],0))</f>
        <v>0</v>
      </c>
      <c r="Q90" s="96" t="n">
        <f aca="false">IF(GanttView[[#This Row],[_DoneFrom]]=0,0,IF(GanttView[[#This Row],[%]]&gt;=1,GanttView[[#This Row],[Finish]],MAX(GanttView[[#This Row],[_DoneFrom]],GanttView[[#This Row],[Start]]+ROUND((GanttView[[#This Row],[Finish]]-GanttView[[#This Row],[Start]]+1)*GanttView[[#This Row],[%]],0)-1)))</f>
        <v>0</v>
      </c>
      <c r="R90" s="96" t="n">
        <f aca="false">IF(IFERROR(INDEX(tsk_Name,GanttView[[#This Row],[_Row]])="",TRUE()),0,IF(OR(INDEX(tsk_IsLeaf,GanttView[[#This Row],[_Row]])&lt;&gt;1,GanttView[[#This Row],[_IsMilestone]],N(GanttView[[#This Row],[%]])&gt;=1),0,IF(GanttView[[#This Row],[_DoneTo]]&gt;0,GanttView[[#This Row],[_DoneTo]]+1,GanttView[[#This Row],[Start]])))</f>
        <v>0</v>
      </c>
      <c r="S90" s="96" t="n">
        <f aca="false">IF(GanttView[[#This Row],[_RemFrom]]=0,0,GanttView[[#This Row],[Finish]])</f>
        <v>0</v>
      </c>
      <c r="T90" s="95" t="b">
        <f aca="false">IF(IFERROR(INDEX(tsk_Name,GanttView[[#This Row],[_Row]])="",TRUE()),FALSE(),N(INDEX(tsk_Variance,GanttView[[#This Row],[_Row]]))&gt;0)</f>
        <v>0</v>
      </c>
      <c r="U90" s="96" t="n">
        <f aca="false">IF(IFERROR(INDEX(tsk_Name,GanttView[[#This Row],[_Row]])="",TRUE()),0,N(INDEX(tsk_Deadline,GanttView[[#This Row],[_Row]])))</f>
        <v>0</v>
      </c>
      <c r="V90" s="95" t="b">
        <f aca="false">IF(IFERROR(INDEX(tsk_Name,GanttView[[#This Row],[_Row]])="",TRUE()),FALSE(),INDEX(tsk_Critical,GanttView[[#This Row],[_Row]])="Yes")</f>
        <v>0</v>
      </c>
    </row>
    <row r="91" customFormat="false" ht="15" hidden="false" customHeight="false" outlineLevel="0" collapsed="false">
      <c r="A91" s="89" t="str">
        <f aca="false">IF(IFERROR(INDEX(tsk_Name,GanttView[[#This Row],[_Row]])="",TRUE()),"",INDEX(tsk_ID,GanttView[[#This Row],[_Row]]))</f>
        <v/>
      </c>
      <c r="B91" s="90" t="str">
        <f aca="false">IF(IFERROR(INDEX(tsk_Name,GanttView[[#This Row],[_Row]])="",TRUE()),"",REPT("    ",INDEX(tsk_Level,GanttView[[#This Row],[_Row]])-1)&amp;INDEX(tsk_Name,GanttView[[#This Row],[_Row]]))</f>
        <v/>
      </c>
      <c r="C91" s="91" t="str">
        <f aca="false">IF(IFERROR(INDEX(tsk_Name,GanttView[[#This Row],[_Row]])="",TRUE()),"",INDEX(tsk_FcStart,GanttView[[#This Row],[_Row]]))</f>
        <v/>
      </c>
      <c r="D91" s="91" t="str">
        <f aca="false">IF(IFERROR(INDEX(tsk_Name,GanttView[[#This Row],[_Row]])="",TRUE()),"",INDEX(tsk_FcFinish,GanttView[[#This Row],[_Row]]))</f>
        <v/>
      </c>
      <c r="E91" s="92" t="str">
        <f aca="false">IF(IFERROR(INDEX(tsk_Name,GanttView[[#This Row],[_Row]])="",TRUE()),"",INDEX(tsk_Progress,GanttView[[#This Row],[_Row]]))</f>
        <v/>
      </c>
      <c r="F91" s="90" t="str">
        <f aca="false">IF(IFERROR(INDEX(tsk_Name,GanttView[[#This Row],[_Row]])="",TRUE()),"",INDEX(tsk_ResourceNames,GanttView[[#This Row],[_Row]])&amp;"")</f>
        <v/>
      </c>
      <c r="G91" s="89" t="str">
        <f aca="false">IF(IFERROR(INDEX(tsk_Name,GanttView[[#This Row],[_Row]])="",TRUE()),"",INDEX(tsk_WBS,GanttView[[#This Row],[_Row]]))</f>
        <v/>
      </c>
      <c r="H91" s="89" t="str">
        <f aca="false">IF(IFERROR(INDEX(tsk_Name,GanttView[[#This Row],[_Row]])="",TRUE()),"",IF(INDEX(tsk_IsSummary,GanttView[[#This Row],[_Row]]),NETWORKDAYS.INTL(INDEX(tsk_FcStart,GanttView[[#This Row],[_Row]]),INDEX(tsk_FcFinish,GanttView[[#This Row],[_Row]]),WorkWeek,Holidays),N(INDEX(tsk_Duration,GanttView[[#This Row],[_Row]]))))</f>
        <v/>
      </c>
      <c r="I91" s="91" t="str">
        <f aca="false">IF(IFERROR(INDEX(tsk_Name,GanttView[[#This Row],[_Row]])="",TRUE()),"",INDEX(tsk_PlanStart,GanttView[[#This Row],[_Row]]))</f>
        <v/>
      </c>
      <c r="J91" s="91" t="str">
        <f aca="false">IF(IFERROR(INDEX(tsk_Name,GanttView[[#This Row],[_Row]])="",TRUE()),"",INDEX(tsk_PlanFinish,GanttView[[#This Row],[_Row]]))</f>
        <v/>
      </c>
      <c r="K91" s="93" t="str">
        <f aca="false">IF(IFERROR(INDEX(tsk_Name,GanttView[[#This Row],[_Row]])="",TRUE()),"",INDEX(tsk_Status,GanttView[[#This Row],[_Row]]))</f>
        <v/>
      </c>
      <c r="L91" s="93" t="str">
        <f aca="false">IF(IFERROR(INDEX(tsk_Name,GanttView[[#This Row],[_Row]])="",TRUE()),"",INDEX(tsk_Show,GanttView[[#This Row],[_Row]])&amp;"")</f>
        <v/>
      </c>
      <c r="M91" s="94" t="n">
        <f aca="false">ROW()-ROW(GanttView[[#Headers],[ID]])</f>
        <v>86</v>
      </c>
      <c r="N91" s="95" t="b">
        <f aca="false">IF(IFERROR(INDEX(tsk_Name,GanttView[[#This Row],[_Row]])="",TRUE()),FALSE(),INDEX(tsk_IsSummary,GanttView[[#This Row],[_Row]]))</f>
        <v>0</v>
      </c>
      <c r="O91" s="95" t="b">
        <f aca="false">IF(IFERROR(INDEX(tsk_Name,GanttView[[#This Row],[_Row]])="",TRUE()),FALSE(),AND(INDEX(tsk_IsLeaf,GanttView[[#This Row],[_Row]])=1,N(INDEX(tsk_Duration,GanttView[[#This Row],[_Row]]))=0))</f>
        <v>0</v>
      </c>
      <c r="P91" s="96" t="n">
        <f aca="false">IF(IFERROR(INDEX(tsk_Name,GanttView[[#This Row],[_Row]])="",TRUE()),0,IF(AND(INDEX(tsk_IsLeaf,GanttView[[#This Row],[_Row]])=1,NOT(GanttView[[#This Row],[_IsMilestone]]),N(GanttView[[#This Row],[%]])&gt;0),GanttView[[#This Row],[Start]],0))</f>
        <v>0</v>
      </c>
      <c r="Q91" s="96" t="n">
        <f aca="false">IF(GanttView[[#This Row],[_DoneFrom]]=0,0,IF(GanttView[[#This Row],[%]]&gt;=1,GanttView[[#This Row],[Finish]],MAX(GanttView[[#This Row],[_DoneFrom]],GanttView[[#This Row],[Start]]+ROUND((GanttView[[#This Row],[Finish]]-GanttView[[#This Row],[Start]]+1)*GanttView[[#This Row],[%]],0)-1)))</f>
        <v>0</v>
      </c>
      <c r="R91" s="96" t="n">
        <f aca="false">IF(IFERROR(INDEX(tsk_Name,GanttView[[#This Row],[_Row]])="",TRUE()),0,IF(OR(INDEX(tsk_IsLeaf,GanttView[[#This Row],[_Row]])&lt;&gt;1,GanttView[[#This Row],[_IsMilestone]],N(GanttView[[#This Row],[%]])&gt;=1),0,IF(GanttView[[#This Row],[_DoneTo]]&gt;0,GanttView[[#This Row],[_DoneTo]]+1,GanttView[[#This Row],[Start]])))</f>
        <v>0</v>
      </c>
      <c r="S91" s="96" t="n">
        <f aca="false">IF(GanttView[[#This Row],[_RemFrom]]=0,0,GanttView[[#This Row],[Finish]])</f>
        <v>0</v>
      </c>
      <c r="T91" s="95" t="b">
        <f aca="false">IF(IFERROR(INDEX(tsk_Name,GanttView[[#This Row],[_Row]])="",TRUE()),FALSE(),N(INDEX(tsk_Variance,GanttView[[#This Row],[_Row]]))&gt;0)</f>
        <v>0</v>
      </c>
      <c r="U91" s="96" t="n">
        <f aca="false">IF(IFERROR(INDEX(tsk_Name,GanttView[[#This Row],[_Row]])="",TRUE()),0,N(INDEX(tsk_Deadline,GanttView[[#This Row],[_Row]])))</f>
        <v>0</v>
      </c>
      <c r="V91" s="95" t="b">
        <f aca="false">IF(IFERROR(INDEX(tsk_Name,GanttView[[#This Row],[_Row]])="",TRUE()),FALSE(),INDEX(tsk_Critical,GanttView[[#This Row],[_Row]])="Yes")</f>
        <v>0</v>
      </c>
    </row>
    <row r="92" customFormat="false" ht="15" hidden="false" customHeight="false" outlineLevel="0" collapsed="false">
      <c r="A92" s="89" t="str">
        <f aca="false">IF(IFERROR(INDEX(tsk_Name,GanttView[[#This Row],[_Row]])="",TRUE()),"",INDEX(tsk_ID,GanttView[[#This Row],[_Row]]))</f>
        <v/>
      </c>
      <c r="B92" s="90" t="str">
        <f aca="false">IF(IFERROR(INDEX(tsk_Name,GanttView[[#This Row],[_Row]])="",TRUE()),"",REPT("    ",INDEX(tsk_Level,GanttView[[#This Row],[_Row]])-1)&amp;INDEX(tsk_Name,GanttView[[#This Row],[_Row]]))</f>
        <v/>
      </c>
      <c r="C92" s="91" t="str">
        <f aca="false">IF(IFERROR(INDEX(tsk_Name,GanttView[[#This Row],[_Row]])="",TRUE()),"",INDEX(tsk_FcStart,GanttView[[#This Row],[_Row]]))</f>
        <v/>
      </c>
      <c r="D92" s="91" t="str">
        <f aca="false">IF(IFERROR(INDEX(tsk_Name,GanttView[[#This Row],[_Row]])="",TRUE()),"",INDEX(tsk_FcFinish,GanttView[[#This Row],[_Row]]))</f>
        <v/>
      </c>
      <c r="E92" s="92" t="str">
        <f aca="false">IF(IFERROR(INDEX(tsk_Name,GanttView[[#This Row],[_Row]])="",TRUE()),"",INDEX(tsk_Progress,GanttView[[#This Row],[_Row]]))</f>
        <v/>
      </c>
      <c r="F92" s="90" t="str">
        <f aca="false">IF(IFERROR(INDEX(tsk_Name,GanttView[[#This Row],[_Row]])="",TRUE()),"",INDEX(tsk_ResourceNames,GanttView[[#This Row],[_Row]])&amp;"")</f>
        <v/>
      </c>
      <c r="G92" s="89" t="str">
        <f aca="false">IF(IFERROR(INDEX(tsk_Name,GanttView[[#This Row],[_Row]])="",TRUE()),"",INDEX(tsk_WBS,GanttView[[#This Row],[_Row]]))</f>
        <v/>
      </c>
      <c r="H92" s="89" t="str">
        <f aca="false">IF(IFERROR(INDEX(tsk_Name,GanttView[[#This Row],[_Row]])="",TRUE()),"",IF(INDEX(tsk_IsSummary,GanttView[[#This Row],[_Row]]),NETWORKDAYS.INTL(INDEX(tsk_FcStart,GanttView[[#This Row],[_Row]]),INDEX(tsk_FcFinish,GanttView[[#This Row],[_Row]]),WorkWeek,Holidays),N(INDEX(tsk_Duration,GanttView[[#This Row],[_Row]]))))</f>
        <v/>
      </c>
      <c r="I92" s="91" t="str">
        <f aca="false">IF(IFERROR(INDEX(tsk_Name,GanttView[[#This Row],[_Row]])="",TRUE()),"",INDEX(tsk_PlanStart,GanttView[[#This Row],[_Row]]))</f>
        <v/>
      </c>
      <c r="J92" s="91" t="str">
        <f aca="false">IF(IFERROR(INDEX(tsk_Name,GanttView[[#This Row],[_Row]])="",TRUE()),"",INDEX(tsk_PlanFinish,GanttView[[#This Row],[_Row]]))</f>
        <v/>
      </c>
      <c r="K92" s="93" t="str">
        <f aca="false">IF(IFERROR(INDEX(tsk_Name,GanttView[[#This Row],[_Row]])="",TRUE()),"",INDEX(tsk_Status,GanttView[[#This Row],[_Row]]))</f>
        <v/>
      </c>
      <c r="L92" s="93" t="str">
        <f aca="false">IF(IFERROR(INDEX(tsk_Name,GanttView[[#This Row],[_Row]])="",TRUE()),"",INDEX(tsk_Show,GanttView[[#This Row],[_Row]])&amp;"")</f>
        <v/>
      </c>
      <c r="M92" s="94" t="n">
        <f aca="false">ROW()-ROW(GanttView[[#Headers],[ID]])</f>
        <v>87</v>
      </c>
      <c r="N92" s="95" t="b">
        <f aca="false">IF(IFERROR(INDEX(tsk_Name,GanttView[[#This Row],[_Row]])="",TRUE()),FALSE(),INDEX(tsk_IsSummary,GanttView[[#This Row],[_Row]]))</f>
        <v>0</v>
      </c>
      <c r="O92" s="95" t="b">
        <f aca="false">IF(IFERROR(INDEX(tsk_Name,GanttView[[#This Row],[_Row]])="",TRUE()),FALSE(),AND(INDEX(tsk_IsLeaf,GanttView[[#This Row],[_Row]])=1,N(INDEX(tsk_Duration,GanttView[[#This Row],[_Row]]))=0))</f>
        <v>0</v>
      </c>
      <c r="P92" s="96" t="n">
        <f aca="false">IF(IFERROR(INDEX(tsk_Name,GanttView[[#This Row],[_Row]])="",TRUE()),0,IF(AND(INDEX(tsk_IsLeaf,GanttView[[#This Row],[_Row]])=1,NOT(GanttView[[#This Row],[_IsMilestone]]),N(GanttView[[#This Row],[%]])&gt;0),GanttView[[#This Row],[Start]],0))</f>
        <v>0</v>
      </c>
      <c r="Q92" s="96" t="n">
        <f aca="false">IF(GanttView[[#This Row],[_DoneFrom]]=0,0,IF(GanttView[[#This Row],[%]]&gt;=1,GanttView[[#This Row],[Finish]],MAX(GanttView[[#This Row],[_DoneFrom]],GanttView[[#This Row],[Start]]+ROUND((GanttView[[#This Row],[Finish]]-GanttView[[#This Row],[Start]]+1)*GanttView[[#This Row],[%]],0)-1)))</f>
        <v>0</v>
      </c>
      <c r="R92" s="96" t="n">
        <f aca="false">IF(IFERROR(INDEX(tsk_Name,GanttView[[#This Row],[_Row]])="",TRUE()),0,IF(OR(INDEX(tsk_IsLeaf,GanttView[[#This Row],[_Row]])&lt;&gt;1,GanttView[[#This Row],[_IsMilestone]],N(GanttView[[#This Row],[%]])&gt;=1),0,IF(GanttView[[#This Row],[_DoneTo]]&gt;0,GanttView[[#This Row],[_DoneTo]]+1,GanttView[[#This Row],[Start]])))</f>
        <v>0</v>
      </c>
      <c r="S92" s="96" t="n">
        <f aca="false">IF(GanttView[[#This Row],[_RemFrom]]=0,0,GanttView[[#This Row],[Finish]])</f>
        <v>0</v>
      </c>
      <c r="T92" s="95" t="b">
        <f aca="false">IF(IFERROR(INDEX(tsk_Name,GanttView[[#This Row],[_Row]])="",TRUE()),FALSE(),N(INDEX(tsk_Variance,GanttView[[#This Row],[_Row]]))&gt;0)</f>
        <v>0</v>
      </c>
      <c r="U92" s="96" t="n">
        <f aca="false">IF(IFERROR(INDEX(tsk_Name,GanttView[[#This Row],[_Row]])="",TRUE()),0,N(INDEX(tsk_Deadline,GanttView[[#This Row],[_Row]])))</f>
        <v>0</v>
      </c>
      <c r="V92" s="95" t="b">
        <f aca="false">IF(IFERROR(INDEX(tsk_Name,GanttView[[#This Row],[_Row]])="",TRUE()),FALSE(),INDEX(tsk_Critical,GanttView[[#This Row],[_Row]])="Yes")</f>
        <v>0</v>
      </c>
    </row>
    <row r="93" customFormat="false" ht="15" hidden="false" customHeight="false" outlineLevel="0" collapsed="false">
      <c r="A93" s="89" t="str">
        <f aca="false">IF(IFERROR(INDEX(tsk_Name,GanttView[[#This Row],[_Row]])="",TRUE()),"",INDEX(tsk_ID,GanttView[[#This Row],[_Row]]))</f>
        <v/>
      </c>
      <c r="B93" s="90" t="str">
        <f aca="false">IF(IFERROR(INDEX(tsk_Name,GanttView[[#This Row],[_Row]])="",TRUE()),"",REPT("    ",INDEX(tsk_Level,GanttView[[#This Row],[_Row]])-1)&amp;INDEX(tsk_Name,GanttView[[#This Row],[_Row]]))</f>
        <v/>
      </c>
      <c r="C93" s="91" t="str">
        <f aca="false">IF(IFERROR(INDEX(tsk_Name,GanttView[[#This Row],[_Row]])="",TRUE()),"",INDEX(tsk_FcStart,GanttView[[#This Row],[_Row]]))</f>
        <v/>
      </c>
      <c r="D93" s="91" t="str">
        <f aca="false">IF(IFERROR(INDEX(tsk_Name,GanttView[[#This Row],[_Row]])="",TRUE()),"",INDEX(tsk_FcFinish,GanttView[[#This Row],[_Row]]))</f>
        <v/>
      </c>
      <c r="E93" s="92" t="str">
        <f aca="false">IF(IFERROR(INDEX(tsk_Name,GanttView[[#This Row],[_Row]])="",TRUE()),"",INDEX(tsk_Progress,GanttView[[#This Row],[_Row]]))</f>
        <v/>
      </c>
      <c r="F93" s="90" t="str">
        <f aca="false">IF(IFERROR(INDEX(tsk_Name,GanttView[[#This Row],[_Row]])="",TRUE()),"",INDEX(tsk_ResourceNames,GanttView[[#This Row],[_Row]])&amp;"")</f>
        <v/>
      </c>
      <c r="G93" s="89" t="str">
        <f aca="false">IF(IFERROR(INDEX(tsk_Name,GanttView[[#This Row],[_Row]])="",TRUE()),"",INDEX(tsk_WBS,GanttView[[#This Row],[_Row]]))</f>
        <v/>
      </c>
      <c r="H93" s="89" t="str">
        <f aca="false">IF(IFERROR(INDEX(tsk_Name,GanttView[[#This Row],[_Row]])="",TRUE()),"",IF(INDEX(tsk_IsSummary,GanttView[[#This Row],[_Row]]),NETWORKDAYS.INTL(INDEX(tsk_FcStart,GanttView[[#This Row],[_Row]]),INDEX(tsk_FcFinish,GanttView[[#This Row],[_Row]]),WorkWeek,Holidays),N(INDEX(tsk_Duration,GanttView[[#This Row],[_Row]]))))</f>
        <v/>
      </c>
      <c r="I93" s="91" t="str">
        <f aca="false">IF(IFERROR(INDEX(tsk_Name,GanttView[[#This Row],[_Row]])="",TRUE()),"",INDEX(tsk_PlanStart,GanttView[[#This Row],[_Row]]))</f>
        <v/>
      </c>
      <c r="J93" s="91" t="str">
        <f aca="false">IF(IFERROR(INDEX(tsk_Name,GanttView[[#This Row],[_Row]])="",TRUE()),"",INDEX(tsk_PlanFinish,GanttView[[#This Row],[_Row]]))</f>
        <v/>
      </c>
      <c r="K93" s="93" t="str">
        <f aca="false">IF(IFERROR(INDEX(tsk_Name,GanttView[[#This Row],[_Row]])="",TRUE()),"",INDEX(tsk_Status,GanttView[[#This Row],[_Row]]))</f>
        <v/>
      </c>
      <c r="L93" s="93" t="str">
        <f aca="false">IF(IFERROR(INDEX(tsk_Name,GanttView[[#This Row],[_Row]])="",TRUE()),"",INDEX(tsk_Show,GanttView[[#This Row],[_Row]])&amp;"")</f>
        <v/>
      </c>
      <c r="M93" s="94" t="n">
        <f aca="false">ROW()-ROW(GanttView[[#Headers],[ID]])</f>
        <v>88</v>
      </c>
      <c r="N93" s="95" t="b">
        <f aca="false">IF(IFERROR(INDEX(tsk_Name,GanttView[[#This Row],[_Row]])="",TRUE()),FALSE(),INDEX(tsk_IsSummary,GanttView[[#This Row],[_Row]]))</f>
        <v>0</v>
      </c>
      <c r="O93" s="95" t="b">
        <f aca="false">IF(IFERROR(INDEX(tsk_Name,GanttView[[#This Row],[_Row]])="",TRUE()),FALSE(),AND(INDEX(tsk_IsLeaf,GanttView[[#This Row],[_Row]])=1,N(INDEX(tsk_Duration,GanttView[[#This Row],[_Row]]))=0))</f>
        <v>0</v>
      </c>
      <c r="P93" s="96" t="n">
        <f aca="false">IF(IFERROR(INDEX(tsk_Name,GanttView[[#This Row],[_Row]])="",TRUE()),0,IF(AND(INDEX(tsk_IsLeaf,GanttView[[#This Row],[_Row]])=1,NOT(GanttView[[#This Row],[_IsMilestone]]),N(GanttView[[#This Row],[%]])&gt;0),GanttView[[#This Row],[Start]],0))</f>
        <v>0</v>
      </c>
      <c r="Q93" s="96" t="n">
        <f aca="false">IF(GanttView[[#This Row],[_DoneFrom]]=0,0,IF(GanttView[[#This Row],[%]]&gt;=1,GanttView[[#This Row],[Finish]],MAX(GanttView[[#This Row],[_DoneFrom]],GanttView[[#This Row],[Start]]+ROUND((GanttView[[#This Row],[Finish]]-GanttView[[#This Row],[Start]]+1)*GanttView[[#This Row],[%]],0)-1)))</f>
        <v>0</v>
      </c>
      <c r="R93" s="96" t="n">
        <f aca="false">IF(IFERROR(INDEX(tsk_Name,GanttView[[#This Row],[_Row]])="",TRUE()),0,IF(OR(INDEX(tsk_IsLeaf,GanttView[[#This Row],[_Row]])&lt;&gt;1,GanttView[[#This Row],[_IsMilestone]],N(GanttView[[#This Row],[%]])&gt;=1),0,IF(GanttView[[#This Row],[_DoneTo]]&gt;0,GanttView[[#This Row],[_DoneTo]]+1,GanttView[[#This Row],[Start]])))</f>
        <v>0</v>
      </c>
      <c r="S93" s="96" t="n">
        <f aca="false">IF(GanttView[[#This Row],[_RemFrom]]=0,0,GanttView[[#This Row],[Finish]])</f>
        <v>0</v>
      </c>
      <c r="T93" s="95" t="b">
        <f aca="false">IF(IFERROR(INDEX(tsk_Name,GanttView[[#This Row],[_Row]])="",TRUE()),FALSE(),N(INDEX(tsk_Variance,GanttView[[#This Row],[_Row]]))&gt;0)</f>
        <v>0</v>
      </c>
      <c r="U93" s="96" t="n">
        <f aca="false">IF(IFERROR(INDEX(tsk_Name,GanttView[[#This Row],[_Row]])="",TRUE()),0,N(INDEX(tsk_Deadline,GanttView[[#This Row],[_Row]])))</f>
        <v>0</v>
      </c>
      <c r="V93" s="95" t="b">
        <f aca="false">IF(IFERROR(INDEX(tsk_Name,GanttView[[#This Row],[_Row]])="",TRUE()),FALSE(),INDEX(tsk_Critical,GanttView[[#This Row],[_Row]])="Yes")</f>
        <v>0</v>
      </c>
    </row>
    <row r="94" customFormat="false" ht="15" hidden="false" customHeight="false" outlineLevel="0" collapsed="false">
      <c r="A94" s="89" t="str">
        <f aca="false">IF(IFERROR(INDEX(tsk_Name,GanttView[[#This Row],[_Row]])="",TRUE()),"",INDEX(tsk_ID,GanttView[[#This Row],[_Row]]))</f>
        <v/>
      </c>
      <c r="B94" s="90" t="str">
        <f aca="false">IF(IFERROR(INDEX(tsk_Name,GanttView[[#This Row],[_Row]])="",TRUE()),"",REPT("    ",INDEX(tsk_Level,GanttView[[#This Row],[_Row]])-1)&amp;INDEX(tsk_Name,GanttView[[#This Row],[_Row]]))</f>
        <v/>
      </c>
      <c r="C94" s="91" t="str">
        <f aca="false">IF(IFERROR(INDEX(tsk_Name,GanttView[[#This Row],[_Row]])="",TRUE()),"",INDEX(tsk_FcStart,GanttView[[#This Row],[_Row]]))</f>
        <v/>
      </c>
      <c r="D94" s="91" t="str">
        <f aca="false">IF(IFERROR(INDEX(tsk_Name,GanttView[[#This Row],[_Row]])="",TRUE()),"",INDEX(tsk_FcFinish,GanttView[[#This Row],[_Row]]))</f>
        <v/>
      </c>
      <c r="E94" s="92" t="str">
        <f aca="false">IF(IFERROR(INDEX(tsk_Name,GanttView[[#This Row],[_Row]])="",TRUE()),"",INDEX(tsk_Progress,GanttView[[#This Row],[_Row]]))</f>
        <v/>
      </c>
      <c r="F94" s="90" t="str">
        <f aca="false">IF(IFERROR(INDEX(tsk_Name,GanttView[[#This Row],[_Row]])="",TRUE()),"",INDEX(tsk_ResourceNames,GanttView[[#This Row],[_Row]])&amp;"")</f>
        <v/>
      </c>
      <c r="G94" s="89" t="str">
        <f aca="false">IF(IFERROR(INDEX(tsk_Name,GanttView[[#This Row],[_Row]])="",TRUE()),"",INDEX(tsk_WBS,GanttView[[#This Row],[_Row]]))</f>
        <v/>
      </c>
      <c r="H94" s="89" t="str">
        <f aca="false">IF(IFERROR(INDEX(tsk_Name,GanttView[[#This Row],[_Row]])="",TRUE()),"",IF(INDEX(tsk_IsSummary,GanttView[[#This Row],[_Row]]),NETWORKDAYS.INTL(INDEX(tsk_FcStart,GanttView[[#This Row],[_Row]]),INDEX(tsk_FcFinish,GanttView[[#This Row],[_Row]]),WorkWeek,Holidays),N(INDEX(tsk_Duration,GanttView[[#This Row],[_Row]]))))</f>
        <v/>
      </c>
      <c r="I94" s="91" t="str">
        <f aca="false">IF(IFERROR(INDEX(tsk_Name,GanttView[[#This Row],[_Row]])="",TRUE()),"",INDEX(tsk_PlanStart,GanttView[[#This Row],[_Row]]))</f>
        <v/>
      </c>
      <c r="J94" s="91" t="str">
        <f aca="false">IF(IFERROR(INDEX(tsk_Name,GanttView[[#This Row],[_Row]])="",TRUE()),"",INDEX(tsk_PlanFinish,GanttView[[#This Row],[_Row]]))</f>
        <v/>
      </c>
      <c r="K94" s="93" t="str">
        <f aca="false">IF(IFERROR(INDEX(tsk_Name,GanttView[[#This Row],[_Row]])="",TRUE()),"",INDEX(tsk_Status,GanttView[[#This Row],[_Row]]))</f>
        <v/>
      </c>
      <c r="L94" s="93" t="str">
        <f aca="false">IF(IFERROR(INDEX(tsk_Name,GanttView[[#This Row],[_Row]])="",TRUE()),"",INDEX(tsk_Show,GanttView[[#This Row],[_Row]])&amp;"")</f>
        <v/>
      </c>
      <c r="M94" s="94" t="n">
        <f aca="false">ROW()-ROW(GanttView[[#Headers],[ID]])</f>
        <v>89</v>
      </c>
      <c r="N94" s="95" t="b">
        <f aca="false">IF(IFERROR(INDEX(tsk_Name,GanttView[[#This Row],[_Row]])="",TRUE()),FALSE(),INDEX(tsk_IsSummary,GanttView[[#This Row],[_Row]]))</f>
        <v>0</v>
      </c>
      <c r="O94" s="95" t="b">
        <f aca="false">IF(IFERROR(INDEX(tsk_Name,GanttView[[#This Row],[_Row]])="",TRUE()),FALSE(),AND(INDEX(tsk_IsLeaf,GanttView[[#This Row],[_Row]])=1,N(INDEX(tsk_Duration,GanttView[[#This Row],[_Row]]))=0))</f>
        <v>0</v>
      </c>
      <c r="P94" s="96" t="n">
        <f aca="false">IF(IFERROR(INDEX(tsk_Name,GanttView[[#This Row],[_Row]])="",TRUE()),0,IF(AND(INDEX(tsk_IsLeaf,GanttView[[#This Row],[_Row]])=1,NOT(GanttView[[#This Row],[_IsMilestone]]),N(GanttView[[#This Row],[%]])&gt;0),GanttView[[#This Row],[Start]],0))</f>
        <v>0</v>
      </c>
      <c r="Q94" s="96" t="n">
        <f aca="false">IF(GanttView[[#This Row],[_DoneFrom]]=0,0,IF(GanttView[[#This Row],[%]]&gt;=1,GanttView[[#This Row],[Finish]],MAX(GanttView[[#This Row],[_DoneFrom]],GanttView[[#This Row],[Start]]+ROUND((GanttView[[#This Row],[Finish]]-GanttView[[#This Row],[Start]]+1)*GanttView[[#This Row],[%]],0)-1)))</f>
        <v>0</v>
      </c>
      <c r="R94" s="96" t="n">
        <f aca="false">IF(IFERROR(INDEX(tsk_Name,GanttView[[#This Row],[_Row]])="",TRUE()),0,IF(OR(INDEX(tsk_IsLeaf,GanttView[[#This Row],[_Row]])&lt;&gt;1,GanttView[[#This Row],[_IsMilestone]],N(GanttView[[#This Row],[%]])&gt;=1),0,IF(GanttView[[#This Row],[_DoneTo]]&gt;0,GanttView[[#This Row],[_DoneTo]]+1,GanttView[[#This Row],[Start]])))</f>
        <v>0</v>
      </c>
      <c r="S94" s="96" t="n">
        <f aca="false">IF(GanttView[[#This Row],[_RemFrom]]=0,0,GanttView[[#This Row],[Finish]])</f>
        <v>0</v>
      </c>
      <c r="T94" s="95" t="b">
        <f aca="false">IF(IFERROR(INDEX(tsk_Name,GanttView[[#This Row],[_Row]])="",TRUE()),FALSE(),N(INDEX(tsk_Variance,GanttView[[#This Row],[_Row]]))&gt;0)</f>
        <v>0</v>
      </c>
      <c r="U94" s="96" t="n">
        <f aca="false">IF(IFERROR(INDEX(tsk_Name,GanttView[[#This Row],[_Row]])="",TRUE()),0,N(INDEX(tsk_Deadline,GanttView[[#This Row],[_Row]])))</f>
        <v>0</v>
      </c>
      <c r="V94" s="95" t="b">
        <f aca="false">IF(IFERROR(INDEX(tsk_Name,GanttView[[#This Row],[_Row]])="",TRUE()),FALSE(),INDEX(tsk_Critical,GanttView[[#This Row],[_Row]])="Yes")</f>
        <v>0</v>
      </c>
    </row>
    <row r="95" customFormat="false" ht="15" hidden="false" customHeight="false" outlineLevel="0" collapsed="false">
      <c r="A95" s="89" t="str">
        <f aca="false">IF(IFERROR(INDEX(tsk_Name,GanttView[[#This Row],[_Row]])="",TRUE()),"",INDEX(tsk_ID,GanttView[[#This Row],[_Row]]))</f>
        <v/>
      </c>
      <c r="B95" s="90" t="str">
        <f aca="false">IF(IFERROR(INDEX(tsk_Name,GanttView[[#This Row],[_Row]])="",TRUE()),"",REPT("    ",INDEX(tsk_Level,GanttView[[#This Row],[_Row]])-1)&amp;INDEX(tsk_Name,GanttView[[#This Row],[_Row]]))</f>
        <v/>
      </c>
      <c r="C95" s="91" t="str">
        <f aca="false">IF(IFERROR(INDEX(tsk_Name,GanttView[[#This Row],[_Row]])="",TRUE()),"",INDEX(tsk_FcStart,GanttView[[#This Row],[_Row]]))</f>
        <v/>
      </c>
      <c r="D95" s="91" t="str">
        <f aca="false">IF(IFERROR(INDEX(tsk_Name,GanttView[[#This Row],[_Row]])="",TRUE()),"",INDEX(tsk_FcFinish,GanttView[[#This Row],[_Row]]))</f>
        <v/>
      </c>
      <c r="E95" s="92" t="str">
        <f aca="false">IF(IFERROR(INDEX(tsk_Name,GanttView[[#This Row],[_Row]])="",TRUE()),"",INDEX(tsk_Progress,GanttView[[#This Row],[_Row]]))</f>
        <v/>
      </c>
      <c r="F95" s="90" t="str">
        <f aca="false">IF(IFERROR(INDEX(tsk_Name,GanttView[[#This Row],[_Row]])="",TRUE()),"",INDEX(tsk_ResourceNames,GanttView[[#This Row],[_Row]])&amp;"")</f>
        <v/>
      </c>
      <c r="G95" s="89" t="str">
        <f aca="false">IF(IFERROR(INDEX(tsk_Name,GanttView[[#This Row],[_Row]])="",TRUE()),"",INDEX(tsk_WBS,GanttView[[#This Row],[_Row]]))</f>
        <v/>
      </c>
      <c r="H95" s="89" t="str">
        <f aca="false">IF(IFERROR(INDEX(tsk_Name,GanttView[[#This Row],[_Row]])="",TRUE()),"",IF(INDEX(tsk_IsSummary,GanttView[[#This Row],[_Row]]),NETWORKDAYS.INTL(INDEX(tsk_FcStart,GanttView[[#This Row],[_Row]]),INDEX(tsk_FcFinish,GanttView[[#This Row],[_Row]]),WorkWeek,Holidays),N(INDEX(tsk_Duration,GanttView[[#This Row],[_Row]]))))</f>
        <v/>
      </c>
      <c r="I95" s="91" t="str">
        <f aca="false">IF(IFERROR(INDEX(tsk_Name,GanttView[[#This Row],[_Row]])="",TRUE()),"",INDEX(tsk_PlanStart,GanttView[[#This Row],[_Row]]))</f>
        <v/>
      </c>
      <c r="J95" s="91" t="str">
        <f aca="false">IF(IFERROR(INDEX(tsk_Name,GanttView[[#This Row],[_Row]])="",TRUE()),"",INDEX(tsk_PlanFinish,GanttView[[#This Row],[_Row]]))</f>
        <v/>
      </c>
      <c r="K95" s="93" t="str">
        <f aca="false">IF(IFERROR(INDEX(tsk_Name,GanttView[[#This Row],[_Row]])="",TRUE()),"",INDEX(tsk_Status,GanttView[[#This Row],[_Row]]))</f>
        <v/>
      </c>
      <c r="L95" s="93" t="str">
        <f aca="false">IF(IFERROR(INDEX(tsk_Name,GanttView[[#This Row],[_Row]])="",TRUE()),"",INDEX(tsk_Show,GanttView[[#This Row],[_Row]])&amp;"")</f>
        <v/>
      </c>
      <c r="M95" s="94" t="n">
        <f aca="false">ROW()-ROW(GanttView[[#Headers],[ID]])</f>
        <v>90</v>
      </c>
      <c r="N95" s="95" t="b">
        <f aca="false">IF(IFERROR(INDEX(tsk_Name,GanttView[[#This Row],[_Row]])="",TRUE()),FALSE(),INDEX(tsk_IsSummary,GanttView[[#This Row],[_Row]]))</f>
        <v>0</v>
      </c>
      <c r="O95" s="95" t="b">
        <f aca="false">IF(IFERROR(INDEX(tsk_Name,GanttView[[#This Row],[_Row]])="",TRUE()),FALSE(),AND(INDEX(tsk_IsLeaf,GanttView[[#This Row],[_Row]])=1,N(INDEX(tsk_Duration,GanttView[[#This Row],[_Row]]))=0))</f>
        <v>0</v>
      </c>
      <c r="P95" s="96" t="n">
        <f aca="false">IF(IFERROR(INDEX(tsk_Name,GanttView[[#This Row],[_Row]])="",TRUE()),0,IF(AND(INDEX(tsk_IsLeaf,GanttView[[#This Row],[_Row]])=1,NOT(GanttView[[#This Row],[_IsMilestone]]),N(GanttView[[#This Row],[%]])&gt;0),GanttView[[#This Row],[Start]],0))</f>
        <v>0</v>
      </c>
      <c r="Q95" s="96" t="n">
        <f aca="false">IF(GanttView[[#This Row],[_DoneFrom]]=0,0,IF(GanttView[[#This Row],[%]]&gt;=1,GanttView[[#This Row],[Finish]],MAX(GanttView[[#This Row],[_DoneFrom]],GanttView[[#This Row],[Start]]+ROUND((GanttView[[#This Row],[Finish]]-GanttView[[#This Row],[Start]]+1)*GanttView[[#This Row],[%]],0)-1)))</f>
        <v>0</v>
      </c>
      <c r="R95" s="96" t="n">
        <f aca="false">IF(IFERROR(INDEX(tsk_Name,GanttView[[#This Row],[_Row]])="",TRUE()),0,IF(OR(INDEX(tsk_IsLeaf,GanttView[[#This Row],[_Row]])&lt;&gt;1,GanttView[[#This Row],[_IsMilestone]],N(GanttView[[#This Row],[%]])&gt;=1),0,IF(GanttView[[#This Row],[_DoneTo]]&gt;0,GanttView[[#This Row],[_DoneTo]]+1,GanttView[[#This Row],[Start]])))</f>
        <v>0</v>
      </c>
      <c r="S95" s="96" t="n">
        <f aca="false">IF(GanttView[[#This Row],[_RemFrom]]=0,0,GanttView[[#This Row],[Finish]])</f>
        <v>0</v>
      </c>
      <c r="T95" s="95" t="b">
        <f aca="false">IF(IFERROR(INDEX(tsk_Name,GanttView[[#This Row],[_Row]])="",TRUE()),FALSE(),N(INDEX(tsk_Variance,GanttView[[#This Row],[_Row]]))&gt;0)</f>
        <v>0</v>
      </c>
      <c r="U95" s="96" t="n">
        <f aca="false">IF(IFERROR(INDEX(tsk_Name,GanttView[[#This Row],[_Row]])="",TRUE()),0,N(INDEX(tsk_Deadline,GanttView[[#This Row],[_Row]])))</f>
        <v>0</v>
      </c>
      <c r="V95" s="95" t="b">
        <f aca="false">IF(IFERROR(INDEX(tsk_Name,GanttView[[#This Row],[_Row]])="",TRUE()),FALSE(),INDEX(tsk_Critical,GanttView[[#This Row],[_Row]])="Yes")</f>
        <v>0</v>
      </c>
    </row>
    <row r="96" customFormat="false" ht="15" hidden="false" customHeight="false" outlineLevel="0" collapsed="false">
      <c r="A96" s="89" t="str">
        <f aca="false">IF(IFERROR(INDEX(tsk_Name,GanttView[[#This Row],[_Row]])="",TRUE()),"",INDEX(tsk_ID,GanttView[[#This Row],[_Row]]))</f>
        <v/>
      </c>
      <c r="B96" s="90" t="str">
        <f aca="false">IF(IFERROR(INDEX(tsk_Name,GanttView[[#This Row],[_Row]])="",TRUE()),"",REPT("    ",INDEX(tsk_Level,GanttView[[#This Row],[_Row]])-1)&amp;INDEX(tsk_Name,GanttView[[#This Row],[_Row]]))</f>
        <v/>
      </c>
      <c r="C96" s="91" t="str">
        <f aca="false">IF(IFERROR(INDEX(tsk_Name,GanttView[[#This Row],[_Row]])="",TRUE()),"",INDEX(tsk_FcStart,GanttView[[#This Row],[_Row]]))</f>
        <v/>
      </c>
      <c r="D96" s="91" t="str">
        <f aca="false">IF(IFERROR(INDEX(tsk_Name,GanttView[[#This Row],[_Row]])="",TRUE()),"",INDEX(tsk_FcFinish,GanttView[[#This Row],[_Row]]))</f>
        <v/>
      </c>
      <c r="E96" s="92" t="str">
        <f aca="false">IF(IFERROR(INDEX(tsk_Name,GanttView[[#This Row],[_Row]])="",TRUE()),"",INDEX(tsk_Progress,GanttView[[#This Row],[_Row]]))</f>
        <v/>
      </c>
      <c r="F96" s="90" t="str">
        <f aca="false">IF(IFERROR(INDEX(tsk_Name,GanttView[[#This Row],[_Row]])="",TRUE()),"",INDEX(tsk_ResourceNames,GanttView[[#This Row],[_Row]])&amp;"")</f>
        <v/>
      </c>
      <c r="G96" s="89" t="str">
        <f aca="false">IF(IFERROR(INDEX(tsk_Name,GanttView[[#This Row],[_Row]])="",TRUE()),"",INDEX(tsk_WBS,GanttView[[#This Row],[_Row]]))</f>
        <v/>
      </c>
      <c r="H96" s="89" t="str">
        <f aca="false">IF(IFERROR(INDEX(tsk_Name,GanttView[[#This Row],[_Row]])="",TRUE()),"",IF(INDEX(tsk_IsSummary,GanttView[[#This Row],[_Row]]),NETWORKDAYS.INTL(INDEX(tsk_FcStart,GanttView[[#This Row],[_Row]]),INDEX(tsk_FcFinish,GanttView[[#This Row],[_Row]]),WorkWeek,Holidays),N(INDEX(tsk_Duration,GanttView[[#This Row],[_Row]]))))</f>
        <v/>
      </c>
      <c r="I96" s="91" t="str">
        <f aca="false">IF(IFERROR(INDEX(tsk_Name,GanttView[[#This Row],[_Row]])="",TRUE()),"",INDEX(tsk_PlanStart,GanttView[[#This Row],[_Row]]))</f>
        <v/>
      </c>
      <c r="J96" s="91" t="str">
        <f aca="false">IF(IFERROR(INDEX(tsk_Name,GanttView[[#This Row],[_Row]])="",TRUE()),"",INDEX(tsk_PlanFinish,GanttView[[#This Row],[_Row]]))</f>
        <v/>
      </c>
      <c r="K96" s="93" t="str">
        <f aca="false">IF(IFERROR(INDEX(tsk_Name,GanttView[[#This Row],[_Row]])="",TRUE()),"",INDEX(tsk_Status,GanttView[[#This Row],[_Row]]))</f>
        <v/>
      </c>
      <c r="L96" s="93" t="str">
        <f aca="false">IF(IFERROR(INDEX(tsk_Name,GanttView[[#This Row],[_Row]])="",TRUE()),"",INDEX(tsk_Show,GanttView[[#This Row],[_Row]])&amp;"")</f>
        <v/>
      </c>
      <c r="M96" s="94" t="n">
        <f aca="false">ROW()-ROW(GanttView[[#Headers],[ID]])</f>
        <v>91</v>
      </c>
      <c r="N96" s="95" t="b">
        <f aca="false">IF(IFERROR(INDEX(tsk_Name,GanttView[[#This Row],[_Row]])="",TRUE()),FALSE(),INDEX(tsk_IsSummary,GanttView[[#This Row],[_Row]]))</f>
        <v>0</v>
      </c>
      <c r="O96" s="95" t="b">
        <f aca="false">IF(IFERROR(INDEX(tsk_Name,GanttView[[#This Row],[_Row]])="",TRUE()),FALSE(),AND(INDEX(tsk_IsLeaf,GanttView[[#This Row],[_Row]])=1,N(INDEX(tsk_Duration,GanttView[[#This Row],[_Row]]))=0))</f>
        <v>0</v>
      </c>
      <c r="P96" s="96" t="n">
        <f aca="false">IF(IFERROR(INDEX(tsk_Name,GanttView[[#This Row],[_Row]])="",TRUE()),0,IF(AND(INDEX(tsk_IsLeaf,GanttView[[#This Row],[_Row]])=1,NOT(GanttView[[#This Row],[_IsMilestone]]),N(GanttView[[#This Row],[%]])&gt;0),GanttView[[#This Row],[Start]],0))</f>
        <v>0</v>
      </c>
      <c r="Q96" s="96" t="n">
        <f aca="false">IF(GanttView[[#This Row],[_DoneFrom]]=0,0,IF(GanttView[[#This Row],[%]]&gt;=1,GanttView[[#This Row],[Finish]],MAX(GanttView[[#This Row],[_DoneFrom]],GanttView[[#This Row],[Start]]+ROUND((GanttView[[#This Row],[Finish]]-GanttView[[#This Row],[Start]]+1)*GanttView[[#This Row],[%]],0)-1)))</f>
        <v>0</v>
      </c>
      <c r="R96" s="96" t="n">
        <f aca="false">IF(IFERROR(INDEX(tsk_Name,GanttView[[#This Row],[_Row]])="",TRUE()),0,IF(OR(INDEX(tsk_IsLeaf,GanttView[[#This Row],[_Row]])&lt;&gt;1,GanttView[[#This Row],[_IsMilestone]],N(GanttView[[#This Row],[%]])&gt;=1),0,IF(GanttView[[#This Row],[_DoneTo]]&gt;0,GanttView[[#This Row],[_DoneTo]]+1,GanttView[[#This Row],[Start]])))</f>
        <v>0</v>
      </c>
      <c r="S96" s="96" t="n">
        <f aca="false">IF(GanttView[[#This Row],[_RemFrom]]=0,0,GanttView[[#This Row],[Finish]])</f>
        <v>0</v>
      </c>
      <c r="T96" s="95" t="b">
        <f aca="false">IF(IFERROR(INDEX(tsk_Name,GanttView[[#This Row],[_Row]])="",TRUE()),FALSE(),N(INDEX(tsk_Variance,GanttView[[#This Row],[_Row]]))&gt;0)</f>
        <v>0</v>
      </c>
      <c r="U96" s="96" t="n">
        <f aca="false">IF(IFERROR(INDEX(tsk_Name,GanttView[[#This Row],[_Row]])="",TRUE()),0,N(INDEX(tsk_Deadline,GanttView[[#This Row],[_Row]])))</f>
        <v>0</v>
      </c>
      <c r="V96" s="95" t="b">
        <f aca="false">IF(IFERROR(INDEX(tsk_Name,GanttView[[#This Row],[_Row]])="",TRUE()),FALSE(),INDEX(tsk_Critical,GanttView[[#This Row],[_Row]])="Yes")</f>
        <v>0</v>
      </c>
    </row>
    <row r="97" customFormat="false" ht="15" hidden="false" customHeight="false" outlineLevel="0" collapsed="false">
      <c r="A97" s="89" t="str">
        <f aca="false">IF(IFERROR(INDEX(tsk_Name,GanttView[[#This Row],[_Row]])="",TRUE()),"",INDEX(tsk_ID,GanttView[[#This Row],[_Row]]))</f>
        <v/>
      </c>
      <c r="B97" s="90" t="str">
        <f aca="false">IF(IFERROR(INDEX(tsk_Name,GanttView[[#This Row],[_Row]])="",TRUE()),"",REPT("    ",INDEX(tsk_Level,GanttView[[#This Row],[_Row]])-1)&amp;INDEX(tsk_Name,GanttView[[#This Row],[_Row]]))</f>
        <v/>
      </c>
      <c r="C97" s="91" t="str">
        <f aca="false">IF(IFERROR(INDEX(tsk_Name,GanttView[[#This Row],[_Row]])="",TRUE()),"",INDEX(tsk_FcStart,GanttView[[#This Row],[_Row]]))</f>
        <v/>
      </c>
      <c r="D97" s="91" t="str">
        <f aca="false">IF(IFERROR(INDEX(tsk_Name,GanttView[[#This Row],[_Row]])="",TRUE()),"",INDEX(tsk_FcFinish,GanttView[[#This Row],[_Row]]))</f>
        <v/>
      </c>
      <c r="E97" s="92" t="str">
        <f aca="false">IF(IFERROR(INDEX(tsk_Name,GanttView[[#This Row],[_Row]])="",TRUE()),"",INDEX(tsk_Progress,GanttView[[#This Row],[_Row]]))</f>
        <v/>
      </c>
      <c r="F97" s="90" t="str">
        <f aca="false">IF(IFERROR(INDEX(tsk_Name,GanttView[[#This Row],[_Row]])="",TRUE()),"",INDEX(tsk_ResourceNames,GanttView[[#This Row],[_Row]])&amp;"")</f>
        <v/>
      </c>
      <c r="G97" s="89" t="str">
        <f aca="false">IF(IFERROR(INDEX(tsk_Name,GanttView[[#This Row],[_Row]])="",TRUE()),"",INDEX(tsk_WBS,GanttView[[#This Row],[_Row]]))</f>
        <v/>
      </c>
      <c r="H97" s="89" t="str">
        <f aca="false">IF(IFERROR(INDEX(tsk_Name,GanttView[[#This Row],[_Row]])="",TRUE()),"",IF(INDEX(tsk_IsSummary,GanttView[[#This Row],[_Row]]),NETWORKDAYS.INTL(INDEX(tsk_FcStart,GanttView[[#This Row],[_Row]]),INDEX(tsk_FcFinish,GanttView[[#This Row],[_Row]]),WorkWeek,Holidays),N(INDEX(tsk_Duration,GanttView[[#This Row],[_Row]]))))</f>
        <v/>
      </c>
      <c r="I97" s="91" t="str">
        <f aca="false">IF(IFERROR(INDEX(tsk_Name,GanttView[[#This Row],[_Row]])="",TRUE()),"",INDEX(tsk_PlanStart,GanttView[[#This Row],[_Row]]))</f>
        <v/>
      </c>
      <c r="J97" s="91" t="str">
        <f aca="false">IF(IFERROR(INDEX(tsk_Name,GanttView[[#This Row],[_Row]])="",TRUE()),"",INDEX(tsk_PlanFinish,GanttView[[#This Row],[_Row]]))</f>
        <v/>
      </c>
      <c r="K97" s="93" t="str">
        <f aca="false">IF(IFERROR(INDEX(tsk_Name,GanttView[[#This Row],[_Row]])="",TRUE()),"",INDEX(tsk_Status,GanttView[[#This Row],[_Row]]))</f>
        <v/>
      </c>
      <c r="L97" s="93" t="str">
        <f aca="false">IF(IFERROR(INDEX(tsk_Name,GanttView[[#This Row],[_Row]])="",TRUE()),"",INDEX(tsk_Show,GanttView[[#This Row],[_Row]])&amp;"")</f>
        <v/>
      </c>
      <c r="M97" s="94" t="n">
        <f aca="false">ROW()-ROW(GanttView[[#Headers],[ID]])</f>
        <v>92</v>
      </c>
      <c r="N97" s="95" t="b">
        <f aca="false">IF(IFERROR(INDEX(tsk_Name,GanttView[[#This Row],[_Row]])="",TRUE()),FALSE(),INDEX(tsk_IsSummary,GanttView[[#This Row],[_Row]]))</f>
        <v>0</v>
      </c>
      <c r="O97" s="95" t="b">
        <f aca="false">IF(IFERROR(INDEX(tsk_Name,GanttView[[#This Row],[_Row]])="",TRUE()),FALSE(),AND(INDEX(tsk_IsLeaf,GanttView[[#This Row],[_Row]])=1,N(INDEX(tsk_Duration,GanttView[[#This Row],[_Row]]))=0))</f>
        <v>0</v>
      </c>
      <c r="P97" s="96" t="n">
        <f aca="false">IF(IFERROR(INDEX(tsk_Name,GanttView[[#This Row],[_Row]])="",TRUE()),0,IF(AND(INDEX(tsk_IsLeaf,GanttView[[#This Row],[_Row]])=1,NOT(GanttView[[#This Row],[_IsMilestone]]),N(GanttView[[#This Row],[%]])&gt;0),GanttView[[#This Row],[Start]],0))</f>
        <v>0</v>
      </c>
      <c r="Q97" s="96" t="n">
        <f aca="false">IF(GanttView[[#This Row],[_DoneFrom]]=0,0,IF(GanttView[[#This Row],[%]]&gt;=1,GanttView[[#This Row],[Finish]],MAX(GanttView[[#This Row],[_DoneFrom]],GanttView[[#This Row],[Start]]+ROUND((GanttView[[#This Row],[Finish]]-GanttView[[#This Row],[Start]]+1)*GanttView[[#This Row],[%]],0)-1)))</f>
        <v>0</v>
      </c>
      <c r="R97" s="96" t="n">
        <f aca="false">IF(IFERROR(INDEX(tsk_Name,GanttView[[#This Row],[_Row]])="",TRUE()),0,IF(OR(INDEX(tsk_IsLeaf,GanttView[[#This Row],[_Row]])&lt;&gt;1,GanttView[[#This Row],[_IsMilestone]],N(GanttView[[#This Row],[%]])&gt;=1),0,IF(GanttView[[#This Row],[_DoneTo]]&gt;0,GanttView[[#This Row],[_DoneTo]]+1,GanttView[[#This Row],[Start]])))</f>
        <v>0</v>
      </c>
      <c r="S97" s="96" t="n">
        <f aca="false">IF(GanttView[[#This Row],[_RemFrom]]=0,0,GanttView[[#This Row],[Finish]])</f>
        <v>0</v>
      </c>
      <c r="T97" s="95" t="b">
        <f aca="false">IF(IFERROR(INDEX(tsk_Name,GanttView[[#This Row],[_Row]])="",TRUE()),FALSE(),N(INDEX(tsk_Variance,GanttView[[#This Row],[_Row]]))&gt;0)</f>
        <v>0</v>
      </c>
      <c r="U97" s="96" t="n">
        <f aca="false">IF(IFERROR(INDEX(tsk_Name,GanttView[[#This Row],[_Row]])="",TRUE()),0,N(INDEX(tsk_Deadline,GanttView[[#This Row],[_Row]])))</f>
        <v>0</v>
      </c>
      <c r="V97" s="95" t="b">
        <f aca="false">IF(IFERROR(INDEX(tsk_Name,GanttView[[#This Row],[_Row]])="",TRUE()),FALSE(),INDEX(tsk_Critical,GanttView[[#This Row],[_Row]])="Yes")</f>
        <v>0</v>
      </c>
    </row>
    <row r="98" customFormat="false" ht="15" hidden="false" customHeight="false" outlineLevel="0" collapsed="false">
      <c r="A98" s="89" t="str">
        <f aca="false">IF(IFERROR(INDEX(tsk_Name,GanttView[[#This Row],[_Row]])="",TRUE()),"",INDEX(tsk_ID,GanttView[[#This Row],[_Row]]))</f>
        <v/>
      </c>
      <c r="B98" s="90" t="str">
        <f aca="false">IF(IFERROR(INDEX(tsk_Name,GanttView[[#This Row],[_Row]])="",TRUE()),"",REPT("    ",INDEX(tsk_Level,GanttView[[#This Row],[_Row]])-1)&amp;INDEX(tsk_Name,GanttView[[#This Row],[_Row]]))</f>
        <v/>
      </c>
      <c r="C98" s="91" t="str">
        <f aca="false">IF(IFERROR(INDEX(tsk_Name,GanttView[[#This Row],[_Row]])="",TRUE()),"",INDEX(tsk_FcStart,GanttView[[#This Row],[_Row]]))</f>
        <v/>
      </c>
      <c r="D98" s="91" t="str">
        <f aca="false">IF(IFERROR(INDEX(tsk_Name,GanttView[[#This Row],[_Row]])="",TRUE()),"",INDEX(tsk_FcFinish,GanttView[[#This Row],[_Row]]))</f>
        <v/>
      </c>
      <c r="E98" s="92" t="str">
        <f aca="false">IF(IFERROR(INDEX(tsk_Name,GanttView[[#This Row],[_Row]])="",TRUE()),"",INDEX(tsk_Progress,GanttView[[#This Row],[_Row]]))</f>
        <v/>
      </c>
      <c r="F98" s="90" t="str">
        <f aca="false">IF(IFERROR(INDEX(tsk_Name,GanttView[[#This Row],[_Row]])="",TRUE()),"",INDEX(tsk_ResourceNames,GanttView[[#This Row],[_Row]])&amp;"")</f>
        <v/>
      </c>
      <c r="G98" s="89" t="str">
        <f aca="false">IF(IFERROR(INDEX(tsk_Name,GanttView[[#This Row],[_Row]])="",TRUE()),"",INDEX(tsk_WBS,GanttView[[#This Row],[_Row]]))</f>
        <v/>
      </c>
      <c r="H98" s="89" t="str">
        <f aca="false">IF(IFERROR(INDEX(tsk_Name,GanttView[[#This Row],[_Row]])="",TRUE()),"",IF(INDEX(tsk_IsSummary,GanttView[[#This Row],[_Row]]),NETWORKDAYS.INTL(INDEX(tsk_FcStart,GanttView[[#This Row],[_Row]]),INDEX(tsk_FcFinish,GanttView[[#This Row],[_Row]]),WorkWeek,Holidays),N(INDEX(tsk_Duration,GanttView[[#This Row],[_Row]]))))</f>
        <v/>
      </c>
      <c r="I98" s="91" t="str">
        <f aca="false">IF(IFERROR(INDEX(tsk_Name,GanttView[[#This Row],[_Row]])="",TRUE()),"",INDEX(tsk_PlanStart,GanttView[[#This Row],[_Row]]))</f>
        <v/>
      </c>
      <c r="J98" s="91" t="str">
        <f aca="false">IF(IFERROR(INDEX(tsk_Name,GanttView[[#This Row],[_Row]])="",TRUE()),"",INDEX(tsk_PlanFinish,GanttView[[#This Row],[_Row]]))</f>
        <v/>
      </c>
      <c r="K98" s="93" t="str">
        <f aca="false">IF(IFERROR(INDEX(tsk_Name,GanttView[[#This Row],[_Row]])="",TRUE()),"",INDEX(tsk_Status,GanttView[[#This Row],[_Row]]))</f>
        <v/>
      </c>
      <c r="L98" s="93" t="str">
        <f aca="false">IF(IFERROR(INDEX(tsk_Name,GanttView[[#This Row],[_Row]])="",TRUE()),"",INDEX(tsk_Show,GanttView[[#This Row],[_Row]])&amp;"")</f>
        <v/>
      </c>
      <c r="M98" s="94" t="n">
        <f aca="false">ROW()-ROW(GanttView[[#Headers],[ID]])</f>
        <v>93</v>
      </c>
      <c r="N98" s="95" t="b">
        <f aca="false">IF(IFERROR(INDEX(tsk_Name,GanttView[[#This Row],[_Row]])="",TRUE()),FALSE(),INDEX(tsk_IsSummary,GanttView[[#This Row],[_Row]]))</f>
        <v>0</v>
      </c>
      <c r="O98" s="95" t="b">
        <f aca="false">IF(IFERROR(INDEX(tsk_Name,GanttView[[#This Row],[_Row]])="",TRUE()),FALSE(),AND(INDEX(tsk_IsLeaf,GanttView[[#This Row],[_Row]])=1,N(INDEX(tsk_Duration,GanttView[[#This Row],[_Row]]))=0))</f>
        <v>0</v>
      </c>
      <c r="P98" s="96" t="n">
        <f aca="false">IF(IFERROR(INDEX(tsk_Name,GanttView[[#This Row],[_Row]])="",TRUE()),0,IF(AND(INDEX(tsk_IsLeaf,GanttView[[#This Row],[_Row]])=1,NOT(GanttView[[#This Row],[_IsMilestone]]),N(GanttView[[#This Row],[%]])&gt;0),GanttView[[#This Row],[Start]],0))</f>
        <v>0</v>
      </c>
      <c r="Q98" s="96" t="n">
        <f aca="false">IF(GanttView[[#This Row],[_DoneFrom]]=0,0,IF(GanttView[[#This Row],[%]]&gt;=1,GanttView[[#This Row],[Finish]],MAX(GanttView[[#This Row],[_DoneFrom]],GanttView[[#This Row],[Start]]+ROUND((GanttView[[#This Row],[Finish]]-GanttView[[#This Row],[Start]]+1)*GanttView[[#This Row],[%]],0)-1)))</f>
        <v>0</v>
      </c>
      <c r="R98" s="96" t="n">
        <f aca="false">IF(IFERROR(INDEX(tsk_Name,GanttView[[#This Row],[_Row]])="",TRUE()),0,IF(OR(INDEX(tsk_IsLeaf,GanttView[[#This Row],[_Row]])&lt;&gt;1,GanttView[[#This Row],[_IsMilestone]],N(GanttView[[#This Row],[%]])&gt;=1),0,IF(GanttView[[#This Row],[_DoneTo]]&gt;0,GanttView[[#This Row],[_DoneTo]]+1,GanttView[[#This Row],[Start]])))</f>
        <v>0</v>
      </c>
      <c r="S98" s="96" t="n">
        <f aca="false">IF(GanttView[[#This Row],[_RemFrom]]=0,0,GanttView[[#This Row],[Finish]])</f>
        <v>0</v>
      </c>
      <c r="T98" s="95" t="b">
        <f aca="false">IF(IFERROR(INDEX(tsk_Name,GanttView[[#This Row],[_Row]])="",TRUE()),FALSE(),N(INDEX(tsk_Variance,GanttView[[#This Row],[_Row]]))&gt;0)</f>
        <v>0</v>
      </c>
      <c r="U98" s="96" t="n">
        <f aca="false">IF(IFERROR(INDEX(tsk_Name,GanttView[[#This Row],[_Row]])="",TRUE()),0,N(INDEX(tsk_Deadline,GanttView[[#This Row],[_Row]])))</f>
        <v>0</v>
      </c>
      <c r="V98" s="95" t="b">
        <f aca="false">IF(IFERROR(INDEX(tsk_Name,GanttView[[#This Row],[_Row]])="",TRUE()),FALSE(),INDEX(tsk_Critical,GanttView[[#This Row],[_Row]])="Yes")</f>
        <v>0</v>
      </c>
    </row>
    <row r="99" customFormat="false" ht="15" hidden="false" customHeight="false" outlineLevel="0" collapsed="false">
      <c r="A99" s="89" t="str">
        <f aca="false">IF(IFERROR(INDEX(tsk_Name,GanttView[[#This Row],[_Row]])="",TRUE()),"",INDEX(tsk_ID,GanttView[[#This Row],[_Row]]))</f>
        <v/>
      </c>
      <c r="B99" s="90" t="str">
        <f aca="false">IF(IFERROR(INDEX(tsk_Name,GanttView[[#This Row],[_Row]])="",TRUE()),"",REPT("    ",INDEX(tsk_Level,GanttView[[#This Row],[_Row]])-1)&amp;INDEX(tsk_Name,GanttView[[#This Row],[_Row]]))</f>
        <v/>
      </c>
      <c r="C99" s="91" t="str">
        <f aca="false">IF(IFERROR(INDEX(tsk_Name,GanttView[[#This Row],[_Row]])="",TRUE()),"",INDEX(tsk_FcStart,GanttView[[#This Row],[_Row]]))</f>
        <v/>
      </c>
      <c r="D99" s="91" t="str">
        <f aca="false">IF(IFERROR(INDEX(tsk_Name,GanttView[[#This Row],[_Row]])="",TRUE()),"",INDEX(tsk_FcFinish,GanttView[[#This Row],[_Row]]))</f>
        <v/>
      </c>
      <c r="E99" s="92" t="str">
        <f aca="false">IF(IFERROR(INDEX(tsk_Name,GanttView[[#This Row],[_Row]])="",TRUE()),"",INDEX(tsk_Progress,GanttView[[#This Row],[_Row]]))</f>
        <v/>
      </c>
      <c r="F99" s="90" t="str">
        <f aca="false">IF(IFERROR(INDEX(tsk_Name,GanttView[[#This Row],[_Row]])="",TRUE()),"",INDEX(tsk_ResourceNames,GanttView[[#This Row],[_Row]])&amp;"")</f>
        <v/>
      </c>
      <c r="G99" s="89" t="str">
        <f aca="false">IF(IFERROR(INDEX(tsk_Name,GanttView[[#This Row],[_Row]])="",TRUE()),"",INDEX(tsk_WBS,GanttView[[#This Row],[_Row]]))</f>
        <v/>
      </c>
      <c r="H99" s="89" t="str">
        <f aca="false">IF(IFERROR(INDEX(tsk_Name,GanttView[[#This Row],[_Row]])="",TRUE()),"",IF(INDEX(tsk_IsSummary,GanttView[[#This Row],[_Row]]),NETWORKDAYS.INTL(INDEX(tsk_FcStart,GanttView[[#This Row],[_Row]]),INDEX(tsk_FcFinish,GanttView[[#This Row],[_Row]]),WorkWeek,Holidays),N(INDEX(tsk_Duration,GanttView[[#This Row],[_Row]]))))</f>
        <v/>
      </c>
      <c r="I99" s="91" t="str">
        <f aca="false">IF(IFERROR(INDEX(tsk_Name,GanttView[[#This Row],[_Row]])="",TRUE()),"",INDEX(tsk_PlanStart,GanttView[[#This Row],[_Row]]))</f>
        <v/>
      </c>
      <c r="J99" s="91" t="str">
        <f aca="false">IF(IFERROR(INDEX(tsk_Name,GanttView[[#This Row],[_Row]])="",TRUE()),"",INDEX(tsk_PlanFinish,GanttView[[#This Row],[_Row]]))</f>
        <v/>
      </c>
      <c r="K99" s="93" t="str">
        <f aca="false">IF(IFERROR(INDEX(tsk_Name,GanttView[[#This Row],[_Row]])="",TRUE()),"",INDEX(tsk_Status,GanttView[[#This Row],[_Row]]))</f>
        <v/>
      </c>
      <c r="L99" s="93" t="str">
        <f aca="false">IF(IFERROR(INDEX(tsk_Name,GanttView[[#This Row],[_Row]])="",TRUE()),"",INDEX(tsk_Show,GanttView[[#This Row],[_Row]])&amp;"")</f>
        <v/>
      </c>
      <c r="M99" s="94" t="n">
        <f aca="false">ROW()-ROW(GanttView[[#Headers],[ID]])</f>
        <v>94</v>
      </c>
      <c r="N99" s="95" t="b">
        <f aca="false">IF(IFERROR(INDEX(tsk_Name,GanttView[[#This Row],[_Row]])="",TRUE()),FALSE(),INDEX(tsk_IsSummary,GanttView[[#This Row],[_Row]]))</f>
        <v>0</v>
      </c>
      <c r="O99" s="95" t="b">
        <f aca="false">IF(IFERROR(INDEX(tsk_Name,GanttView[[#This Row],[_Row]])="",TRUE()),FALSE(),AND(INDEX(tsk_IsLeaf,GanttView[[#This Row],[_Row]])=1,N(INDEX(tsk_Duration,GanttView[[#This Row],[_Row]]))=0))</f>
        <v>0</v>
      </c>
      <c r="P99" s="96" t="n">
        <f aca="false">IF(IFERROR(INDEX(tsk_Name,GanttView[[#This Row],[_Row]])="",TRUE()),0,IF(AND(INDEX(tsk_IsLeaf,GanttView[[#This Row],[_Row]])=1,NOT(GanttView[[#This Row],[_IsMilestone]]),N(GanttView[[#This Row],[%]])&gt;0),GanttView[[#This Row],[Start]],0))</f>
        <v>0</v>
      </c>
      <c r="Q99" s="96" t="n">
        <f aca="false">IF(GanttView[[#This Row],[_DoneFrom]]=0,0,IF(GanttView[[#This Row],[%]]&gt;=1,GanttView[[#This Row],[Finish]],MAX(GanttView[[#This Row],[_DoneFrom]],GanttView[[#This Row],[Start]]+ROUND((GanttView[[#This Row],[Finish]]-GanttView[[#This Row],[Start]]+1)*GanttView[[#This Row],[%]],0)-1)))</f>
        <v>0</v>
      </c>
      <c r="R99" s="96" t="n">
        <f aca="false">IF(IFERROR(INDEX(tsk_Name,GanttView[[#This Row],[_Row]])="",TRUE()),0,IF(OR(INDEX(tsk_IsLeaf,GanttView[[#This Row],[_Row]])&lt;&gt;1,GanttView[[#This Row],[_IsMilestone]],N(GanttView[[#This Row],[%]])&gt;=1),0,IF(GanttView[[#This Row],[_DoneTo]]&gt;0,GanttView[[#This Row],[_DoneTo]]+1,GanttView[[#This Row],[Start]])))</f>
        <v>0</v>
      </c>
      <c r="S99" s="96" t="n">
        <f aca="false">IF(GanttView[[#This Row],[_RemFrom]]=0,0,GanttView[[#This Row],[Finish]])</f>
        <v>0</v>
      </c>
      <c r="T99" s="95" t="b">
        <f aca="false">IF(IFERROR(INDEX(tsk_Name,GanttView[[#This Row],[_Row]])="",TRUE()),FALSE(),N(INDEX(tsk_Variance,GanttView[[#This Row],[_Row]]))&gt;0)</f>
        <v>0</v>
      </c>
      <c r="U99" s="96" t="n">
        <f aca="false">IF(IFERROR(INDEX(tsk_Name,GanttView[[#This Row],[_Row]])="",TRUE()),0,N(INDEX(tsk_Deadline,GanttView[[#This Row],[_Row]])))</f>
        <v>0</v>
      </c>
      <c r="V99" s="95" t="b">
        <f aca="false">IF(IFERROR(INDEX(tsk_Name,GanttView[[#This Row],[_Row]])="",TRUE()),FALSE(),INDEX(tsk_Critical,GanttView[[#This Row],[_Row]])="Yes")</f>
        <v>0</v>
      </c>
    </row>
    <row r="100" customFormat="false" ht="15" hidden="false" customHeight="false" outlineLevel="0" collapsed="false">
      <c r="A100" s="89" t="str">
        <f aca="false">IF(IFERROR(INDEX(tsk_Name,GanttView[[#This Row],[_Row]])="",TRUE()),"",INDEX(tsk_ID,GanttView[[#This Row],[_Row]]))</f>
        <v/>
      </c>
      <c r="B100" s="90" t="str">
        <f aca="false">IF(IFERROR(INDEX(tsk_Name,GanttView[[#This Row],[_Row]])="",TRUE()),"",REPT("    ",INDEX(tsk_Level,GanttView[[#This Row],[_Row]])-1)&amp;INDEX(tsk_Name,GanttView[[#This Row],[_Row]]))</f>
        <v/>
      </c>
      <c r="C100" s="91" t="str">
        <f aca="false">IF(IFERROR(INDEX(tsk_Name,GanttView[[#This Row],[_Row]])="",TRUE()),"",INDEX(tsk_FcStart,GanttView[[#This Row],[_Row]]))</f>
        <v/>
      </c>
      <c r="D100" s="91" t="str">
        <f aca="false">IF(IFERROR(INDEX(tsk_Name,GanttView[[#This Row],[_Row]])="",TRUE()),"",INDEX(tsk_FcFinish,GanttView[[#This Row],[_Row]]))</f>
        <v/>
      </c>
      <c r="E100" s="92" t="str">
        <f aca="false">IF(IFERROR(INDEX(tsk_Name,GanttView[[#This Row],[_Row]])="",TRUE()),"",INDEX(tsk_Progress,GanttView[[#This Row],[_Row]]))</f>
        <v/>
      </c>
      <c r="F100" s="90" t="str">
        <f aca="false">IF(IFERROR(INDEX(tsk_Name,GanttView[[#This Row],[_Row]])="",TRUE()),"",INDEX(tsk_ResourceNames,GanttView[[#This Row],[_Row]])&amp;"")</f>
        <v/>
      </c>
      <c r="G100" s="89" t="str">
        <f aca="false">IF(IFERROR(INDEX(tsk_Name,GanttView[[#This Row],[_Row]])="",TRUE()),"",INDEX(tsk_WBS,GanttView[[#This Row],[_Row]]))</f>
        <v/>
      </c>
      <c r="H100" s="89" t="str">
        <f aca="false">IF(IFERROR(INDEX(tsk_Name,GanttView[[#This Row],[_Row]])="",TRUE()),"",IF(INDEX(tsk_IsSummary,GanttView[[#This Row],[_Row]]),NETWORKDAYS.INTL(INDEX(tsk_FcStart,GanttView[[#This Row],[_Row]]),INDEX(tsk_FcFinish,GanttView[[#This Row],[_Row]]),WorkWeek,Holidays),N(INDEX(tsk_Duration,GanttView[[#This Row],[_Row]]))))</f>
        <v/>
      </c>
      <c r="I100" s="91" t="str">
        <f aca="false">IF(IFERROR(INDEX(tsk_Name,GanttView[[#This Row],[_Row]])="",TRUE()),"",INDEX(tsk_PlanStart,GanttView[[#This Row],[_Row]]))</f>
        <v/>
      </c>
      <c r="J100" s="91" t="str">
        <f aca="false">IF(IFERROR(INDEX(tsk_Name,GanttView[[#This Row],[_Row]])="",TRUE()),"",INDEX(tsk_PlanFinish,GanttView[[#This Row],[_Row]]))</f>
        <v/>
      </c>
      <c r="K100" s="93" t="str">
        <f aca="false">IF(IFERROR(INDEX(tsk_Name,GanttView[[#This Row],[_Row]])="",TRUE()),"",INDEX(tsk_Status,GanttView[[#This Row],[_Row]]))</f>
        <v/>
      </c>
      <c r="L100" s="93" t="str">
        <f aca="false">IF(IFERROR(INDEX(tsk_Name,GanttView[[#This Row],[_Row]])="",TRUE()),"",INDEX(tsk_Show,GanttView[[#This Row],[_Row]])&amp;"")</f>
        <v/>
      </c>
      <c r="M100" s="94" t="n">
        <f aca="false">ROW()-ROW(GanttView[[#Headers],[ID]])</f>
        <v>95</v>
      </c>
      <c r="N100" s="95" t="b">
        <f aca="false">IF(IFERROR(INDEX(tsk_Name,GanttView[[#This Row],[_Row]])="",TRUE()),FALSE(),INDEX(tsk_IsSummary,GanttView[[#This Row],[_Row]]))</f>
        <v>0</v>
      </c>
      <c r="O100" s="95" t="b">
        <f aca="false">IF(IFERROR(INDEX(tsk_Name,GanttView[[#This Row],[_Row]])="",TRUE()),FALSE(),AND(INDEX(tsk_IsLeaf,GanttView[[#This Row],[_Row]])=1,N(INDEX(tsk_Duration,GanttView[[#This Row],[_Row]]))=0))</f>
        <v>0</v>
      </c>
      <c r="P100" s="96" t="n">
        <f aca="false">IF(IFERROR(INDEX(tsk_Name,GanttView[[#This Row],[_Row]])="",TRUE()),0,IF(AND(INDEX(tsk_IsLeaf,GanttView[[#This Row],[_Row]])=1,NOT(GanttView[[#This Row],[_IsMilestone]]),N(GanttView[[#This Row],[%]])&gt;0),GanttView[[#This Row],[Start]],0))</f>
        <v>0</v>
      </c>
      <c r="Q100" s="96" t="n">
        <f aca="false">IF(GanttView[[#This Row],[_DoneFrom]]=0,0,IF(GanttView[[#This Row],[%]]&gt;=1,GanttView[[#This Row],[Finish]],MAX(GanttView[[#This Row],[_DoneFrom]],GanttView[[#This Row],[Start]]+ROUND((GanttView[[#This Row],[Finish]]-GanttView[[#This Row],[Start]]+1)*GanttView[[#This Row],[%]],0)-1)))</f>
        <v>0</v>
      </c>
      <c r="R100" s="96" t="n">
        <f aca="false">IF(IFERROR(INDEX(tsk_Name,GanttView[[#This Row],[_Row]])="",TRUE()),0,IF(OR(INDEX(tsk_IsLeaf,GanttView[[#This Row],[_Row]])&lt;&gt;1,GanttView[[#This Row],[_IsMilestone]],N(GanttView[[#This Row],[%]])&gt;=1),0,IF(GanttView[[#This Row],[_DoneTo]]&gt;0,GanttView[[#This Row],[_DoneTo]]+1,GanttView[[#This Row],[Start]])))</f>
        <v>0</v>
      </c>
      <c r="S100" s="96" t="n">
        <f aca="false">IF(GanttView[[#This Row],[_RemFrom]]=0,0,GanttView[[#This Row],[Finish]])</f>
        <v>0</v>
      </c>
      <c r="T100" s="95" t="b">
        <f aca="false">IF(IFERROR(INDEX(tsk_Name,GanttView[[#This Row],[_Row]])="",TRUE()),FALSE(),N(INDEX(tsk_Variance,GanttView[[#This Row],[_Row]]))&gt;0)</f>
        <v>0</v>
      </c>
      <c r="U100" s="96" t="n">
        <f aca="false">IF(IFERROR(INDEX(tsk_Name,GanttView[[#This Row],[_Row]])="",TRUE()),0,N(INDEX(tsk_Deadline,GanttView[[#This Row],[_Row]])))</f>
        <v>0</v>
      </c>
      <c r="V100" s="95" t="b">
        <f aca="false">IF(IFERROR(INDEX(tsk_Name,GanttView[[#This Row],[_Row]])="",TRUE()),FALSE(),INDEX(tsk_Critical,GanttView[[#This Row],[_Row]])="Yes")</f>
        <v>0</v>
      </c>
    </row>
    <row r="101" customFormat="false" ht="15" hidden="false" customHeight="false" outlineLevel="0" collapsed="false">
      <c r="A101" s="89" t="str">
        <f aca="false">IF(IFERROR(INDEX(tsk_Name,GanttView[[#This Row],[_Row]])="",TRUE()),"",INDEX(tsk_ID,GanttView[[#This Row],[_Row]]))</f>
        <v/>
      </c>
      <c r="B101" s="90" t="str">
        <f aca="false">IF(IFERROR(INDEX(tsk_Name,GanttView[[#This Row],[_Row]])="",TRUE()),"",REPT("    ",INDEX(tsk_Level,GanttView[[#This Row],[_Row]])-1)&amp;INDEX(tsk_Name,GanttView[[#This Row],[_Row]]))</f>
        <v/>
      </c>
      <c r="C101" s="91" t="str">
        <f aca="false">IF(IFERROR(INDEX(tsk_Name,GanttView[[#This Row],[_Row]])="",TRUE()),"",INDEX(tsk_FcStart,GanttView[[#This Row],[_Row]]))</f>
        <v/>
      </c>
      <c r="D101" s="91" t="str">
        <f aca="false">IF(IFERROR(INDEX(tsk_Name,GanttView[[#This Row],[_Row]])="",TRUE()),"",INDEX(tsk_FcFinish,GanttView[[#This Row],[_Row]]))</f>
        <v/>
      </c>
      <c r="E101" s="92" t="str">
        <f aca="false">IF(IFERROR(INDEX(tsk_Name,GanttView[[#This Row],[_Row]])="",TRUE()),"",INDEX(tsk_Progress,GanttView[[#This Row],[_Row]]))</f>
        <v/>
      </c>
      <c r="F101" s="90" t="str">
        <f aca="false">IF(IFERROR(INDEX(tsk_Name,GanttView[[#This Row],[_Row]])="",TRUE()),"",INDEX(tsk_ResourceNames,GanttView[[#This Row],[_Row]])&amp;"")</f>
        <v/>
      </c>
      <c r="G101" s="89" t="str">
        <f aca="false">IF(IFERROR(INDEX(tsk_Name,GanttView[[#This Row],[_Row]])="",TRUE()),"",INDEX(tsk_WBS,GanttView[[#This Row],[_Row]]))</f>
        <v/>
      </c>
      <c r="H101" s="89" t="str">
        <f aca="false">IF(IFERROR(INDEX(tsk_Name,GanttView[[#This Row],[_Row]])="",TRUE()),"",IF(INDEX(tsk_IsSummary,GanttView[[#This Row],[_Row]]),NETWORKDAYS.INTL(INDEX(tsk_FcStart,GanttView[[#This Row],[_Row]]),INDEX(tsk_FcFinish,GanttView[[#This Row],[_Row]]),WorkWeek,Holidays),N(INDEX(tsk_Duration,GanttView[[#This Row],[_Row]]))))</f>
        <v/>
      </c>
      <c r="I101" s="91" t="str">
        <f aca="false">IF(IFERROR(INDEX(tsk_Name,GanttView[[#This Row],[_Row]])="",TRUE()),"",INDEX(tsk_PlanStart,GanttView[[#This Row],[_Row]]))</f>
        <v/>
      </c>
      <c r="J101" s="91" t="str">
        <f aca="false">IF(IFERROR(INDEX(tsk_Name,GanttView[[#This Row],[_Row]])="",TRUE()),"",INDEX(tsk_PlanFinish,GanttView[[#This Row],[_Row]]))</f>
        <v/>
      </c>
      <c r="K101" s="93" t="str">
        <f aca="false">IF(IFERROR(INDEX(tsk_Name,GanttView[[#This Row],[_Row]])="",TRUE()),"",INDEX(tsk_Status,GanttView[[#This Row],[_Row]]))</f>
        <v/>
      </c>
      <c r="L101" s="93" t="str">
        <f aca="false">IF(IFERROR(INDEX(tsk_Name,GanttView[[#This Row],[_Row]])="",TRUE()),"",INDEX(tsk_Show,GanttView[[#This Row],[_Row]])&amp;"")</f>
        <v/>
      </c>
      <c r="M101" s="94" t="n">
        <f aca="false">ROW()-ROW(GanttView[[#Headers],[ID]])</f>
        <v>96</v>
      </c>
      <c r="N101" s="95" t="b">
        <f aca="false">IF(IFERROR(INDEX(tsk_Name,GanttView[[#This Row],[_Row]])="",TRUE()),FALSE(),INDEX(tsk_IsSummary,GanttView[[#This Row],[_Row]]))</f>
        <v>0</v>
      </c>
      <c r="O101" s="95" t="b">
        <f aca="false">IF(IFERROR(INDEX(tsk_Name,GanttView[[#This Row],[_Row]])="",TRUE()),FALSE(),AND(INDEX(tsk_IsLeaf,GanttView[[#This Row],[_Row]])=1,N(INDEX(tsk_Duration,GanttView[[#This Row],[_Row]]))=0))</f>
        <v>0</v>
      </c>
      <c r="P101" s="96" t="n">
        <f aca="false">IF(IFERROR(INDEX(tsk_Name,GanttView[[#This Row],[_Row]])="",TRUE()),0,IF(AND(INDEX(tsk_IsLeaf,GanttView[[#This Row],[_Row]])=1,NOT(GanttView[[#This Row],[_IsMilestone]]),N(GanttView[[#This Row],[%]])&gt;0),GanttView[[#This Row],[Start]],0))</f>
        <v>0</v>
      </c>
      <c r="Q101" s="96" t="n">
        <f aca="false">IF(GanttView[[#This Row],[_DoneFrom]]=0,0,IF(GanttView[[#This Row],[%]]&gt;=1,GanttView[[#This Row],[Finish]],MAX(GanttView[[#This Row],[_DoneFrom]],GanttView[[#This Row],[Start]]+ROUND((GanttView[[#This Row],[Finish]]-GanttView[[#This Row],[Start]]+1)*GanttView[[#This Row],[%]],0)-1)))</f>
        <v>0</v>
      </c>
      <c r="R101" s="96" t="n">
        <f aca="false">IF(IFERROR(INDEX(tsk_Name,GanttView[[#This Row],[_Row]])="",TRUE()),0,IF(OR(INDEX(tsk_IsLeaf,GanttView[[#This Row],[_Row]])&lt;&gt;1,GanttView[[#This Row],[_IsMilestone]],N(GanttView[[#This Row],[%]])&gt;=1),0,IF(GanttView[[#This Row],[_DoneTo]]&gt;0,GanttView[[#This Row],[_DoneTo]]+1,GanttView[[#This Row],[Start]])))</f>
        <v>0</v>
      </c>
      <c r="S101" s="96" t="n">
        <f aca="false">IF(GanttView[[#This Row],[_RemFrom]]=0,0,GanttView[[#This Row],[Finish]])</f>
        <v>0</v>
      </c>
      <c r="T101" s="95" t="b">
        <f aca="false">IF(IFERROR(INDEX(tsk_Name,GanttView[[#This Row],[_Row]])="",TRUE()),FALSE(),N(INDEX(tsk_Variance,GanttView[[#This Row],[_Row]]))&gt;0)</f>
        <v>0</v>
      </c>
      <c r="U101" s="96" t="n">
        <f aca="false">IF(IFERROR(INDEX(tsk_Name,GanttView[[#This Row],[_Row]])="",TRUE()),0,N(INDEX(tsk_Deadline,GanttView[[#This Row],[_Row]])))</f>
        <v>0</v>
      </c>
      <c r="V101" s="95" t="b">
        <f aca="false">IF(IFERROR(INDEX(tsk_Name,GanttView[[#This Row],[_Row]])="",TRUE()),FALSE(),INDEX(tsk_Critical,GanttView[[#This Row],[_Row]])="Yes")</f>
        <v>0</v>
      </c>
    </row>
    <row r="102" customFormat="false" ht="15" hidden="false" customHeight="false" outlineLevel="0" collapsed="false">
      <c r="A102" s="89" t="str">
        <f aca="false">IF(IFERROR(INDEX(tsk_Name,GanttView[[#This Row],[_Row]])="",TRUE()),"",INDEX(tsk_ID,GanttView[[#This Row],[_Row]]))</f>
        <v/>
      </c>
      <c r="B102" s="90" t="str">
        <f aca="false">IF(IFERROR(INDEX(tsk_Name,GanttView[[#This Row],[_Row]])="",TRUE()),"",REPT("    ",INDEX(tsk_Level,GanttView[[#This Row],[_Row]])-1)&amp;INDEX(tsk_Name,GanttView[[#This Row],[_Row]]))</f>
        <v/>
      </c>
      <c r="C102" s="91" t="str">
        <f aca="false">IF(IFERROR(INDEX(tsk_Name,GanttView[[#This Row],[_Row]])="",TRUE()),"",INDEX(tsk_FcStart,GanttView[[#This Row],[_Row]]))</f>
        <v/>
      </c>
      <c r="D102" s="91" t="str">
        <f aca="false">IF(IFERROR(INDEX(tsk_Name,GanttView[[#This Row],[_Row]])="",TRUE()),"",INDEX(tsk_FcFinish,GanttView[[#This Row],[_Row]]))</f>
        <v/>
      </c>
      <c r="E102" s="92" t="str">
        <f aca="false">IF(IFERROR(INDEX(tsk_Name,GanttView[[#This Row],[_Row]])="",TRUE()),"",INDEX(tsk_Progress,GanttView[[#This Row],[_Row]]))</f>
        <v/>
      </c>
      <c r="F102" s="90" t="str">
        <f aca="false">IF(IFERROR(INDEX(tsk_Name,GanttView[[#This Row],[_Row]])="",TRUE()),"",INDEX(tsk_ResourceNames,GanttView[[#This Row],[_Row]])&amp;"")</f>
        <v/>
      </c>
      <c r="G102" s="89" t="str">
        <f aca="false">IF(IFERROR(INDEX(tsk_Name,GanttView[[#This Row],[_Row]])="",TRUE()),"",INDEX(tsk_WBS,GanttView[[#This Row],[_Row]]))</f>
        <v/>
      </c>
      <c r="H102" s="89" t="str">
        <f aca="false">IF(IFERROR(INDEX(tsk_Name,GanttView[[#This Row],[_Row]])="",TRUE()),"",IF(INDEX(tsk_IsSummary,GanttView[[#This Row],[_Row]]),NETWORKDAYS.INTL(INDEX(tsk_FcStart,GanttView[[#This Row],[_Row]]),INDEX(tsk_FcFinish,GanttView[[#This Row],[_Row]]),WorkWeek,Holidays),N(INDEX(tsk_Duration,GanttView[[#This Row],[_Row]]))))</f>
        <v/>
      </c>
      <c r="I102" s="91" t="str">
        <f aca="false">IF(IFERROR(INDEX(tsk_Name,GanttView[[#This Row],[_Row]])="",TRUE()),"",INDEX(tsk_PlanStart,GanttView[[#This Row],[_Row]]))</f>
        <v/>
      </c>
      <c r="J102" s="91" t="str">
        <f aca="false">IF(IFERROR(INDEX(tsk_Name,GanttView[[#This Row],[_Row]])="",TRUE()),"",INDEX(tsk_PlanFinish,GanttView[[#This Row],[_Row]]))</f>
        <v/>
      </c>
      <c r="K102" s="93" t="str">
        <f aca="false">IF(IFERROR(INDEX(tsk_Name,GanttView[[#This Row],[_Row]])="",TRUE()),"",INDEX(tsk_Status,GanttView[[#This Row],[_Row]]))</f>
        <v/>
      </c>
      <c r="L102" s="93" t="str">
        <f aca="false">IF(IFERROR(INDEX(tsk_Name,GanttView[[#This Row],[_Row]])="",TRUE()),"",INDEX(tsk_Show,GanttView[[#This Row],[_Row]])&amp;"")</f>
        <v/>
      </c>
      <c r="M102" s="94" t="n">
        <f aca="false">ROW()-ROW(GanttView[[#Headers],[ID]])</f>
        <v>97</v>
      </c>
      <c r="N102" s="95" t="b">
        <f aca="false">IF(IFERROR(INDEX(tsk_Name,GanttView[[#This Row],[_Row]])="",TRUE()),FALSE(),INDEX(tsk_IsSummary,GanttView[[#This Row],[_Row]]))</f>
        <v>0</v>
      </c>
      <c r="O102" s="95" t="b">
        <f aca="false">IF(IFERROR(INDEX(tsk_Name,GanttView[[#This Row],[_Row]])="",TRUE()),FALSE(),AND(INDEX(tsk_IsLeaf,GanttView[[#This Row],[_Row]])=1,N(INDEX(tsk_Duration,GanttView[[#This Row],[_Row]]))=0))</f>
        <v>0</v>
      </c>
      <c r="P102" s="96" t="n">
        <f aca="false">IF(IFERROR(INDEX(tsk_Name,GanttView[[#This Row],[_Row]])="",TRUE()),0,IF(AND(INDEX(tsk_IsLeaf,GanttView[[#This Row],[_Row]])=1,NOT(GanttView[[#This Row],[_IsMilestone]]),N(GanttView[[#This Row],[%]])&gt;0),GanttView[[#This Row],[Start]],0))</f>
        <v>0</v>
      </c>
      <c r="Q102" s="96" t="n">
        <f aca="false">IF(GanttView[[#This Row],[_DoneFrom]]=0,0,IF(GanttView[[#This Row],[%]]&gt;=1,GanttView[[#This Row],[Finish]],MAX(GanttView[[#This Row],[_DoneFrom]],GanttView[[#This Row],[Start]]+ROUND((GanttView[[#This Row],[Finish]]-GanttView[[#This Row],[Start]]+1)*GanttView[[#This Row],[%]],0)-1)))</f>
        <v>0</v>
      </c>
      <c r="R102" s="96" t="n">
        <f aca="false">IF(IFERROR(INDEX(tsk_Name,GanttView[[#This Row],[_Row]])="",TRUE()),0,IF(OR(INDEX(tsk_IsLeaf,GanttView[[#This Row],[_Row]])&lt;&gt;1,GanttView[[#This Row],[_IsMilestone]],N(GanttView[[#This Row],[%]])&gt;=1),0,IF(GanttView[[#This Row],[_DoneTo]]&gt;0,GanttView[[#This Row],[_DoneTo]]+1,GanttView[[#This Row],[Start]])))</f>
        <v>0</v>
      </c>
      <c r="S102" s="96" t="n">
        <f aca="false">IF(GanttView[[#This Row],[_RemFrom]]=0,0,GanttView[[#This Row],[Finish]])</f>
        <v>0</v>
      </c>
      <c r="T102" s="95" t="b">
        <f aca="false">IF(IFERROR(INDEX(tsk_Name,GanttView[[#This Row],[_Row]])="",TRUE()),FALSE(),N(INDEX(tsk_Variance,GanttView[[#This Row],[_Row]]))&gt;0)</f>
        <v>0</v>
      </c>
      <c r="U102" s="96" t="n">
        <f aca="false">IF(IFERROR(INDEX(tsk_Name,GanttView[[#This Row],[_Row]])="",TRUE()),0,N(INDEX(tsk_Deadline,GanttView[[#This Row],[_Row]])))</f>
        <v>0</v>
      </c>
      <c r="V102" s="95" t="b">
        <f aca="false">IF(IFERROR(INDEX(tsk_Name,GanttView[[#This Row],[_Row]])="",TRUE()),FALSE(),INDEX(tsk_Critical,GanttView[[#This Row],[_Row]])="Yes")</f>
        <v>0</v>
      </c>
    </row>
    <row r="103" customFormat="false" ht="15" hidden="false" customHeight="false" outlineLevel="0" collapsed="false">
      <c r="A103" s="89" t="str">
        <f aca="false">IF(IFERROR(INDEX(tsk_Name,GanttView[[#This Row],[_Row]])="",TRUE()),"",INDEX(tsk_ID,GanttView[[#This Row],[_Row]]))</f>
        <v/>
      </c>
      <c r="B103" s="90" t="str">
        <f aca="false">IF(IFERROR(INDEX(tsk_Name,GanttView[[#This Row],[_Row]])="",TRUE()),"",REPT("    ",INDEX(tsk_Level,GanttView[[#This Row],[_Row]])-1)&amp;INDEX(tsk_Name,GanttView[[#This Row],[_Row]]))</f>
        <v/>
      </c>
      <c r="C103" s="91" t="str">
        <f aca="false">IF(IFERROR(INDEX(tsk_Name,GanttView[[#This Row],[_Row]])="",TRUE()),"",INDEX(tsk_FcStart,GanttView[[#This Row],[_Row]]))</f>
        <v/>
      </c>
      <c r="D103" s="91" t="str">
        <f aca="false">IF(IFERROR(INDEX(tsk_Name,GanttView[[#This Row],[_Row]])="",TRUE()),"",INDEX(tsk_FcFinish,GanttView[[#This Row],[_Row]]))</f>
        <v/>
      </c>
      <c r="E103" s="92" t="str">
        <f aca="false">IF(IFERROR(INDEX(tsk_Name,GanttView[[#This Row],[_Row]])="",TRUE()),"",INDEX(tsk_Progress,GanttView[[#This Row],[_Row]]))</f>
        <v/>
      </c>
      <c r="F103" s="90" t="str">
        <f aca="false">IF(IFERROR(INDEX(tsk_Name,GanttView[[#This Row],[_Row]])="",TRUE()),"",INDEX(tsk_ResourceNames,GanttView[[#This Row],[_Row]])&amp;"")</f>
        <v/>
      </c>
      <c r="G103" s="89" t="str">
        <f aca="false">IF(IFERROR(INDEX(tsk_Name,GanttView[[#This Row],[_Row]])="",TRUE()),"",INDEX(tsk_WBS,GanttView[[#This Row],[_Row]]))</f>
        <v/>
      </c>
      <c r="H103" s="89" t="str">
        <f aca="false">IF(IFERROR(INDEX(tsk_Name,GanttView[[#This Row],[_Row]])="",TRUE()),"",IF(INDEX(tsk_IsSummary,GanttView[[#This Row],[_Row]]),NETWORKDAYS.INTL(INDEX(tsk_FcStart,GanttView[[#This Row],[_Row]]),INDEX(tsk_FcFinish,GanttView[[#This Row],[_Row]]),WorkWeek,Holidays),N(INDEX(tsk_Duration,GanttView[[#This Row],[_Row]]))))</f>
        <v/>
      </c>
      <c r="I103" s="91" t="str">
        <f aca="false">IF(IFERROR(INDEX(tsk_Name,GanttView[[#This Row],[_Row]])="",TRUE()),"",INDEX(tsk_PlanStart,GanttView[[#This Row],[_Row]]))</f>
        <v/>
      </c>
      <c r="J103" s="91" t="str">
        <f aca="false">IF(IFERROR(INDEX(tsk_Name,GanttView[[#This Row],[_Row]])="",TRUE()),"",INDEX(tsk_PlanFinish,GanttView[[#This Row],[_Row]]))</f>
        <v/>
      </c>
      <c r="K103" s="93" t="str">
        <f aca="false">IF(IFERROR(INDEX(tsk_Name,GanttView[[#This Row],[_Row]])="",TRUE()),"",INDEX(tsk_Status,GanttView[[#This Row],[_Row]]))</f>
        <v/>
      </c>
      <c r="L103" s="93" t="str">
        <f aca="false">IF(IFERROR(INDEX(tsk_Name,GanttView[[#This Row],[_Row]])="",TRUE()),"",INDEX(tsk_Show,GanttView[[#This Row],[_Row]])&amp;"")</f>
        <v/>
      </c>
      <c r="M103" s="94" t="n">
        <f aca="false">ROW()-ROW(GanttView[[#Headers],[ID]])</f>
        <v>98</v>
      </c>
      <c r="N103" s="95" t="b">
        <f aca="false">IF(IFERROR(INDEX(tsk_Name,GanttView[[#This Row],[_Row]])="",TRUE()),FALSE(),INDEX(tsk_IsSummary,GanttView[[#This Row],[_Row]]))</f>
        <v>0</v>
      </c>
      <c r="O103" s="95" t="b">
        <f aca="false">IF(IFERROR(INDEX(tsk_Name,GanttView[[#This Row],[_Row]])="",TRUE()),FALSE(),AND(INDEX(tsk_IsLeaf,GanttView[[#This Row],[_Row]])=1,N(INDEX(tsk_Duration,GanttView[[#This Row],[_Row]]))=0))</f>
        <v>0</v>
      </c>
      <c r="P103" s="96" t="n">
        <f aca="false">IF(IFERROR(INDEX(tsk_Name,GanttView[[#This Row],[_Row]])="",TRUE()),0,IF(AND(INDEX(tsk_IsLeaf,GanttView[[#This Row],[_Row]])=1,NOT(GanttView[[#This Row],[_IsMilestone]]),N(GanttView[[#This Row],[%]])&gt;0),GanttView[[#This Row],[Start]],0))</f>
        <v>0</v>
      </c>
      <c r="Q103" s="96" t="n">
        <f aca="false">IF(GanttView[[#This Row],[_DoneFrom]]=0,0,IF(GanttView[[#This Row],[%]]&gt;=1,GanttView[[#This Row],[Finish]],MAX(GanttView[[#This Row],[_DoneFrom]],GanttView[[#This Row],[Start]]+ROUND((GanttView[[#This Row],[Finish]]-GanttView[[#This Row],[Start]]+1)*GanttView[[#This Row],[%]],0)-1)))</f>
        <v>0</v>
      </c>
      <c r="R103" s="96" t="n">
        <f aca="false">IF(IFERROR(INDEX(tsk_Name,GanttView[[#This Row],[_Row]])="",TRUE()),0,IF(OR(INDEX(tsk_IsLeaf,GanttView[[#This Row],[_Row]])&lt;&gt;1,GanttView[[#This Row],[_IsMilestone]],N(GanttView[[#This Row],[%]])&gt;=1),0,IF(GanttView[[#This Row],[_DoneTo]]&gt;0,GanttView[[#This Row],[_DoneTo]]+1,GanttView[[#This Row],[Start]])))</f>
        <v>0</v>
      </c>
      <c r="S103" s="96" t="n">
        <f aca="false">IF(GanttView[[#This Row],[_RemFrom]]=0,0,GanttView[[#This Row],[Finish]])</f>
        <v>0</v>
      </c>
      <c r="T103" s="95" t="b">
        <f aca="false">IF(IFERROR(INDEX(tsk_Name,GanttView[[#This Row],[_Row]])="",TRUE()),FALSE(),N(INDEX(tsk_Variance,GanttView[[#This Row],[_Row]]))&gt;0)</f>
        <v>0</v>
      </c>
      <c r="U103" s="96" t="n">
        <f aca="false">IF(IFERROR(INDEX(tsk_Name,GanttView[[#This Row],[_Row]])="",TRUE()),0,N(INDEX(tsk_Deadline,GanttView[[#This Row],[_Row]])))</f>
        <v>0</v>
      </c>
      <c r="V103" s="95" t="b">
        <f aca="false">IF(IFERROR(INDEX(tsk_Name,GanttView[[#This Row],[_Row]])="",TRUE()),FALSE(),INDEX(tsk_Critical,GanttView[[#This Row],[_Row]])="Yes")</f>
        <v>0</v>
      </c>
    </row>
    <row r="104" customFormat="false" ht="15" hidden="false" customHeight="false" outlineLevel="0" collapsed="false">
      <c r="A104" s="89" t="str">
        <f aca="false">IF(IFERROR(INDEX(tsk_Name,GanttView[[#This Row],[_Row]])="",TRUE()),"",INDEX(tsk_ID,GanttView[[#This Row],[_Row]]))</f>
        <v/>
      </c>
      <c r="B104" s="90" t="str">
        <f aca="false">IF(IFERROR(INDEX(tsk_Name,GanttView[[#This Row],[_Row]])="",TRUE()),"",REPT("    ",INDEX(tsk_Level,GanttView[[#This Row],[_Row]])-1)&amp;INDEX(tsk_Name,GanttView[[#This Row],[_Row]]))</f>
        <v/>
      </c>
      <c r="C104" s="91" t="str">
        <f aca="false">IF(IFERROR(INDEX(tsk_Name,GanttView[[#This Row],[_Row]])="",TRUE()),"",INDEX(tsk_FcStart,GanttView[[#This Row],[_Row]]))</f>
        <v/>
      </c>
      <c r="D104" s="91" t="str">
        <f aca="false">IF(IFERROR(INDEX(tsk_Name,GanttView[[#This Row],[_Row]])="",TRUE()),"",INDEX(tsk_FcFinish,GanttView[[#This Row],[_Row]]))</f>
        <v/>
      </c>
      <c r="E104" s="92" t="str">
        <f aca="false">IF(IFERROR(INDEX(tsk_Name,GanttView[[#This Row],[_Row]])="",TRUE()),"",INDEX(tsk_Progress,GanttView[[#This Row],[_Row]]))</f>
        <v/>
      </c>
      <c r="F104" s="90" t="str">
        <f aca="false">IF(IFERROR(INDEX(tsk_Name,GanttView[[#This Row],[_Row]])="",TRUE()),"",INDEX(tsk_ResourceNames,GanttView[[#This Row],[_Row]])&amp;"")</f>
        <v/>
      </c>
      <c r="G104" s="89" t="str">
        <f aca="false">IF(IFERROR(INDEX(tsk_Name,GanttView[[#This Row],[_Row]])="",TRUE()),"",INDEX(tsk_WBS,GanttView[[#This Row],[_Row]]))</f>
        <v/>
      </c>
      <c r="H104" s="89" t="str">
        <f aca="false">IF(IFERROR(INDEX(tsk_Name,GanttView[[#This Row],[_Row]])="",TRUE()),"",IF(INDEX(tsk_IsSummary,GanttView[[#This Row],[_Row]]),NETWORKDAYS.INTL(INDEX(tsk_FcStart,GanttView[[#This Row],[_Row]]),INDEX(tsk_FcFinish,GanttView[[#This Row],[_Row]]),WorkWeek,Holidays),N(INDEX(tsk_Duration,GanttView[[#This Row],[_Row]]))))</f>
        <v/>
      </c>
      <c r="I104" s="91" t="str">
        <f aca="false">IF(IFERROR(INDEX(tsk_Name,GanttView[[#This Row],[_Row]])="",TRUE()),"",INDEX(tsk_PlanStart,GanttView[[#This Row],[_Row]]))</f>
        <v/>
      </c>
      <c r="J104" s="91" t="str">
        <f aca="false">IF(IFERROR(INDEX(tsk_Name,GanttView[[#This Row],[_Row]])="",TRUE()),"",INDEX(tsk_PlanFinish,GanttView[[#This Row],[_Row]]))</f>
        <v/>
      </c>
      <c r="K104" s="93" t="str">
        <f aca="false">IF(IFERROR(INDEX(tsk_Name,GanttView[[#This Row],[_Row]])="",TRUE()),"",INDEX(tsk_Status,GanttView[[#This Row],[_Row]]))</f>
        <v/>
      </c>
      <c r="L104" s="93" t="str">
        <f aca="false">IF(IFERROR(INDEX(tsk_Name,GanttView[[#This Row],[_Row]])="",TRUE()),"",INDEX(tsk_Show,GanttView[[#This Row],[_Row]])&amp;"")</f>
        <v/>
      </c>
      <c r="M104" s="94" t="n">
        <f aca="false">ROW()-ROW(GanttView[[#Headers],[ID]])</f>
        <v>99</v>
      </c>
      <c r="N104" s="95" t="b">
        <f aca="false">IF(IFERROR(INDEX(tsk_Name,GanttView[[#This Row],[_Row]])="",TRUE()),FALSE(),INDEX(tsk_IsSummary,GanttView[[#This Row],[_Row]]))</f>
        <v>0</v>
      </c>
      <c r="O104" s="95" t="b">
        <f aca="false">IF(IFERROR(INDEX(tsk_Name,GanttView[[#This Row],[_Row]])="",TRUE()),FALSE(),AND(INDEX(tsk_IsLeaf,GanttView[[#This Row],[_Row]])=1,N(INDEX(tsk_Duration,GanttView[[#This Row],[_Row]]))=0))</f>
        <v>0</v>
      </c>
      <c r="P104" s="96" t="n">
        <f aca="false">IF(IFERROR(INDEX(tsk_Name,GanttView[[#This Row],[_Row]])="",TRUE()),0,IF(AND(INDEX(tsk_IsLeaf,GanttView[[#This Row],[_Row]])=1,NOT(GanttView[[#This Row],[_IsMilestone]]),N(GanttView[[#This Row],[%]])&gt;0),GanttView[[#This Row],[Start]],0))</f>
        <v>0</v>
      </c>
      <c r="Q104" s="96" t="n">
        <f aca="false">IF(GanttView[[#This Row],[_DoneFrom]]=0,0,IF(GanttView[[#This Row],[%]]&gt;=1,GanttView[[#This Row],[Finish]],MAX(GanttView[[#This Row],[_DoneFrom]],GanttView[[#This Row],[Start]]+ROUND((GanttView[[#This Row],[Finish]]-GanttView[[#This Row],[Start]]+1)*GanttView[[#This Row],[%]],0)-1)))</f>
        <v>0</v>
      </c>
      <c r="R104" s="96" t="n">
        <f aca="false">IF(IFERROR(INDEX(tsk_Name,GanttView[[#This Row],[_Row]])="",TRUE()),0,IF(OR(INDEX(tsk_IsLeaf,GanttView[[#This Row],[_Row]])&lt;&gt;1,GanttView[[#This Row],[_IsMilestone]],N(GanttView[[#This Row],[%]])&gt;=1),0,IF(GanttView[[#This Row],[_DoneTo]]&gt;0,GanttView[[#This Row],[_DoneTo]]+1,GanttView[[#This Row],[Start]])))</f>
        <v>0</v>
      </c>
      <c r="S104" s="96" t="n">
        <f aca="false">IF(GanttView[[#This Row],[_RemFrom]]=0,0,GanttView[[#This Row],[Finish]])</f>
        <v>0</v>
      </c>
      <c r="T104" s="95" t="b">
        <f aca="false">IF(IFERROR(INDEX(tsk_Name,GanttView[[#This Row],[_Row]])="",TRUE()),FALSE(),N(INDEX(tsk_Variance,GanttView[[#This Row],[_Row]]))&gt;0)</f>
        <v>0</v>
      </c>
      <c r="U104" s="96" t="n">
        <f aca="false">IF(IFERROR(INDEX(tsk_Name,GanttView[[#This Row],[_Row]])="",TRUE()),0,N(INDEX(tsk_Deadline,GanttView[[#This Row],[_Row]])))</f>
        <v>0</v>
      </c>
      <c r="V104" s="95" t="b">
        <f aca="false">IF(IFERROR(INDEX(tsk_Name,GanttView[[#This Row],[_Row]])="",TRUE()),FALSE(),INDEX(tsk_Critical,GanttView[[#This Row],[_Row]])="Yes")</f>
        <v>0</v>
      </c>
    </row>
    <row r="105" customFormat="false" ht="15" hidden="false" customHeight="false" outlineLevel="0" collapsed="false">
      <c r="A105" s="89" t="str">
        <f aca="false">IF(IFERROR(INDEX(tsk_Name,GanttView[[#This Row],[_Row]])="",TRUE()),"",INDEX(tsk_ID,GanttView[[#This Row],[_Row]]))</f>
        <v/>
      </c>
      <c r="B105" s="90" t="str">
        <f aca="false">IF(IFERROR(INDEX(tsk_Name,GanttView[[#This Row],[_Row]])="",TRUE()),"",REPT("    ",INDEX(tsk_Level,GanttView[[#This Row],[_Row]])-1)&amp;INDEX(tsk_Name,GanttView[[#This Row],[_Row]]))</f>
        <v/>
      </c>
      <c r="C105" s="91" t="str">
        <f aca="false">IF(IFERROR(INDEX(tsk_Name,GanttView[[#This Row],[_Row]])="",TRUE()),"",INDEX(tsk_FcStart,GanttView[[#This Row],[_Row]]))</f>
        <v/>
      </c>
      <c r="D105" s="91" t="str">
        <f aca="false">IF(IFERROR(INDEX(tsk_Name,GanttView[[#This Row],[_Row]])="",TRUE()),"",INDEX(tsk_FcFinish,GanttView[[#This Row],[_Row]]))</f>
        <v/>
      </c>
      <c r="E105" s="92" t="str">
        <f aca="false">IF(IFERROR(INDEX(tsk_Name,GanttView[[#This Row],[_Row]])="",TRUE()),"",INDEX(tsk_Progress,GanttView[[#This Row],[_Row]]))</f>
        <v/>
      </c>
      <c r="F105" s="90" t="str">
        <f aca="false">IF(IFERROR(INDEX(tsk_Name,GanttView[[#This Row],[_Row]])="",TRUE()),"",INDEX(tsk_ResourceNames,GanttView[[#This Row],[_Row]])&amp;"")</f>
        <v/>
      </c>
      <c r="G105" s="89" t="str">
        <f aca="false">IF(IFERROR(INDEX(tsk_Name,GanttView[[#This Row],[_Row]])="",TRUE()),"",INDEX(tsk_WBS,GanttView[[#This Row],[_Row]]))</f>
        <v/>
      </c>
      <c r="H105" s="89" t="str">
        <f aca="false">IF(IFERROR(INDEX(tsk_Name,GanttView[[#This Row],[_Row]])="",TRUE()),"",IF(INDEX(tsk_IsSummary,GanttView[[#This Row],[_Row]]),NETWORKDAYS.INTL(INDEX(tsk_FcStart,GanttView[[#This Row],[_Row]]),INDEX(tsk_FcFinish,GanttView[[#This Row],[_Row]]),WorkWeek,Holidays),N(INDEX(tsk_Duration,GanttView[[#This Row],[_Row]]))))</f>
        <v/>
      </c>
      <c r="I105" s="91" t="str">
        <f aca="false">IF(IFERROR(INDEX(tsk_Name,GanttView[[#This Row],[_Row]])="",TRUE()),"",INDEX(tsk_PlanStart,GanttView[[#This Row],[_Row]]))</f>
        <v/>
      </c>
      <c r="J105" s="91" t="str">
        <f aca="false">IF(IFERROR(INDEX(tsk_Name,GanttView[[#This Row],[_Row]])="",TRUE()),"",INDEX(tsk_PlanFinish,GanttView[[#This Row],[_Row]]))</f>
        <v/>
      </c>
      <c r="K105" s="93" t="str">
        <f aca="false">IF(IFERROR(INDEX(tsk_Name,GanttView[[#This Row],[_Row]])="",TRUE()),"",INDEX(tsk_Status,GanttView[[#This Row],[_Row]]))</f>
        <v/>
      </c>
      <c r="L105" s="93" t="str">
        <f aca="false">IF(IFERROR(INDEX(tsk_Name,GanttView[[#This Row],[_Row]])="",TRUE()),"",INDEX(tsk_Show,GanttView[[#This Row],[_Row]])&amp;"")</f>
        <v/>
      </c>
      <c r="M105" s="94" t="n">
        <f aca="false">ROW()-ROW(GanttView[[#Headers],[ID]])</f>
        <v>100</v>
      </c>
      <c r="N105" s="95" t="b">
        <f aca="false">IF(IFERROR(INDEX(tsk_Name,GanttView[[#This Row],[_Row]])="",TRUE()),FALSE(),INDEX(tsk_IsSummary,GanttView[[#This Row],[_Row]]))</f>
        <v>0</v>
      </c>
      <c r="O105" s="95" t="b">
        <f aca="false">IF(IFERROR(INDEX(tsk_Name,GanttView[[#This Row],[_Row]])="",TRUE()),FALSE(),AND(INDEX(tsk_IsLeaf,GanttView[[#This Row],[_Row]])=1,N(INDEX(tsk_Duration,GanttView[[#This Row],[_Row]]))=0))</f>
        <v>0</v>
      </c>
      <c r="P105" s="96" t="n">
        <f aca="false">IF(IFERROR(INDEX(tsk_Name,GanttView[[#This Row],[_Row]])="",TRUE()),0,IF(AND(INDEX(tsk_IsLeaf,GanttView[[#This Row],[_Row]])=1,NOT(GanttView[[#This Row],[_IsMilestone]]),N(GanttView[[#This Row],[%]])&gt;0),GanttView[[#This Row],[Start]],0))</f>
        <v>0</v>
      </c>
      <c r="Q105" s="96" t="n">
        <f aca="false">IF(GanttView[[#This Row],[_DoneFrom]]=0,0,IF(GanttView[[#This Row],[%]]&gt;=1,GanttView[[#This Row],[Finish]],MAX(GanttView[[#This Row],[_DoneFrom]],GanttView[[#This Row],[Start]]+ROUND((GanttView[[#This Row],[Finish]]-GanttView[[#This Row],[Start]]+1)*GanttView[[#This Row],[%]],0)-1)))</f>
        <v>0</v>
      </c>
      <c r="R105" s="96" t="n">
        <f aca="false">IF(IFERROR(INDEX(tsk_Name,GanttView[[#This Row],[_Row]])="",TRUE()),0,IF(OR(INDEX(tsk_IsLeaf,GanttView[[#This Row],[_Row]])&lt;&gt;1,GanttView[[#This Row],[_IsMilestone]],N(GanttView[[#This Row],[%]])&gt;=1),0,IF(GanttView[[#This Row],[_DoneTo]]&gt;0,GanttView[[#This Row],[_DoneTo]]+1,GanttView[[#This Row],[Start]])))</f>
        <v>0</v>
      </c>
      <c r="S105" s="96" t="n">
        <f aca="false">IF(GanttView[[#This Row],[_RemFrom]]=0,0,GanttView[[#This Row],[Finish]])</f>
        <v>0</v>
      </c>
      <c r="T105" s="95" t="b">
        <f aca="false">IF(IFERROR(INDEX(tsk_Name,GanttView[[#This Row],[_Row]])="",TRUE()),FALSE(),N(INDEX(tsk_Variance,GanttView[[#This Row],[_Row]]))&gt;0)</f>
        <v>0</v>
      </c>
      <c r="U105" s="96" t="n">
        <f aca="false">IF(IFERROR(INDEX(tsk_Name,GanttView[[#This Row],[_Row]])="",TRUE()),0,N(INDEX(tsk_Deadline,GanttView[[#This Row],[_Row]])))</f>
        <v>0</v>
      </c>
      <c r="V105" s="95" t="b">
        <f aca="false">IF(IFERROR(INDEX(tsk_Name,GanttView[[#This Row],[_Row]])="",TRUE()),FALSE(),INDEX(tsk_Critical,GanttView[[#This Row],[_Row]])="Yes")</f>
        <v>0</v>
      </c>
    </row>
    <row r="106" customFormat="false" ht="15" hidden="false" customHeight="false" outlineLevel="0" collapsed="false">
      <c r="A106" s="89" t="str">
        <f aca="false">IF(IFERROR(INDEX(tsk_Name,GanttView[[#This Row],[_Row]])="",TRUE()),"",INDEX(tsk_ID,GanttView[[#This Row],[_Row]]))</f>
        <v/>
      </c>
      <c r="B106" s="90" t="str">
        <f aca="false">IF(IFERROR(INDEX(tsk_Name,GanttView[[#This Row],[_Row]])="",TRUE()),"",REPT("    ",INDEX(tsk_Level,GanttView[[#This Row],[_Row]])-1)&amp;INDEX(tsk_Name,GanttView[[#This Row],[_Row]]))</f>
        <v/>
      </c>
      <c r="C106" s="91" t="str">
        <f aca="false">IF(IFERROR(INDEX(tsk_Name,GanttView[[#This Row],[_Row]])="",TRUE()),"",INDEX(tsk_FcStart,GanttView[[#This Row],[_Row]]))</f>
        <v/>
      </c>
      <c r="D106" s="91" t="str">
        <f aca="false">IF(IFERROR(INDEX(tsk_Name,GanttView[[#This Row],[_Row]])="",TRUE()),"",INDEX(tsk_FcFinish,GanttView[[#This Row],[_Row]]))</f>
        <v/>
      </c>
      <c r="E106" s="92" t="str">
        <f aca="false">IF(IFERROR(INDEX(tsk_Name,GanttView[[#This Row],[_Row]])="",TRUE()),"",INDEX(tsk_Progress,GanttView[[#This Row],[_Row]]))</f>
        <v/>
      </c>
      <c r="F106" s="90" t="str">
        <f aca="false">IF(IFERROR(INDEX(tsk_Name,GanttView[[#This Row],[_Row]])="",TRUE()),"",INDEX(tsk_ResourceNames,GanttView[[#This Row],[_Row]])&amp;"")</f>
        <v/>
      </c>
      <c r="G106" s="89" t="str">
        <f aca="false">IF(IFERROR(INDEX(tsk_Name,GanttView[[#This Row],[_Row]])="",TRUE()),"",INDEX(tsk_WBS,GanttView[[#This Row],[_Row]]))</f>
        <v/>
      </c>
      <c r="H106" s="89" t="str">
        <f aca="false">IF(IFERROR(INDEX(tsk_Name,GanttView[[#This Row],[_Row]])="",TRUE()),"",IF(INDEX(tsk_IsSummary,GanttView[[#This Row],[_Row]]),NETWORKDAYS.INTL(INDEX(tsk_FcStart,GanttView[[#This Row],[_Row]]),INDEX(tsk_FcFinish,GanttView[[#This Row],[_Row]]),WorkWeek,Holidays),N(INDEX(tsk_Duration,GanttView[[#This Row],[_Row]]))))</f>
        <v/>
      </c>
      <c r="I106" s="91" t="str">
        <f aca="false">IF(IFERROR(INDEX(tsk_Name,GanttView[[#This Row],[_Row]])="",TRUE()),"",INDEX(tsk_PlanStart,GanttView[[#This Row],[_Row]]))</f>
        <v/>
      </c>
      <c r="J106" s="91" t="str">
        <f aca="false">IF(IFERROR(INDEX(tsk_Name,GanttView[[#This Row],[_Row]])="",TRUE()),"",INDEX(tsk_PlanFinish,GanttView[[#This Row],[_Row]]))</f>
        <v/>
      </c>
      <c r="K106" s="93" t="str">
        <f aca="false">IF(IFERROR(INDEX(tsk_Name,GanttView[[#This Row],[_Row]])="",TRUE()),"",INDEX(tsk_Status,GanttView[[#This Row],[_Row]]))</f>
        <v/>
      </c>
      <c r="L106" s="93" t="str">
        <f aca="false">IF(IFERROR(INDEX(tsk_Name,GanttView[[#This Row],[_Row]])="",TRUE()),"",INDEX(tsk_Show,GanttView[[#This Row],[_Row]])&amp;"")</f>
        <v/>
      </c>
      <c r="M106" s="94" t="n">
        <f aca="false">ROW()-ROW(GanttView[[#Headers],[ID]])</f>
        <v>101</v>
      </c>
      <c r="N106" s="95" t="b">
        <f aca="false">IF(IFERROR(INDEX(tsk_Name,GanttView[[#This Row],[_Row]])="",TRUE()),FALSE(),INDEX(tsk_IsSummary,GanttView[[#This Row],[_Row]]))</f>
        <v>0</v>
      </c>
      <c r="O106" s="95" t="b">
        <f aca="false">IF(IFERROR(INDEX(tsk_Name,GanttView[[#This Row],[_Row]])="",TRUE()),FALSE(),AND(INDEX(tsk_IsLeaf,GanttView[[#This Row],[_Row]])=1,N(INDEX(tsk_Duration,GanttView[[#This Row],[_Row]]))=0))</f>
        <v>0</v>
      </c>
      <c r="P106" s="96" t="n">
        <f aca="false">IF(IFERROR(INDEX(tsk_Name,GanttView[[#This Row],[_Row]])="",TRUE()),0,IF(AND(INDEX(tsk_IsLeaf,GanttView[[#This Row],[_Row]])=1,NOT(GanttView[[#This Row],[_IsMilestone]]),N(GanttView[[#This Row],[%]])&gt;0),GanttView[[#This Row],[Start]],0))</f>
        <v>0</v>
      </c>
      <c r="Q106" s="96" t="n">
        <f aca="false">IF(GanttView[[#This Row],[_DoneFrom]]=0,0,IF(GanttView[[#This Row],[%]]&gt;=1,GanttView[[#This Row],[Finish]],MAX(GanttView[[#This Row],[_DoneFrom]],GanttView[[#This Row],[Start]]+ROUND((GanttView[[#This Row],[Finish]]-GanttView[[#This Row],[Start]]+1)*GanttView[[#This Row],[%]],0)-1)))</f>
        <v>0</v>
      </c>
      <c r="R106" s="96" t="n">
        <f aca="false">IF(IFERROR(INDEX(tsk_Name,GanttView[[#This Row],[_Row]])="",TRUE()),0,IF(OR(INDEX(tsk_IsLeaf,GanttView[[#This Row],[_Row]])&lt;&gt;1,GanttView[[#This Row],[_IsMilestone]],N(GanttView[[#This Row],[%]])&gt;=1),0,IF(GanttView[[#This Row],[_DoneTo]]&gt;0,GanttView[[#This Row],[_DoneTo]]+1,GanttView[[#This Row],[Start]])))</f>
        <v>0</v>
      </c>
      <c r="S106" s="96" t="n">
        <f aca="false">IF(GanttView[[#This Row],[_RemFrom]]=0,0,GanttView[[#This Row],[Finish]])</f>
        <v>0</v>
      </c>
      <c r="T106" s="95" t="b">
        <f aca="false">IF(IFERROR(INDEX(tsk_Name,GanttView[[#This Row],[_Row]])="",TRUE()),FALSE(),N(INDEX(tsk_Variance,GanttView[[#This Row],[_Row]]))&gt;0)</f>
        <v>0</v>
      </c>
      <c r="U106" s="96" t="n">
        <f aca="false">IF(IFERROR(INDEX(tsk_Name,GanttView[[#This Row],[_Row]])="",TRUE()),0,N(INDEX(tsk_Deadline,GanttView[[#This Row],[_Row]])))</f>
        <v>0</v>
      </c>
      <c r="V106" s="95" t="b">
        <f aca="false">IF(IFERROR(INDEX(tsk_Name,GanttView[[#This Row],[_Row]])="",TRUE()),FALSE(),INDEX(tsk_Critical,GanttView[[#This Row],[_Row]])="Yes")</f>
        <v>0</v>
      </c>
    </row>
    <row r="107" customFormat="false" ht="15" hidden="false" customHeight="false" outlineLevel="0" collapsed="false">
      <c r="A107" s="89" t="str">
        <f aca="false">IF(IFERROR(INDEX(tsk_Name,GanttView[[#This Row],[_Row]])="",TRUE()),"",INDEX(tsk_ID,GanttView[[#This Row],[_Row]]))</f>
        <v/>
      </c>
      <c r="B107" s="90" t="str">
        <f aca="false">IF(IFERROR(INDEX(tsk_Name,GanttView[[#This Row],[_Row]])="",TRUE()),"",REPT("    ",INDEX(tsk_Level,GanttView[[#This Row],[_Row]])-1)&amp;INDEX(tsk_Name,GanttView[[#This Row],[_Row]]))</f>
        <v/>
      </c>
      <c r="C107" s="91" t="str">
        <f aca="false">IF(IFERROR(INDEX(tsk_Name,GanttView[[#This Row],[_Row]])="",TRUE()),"",INDEX(tsk_FcStart,GanttView[[#This Row],[_Row]]))</f>
        <v/>
      </c>
      <c r="D107" s="91" t="str">
        <f aca="false">IF(IFERROR(INDEX(tsk_Name,GanttView[[#This Row],[_Row]])="",TRUE()),"",INDEX(tsk_FcFinish,GanttView[[#This Row],[_Row]]))</f>
        <v/>
      </c>
      <c r="E107" s="92" t="str">
        <f aca="false">IF(IFERROR(INDEX(tsk_Name,GanttView[[#This Row],[_Row]])="",TRUE()),"",INDEX(tsk_Progress,GanttView[[#This Row],[_Row]]))</f>
        <v/>
      </c>
      <c r="F107" s="90" t="str">
        <f aca="false">IF(IFERROR(INDEX(tsk_Name,GanttView[[#This Row],[_Row]])="",TRUE()),"",INDEX(tsk_ResourceNames,GanttView[[#This Row],[_Row]])&amp;"")</f>
        <v/>
      </c>
      <c r="G107" s="89" t="str">
        <f aca="false">IF(IFERROR(INDEX(tsk_Name,GanttView[[#This Row],[_Row]])="",TRUE()),"",INDEX(tsk_WBS,GanttView[[#This Row],[_Row]]))</f>
        <v/>
      </c>
      <c r="H107" s="89" t="str">
        <f aca="false">IF(IFERROR(INDEX(tsk_Name,GanttView[[#This Row],[_Row]])="",TRUE()),"",IF(INDEX(tsk_IsSummary,GanttView[[#This Row],[_Row]]),NETWORKDAYS.INTL(INDEX(tsk_FcStart,GanttView[[#This Row],[_Row]]),INDEX(tsk_FcFinish,GanttView[[#This Row],[_Row]]),WorkWeek,Holidays),N(INDEX(tsk_Duration,GanttView[[#This Row],[_Row]]))))</f>
        <v/>
      </c>
      <c r="I107" s="91" t="str">
        <f aca="false">IF(IFERROR(INDEX(tsk_Name,GanttView[[#This Row],[_Row]])="",TRUE()),"",INDEX(tsk_PlanStart,GanttView[[#This Row],[_Row]]))</f>
        <v/>
      </c>
      <c r="J107" s="91" t="str">
        <f aca="false">IF(IFERROR(INDEX(tsk_Name,GanttView[[#This Row],[_Row]])="",TRUE()),"",INDEX(tsk_PlanFinish,GanttView[[#This Row],[_Row]]))</f>
        <v/>
      </c>
      <c r="K107" s="93" t="str">
        <f aca="false">IF(IFERROR(INDEX(tsk_Name,GanttView[[#This Row],[_Row]])="",TRUE()),"",INDEX(tsk_Status,GanttView[[#This Row],[_Row]]))</f>
        <v/>
      </c>
      <c r="L107" s="93" t="str">
        <f aca="false">IF(IFERROR(INDEX(tsk_Name,GanttView[[#This Row],[_Row]])="",TRUE()),"",INDEX(tsk_Show,GanttView[[#This Row],[_Row]])&amp;"")</f>
        <v/>
      </c>
      <c r="M107" s="94" t="n">
        <f aca="false">ROW()-ROW(GanttView[[#Headers],[ID]])</f>
        <v>102</v>
      </c>
      <c r="N107" s="95" t="b">
        <f aca="false">IF(IFERROR(INDEX(tsk_Name,GanttView[[#This Row],[_Row]])="",TRUE()),FALSE(),INDEX(tsk_IsSummary,GanttView[[#This Row],[_Row]]))</f>
        <v>0</v>
      </c>
      <c r="O107" s="95" t="b">
        <f aca="false">IF(IFERROR(INDEX(tsk_Name,GanttView[[#This Row],[_Row]])="",TRUE()),FALSE(),AND(INDEX(tsk_IsLeaf,GanttView[[#This Row],[_Row]])=1,N(INDEX(tsk_Duration,GanttView[[#This Row],[_Row]]))=0))</f>
        <v>0</v>
      </c>
      <c r="P107" s="96" t="n">
        <f aca="false">IF(IFERROR(INDEX(tsk_Name,GanttView[[#This Row],[_Row]])="",TRUE()),0,IF(AND(INDEX(tsk_IsLeaf,GanttView[[#This Row],[_Row]])=1,NOT(GanttView[[#This Row],[_IsMilestone]]),N(GanttView[[#This Row],[%]])&gt;0),GanttView[[#This Row],[Start]],0))</f>
        <v>0</v>
      </c>
      <c r="Q107" s="96" t="n">
        <f aca="false">IF(GanttView[[#This Row],[_DoneFrom]]=0,0,IF(GanttView[[#This Row],[%]]&gt;=1,GanttView[[#This Row],[Finish]],MAX(GanttView[[#This Row],[_DoneFrom]],GanttView[[#This Row],[Start]]+ROUND((GanttView[[#This Row],[Finish]]-GanttView[[#This Row],[Start]]+1)*GanttView[[#This Row],[%]],0)-1)))</f>
        <v>0</v>
      </c>
      <c r="R107" s="96" t="n">
        <f aca="false">IF(IFERROR(INDEX(tsk_Name,GanttView[[#This Row],[_Row]])="",TRUE()),0,IF(OR(INDEX(tsk_IsLeaf,GanttView[[#This Row],[_Row]])&lt;&gt;1,GanttView[[#This Row],[_IsMilestone]],N(GanttView[[#This Row],[%]])&gt;=1),0,IF(GanttView[[#This Row],[_DoneTo]]&gt;0,GanttView[[#This Row],[_DoneTo]]+1,GanttView[[#This Row],[Start]])))</f>
        <v>0</v>
      </c>
      <c r="S107" s="96" t="n">
        <f aca="false">IF(GanttView[[#This Row],[_RemFrom]]=0,0,GanttView[[#This Row],[Finish]])</f>
        <v>0</v>
      </c>
      <c r="T107" s="95" t="b">
        <f aca="false">IF(IFERROR(INDEX(tsk_Name,GanttView[[#This Row],[_Row]])="",TRUE()),FALSE(),N(INDEX(tsk_Variance,GanttView[[#This Row],[_Row]]))&gt;0)</f>
        <v>0</v>
      </c>
      <c r="U107" s="96" t="n">
        <f aca="false">IF(IFERROR(INDEX(tsk_Name,GanttView[[#This Row],[_Row]])="",TRUE()),0,N(INDEX(tsk_Deadline,GanttView[[#This Row],[_Row]])))</f>
        <v>0</v>
      </c>
      <c r="V107" s="95" t="b">
        <f aca="false">IF(IFERROR(INDEX(tsk_Name,GanttView[[#This Row],[_Row]])="",TRUE()),FALSE(),INDEX(tsk_Critical,GanttView[[#This Row],[_Row]])="Yes")</f>
        <v>0</v>
      </c>
    </row>
    <row r="108" customFormat="false" ht="15" hidden="false" customHeight="false" outlineLevel="0" collapsed="false">
      <c r="A108" s="89" t="str">
        <f aca="false">IF(IFERROR(INDEX(tsk_Name,GanttView[[#This Row],[_Row]])="",TRUE()),"",INDEX(tsk_ID,GanttView[[#This Row],[_Row]]))</f>
        <v/>
      </c>
      <c r="B108" s="90" t="str">
        <f aca="false">IF(IFERROR(INDEX(tsk_Name,GanttView[[#This Row],[_Row]])="",TRUE()),"",REPT("    ",INDEX(tsk_Level,GanttView[[#This Row],[_Row]])-1)&amp;INDEX(tsk_Name,GanttView[[#This Row],[_Row]]))</f>
        <v/>
      </c>
      <c r="C108" s="91" t="str">
        <f aca="false">IF(IFERROR(INDEX(tsk_Name,GanttView[[#This Row],[_Row]])="",TRUE()),"",INDEX(tsk_FcStart,GanttView[[#This Row],[_Row]]))</f>
        <v/>
      </c>
      <c r="D108" s="91" t="str">
        <f aca="false">IF(IFERROR(INDEX(tsk_Name,GanttView[[#This Row],[_Row]])="",TRUE()),"",INDEX(tsk_FcFinish,GanttView[[#This Row],[_Row]]))</f>
        <v/>
      </c>
      <c r="E108" s="92" t="str">
        <f aca="false">IF(IFERROR(INDEX(tsk_Name,GanttView[[#This Row],[_Row]])="",TRUE()),"",INDEX(tsk_Progress,GanttView[[#This Row],[_Row]]))</f>
        <v/>
      </c>
      <c r="F108" s="90" t="str">
        <f aca="false">IF(IFERROR(INDEX(tsk_Name,GanttView[[#This Row],[_Row]])="",TRUE()),"",INDEX(tsk_ResourceNames,GanttView[[#This Row],[_Row]])&amp;"")</f>
        <v/>
      </c>
      <c r="G108" s="89" t="str">
        <f aca="false">IF(IFERROR(INDEX(tsk_Name,GanttView[[#This Row],[_Row]])="",TRUE()),"",INDEX(tsk_WBS,GanttView[[#This Row],[_Row]]))</f>
        <v/>
      </c>
      <c r="H108" s="89" t="str">
        <f aca="false">IF(IFERROR(INDEX(tsk_Name,GanttView[[#This Row],[_Row]])="",TRUE()),"",IF(INDEX(tsk_IsSummary,GanttView[[#This Row],[_Row]]),NETWORKDAYS.INTL(INDEX(tsk_FcStart,GanttView[[#This Row],[_Row]]),INDEX(tsk_FcFinish,GanttView[[#This Row],[_Row]]),WorkWeek,Holidays),N(INDEX(tsk_Duration,GanttView[[#This Row],[_Row]]))))</f>
        <v/>
      </c>
      <c r="I108" s="91" t="str">
        <f aca="false">IF(IFERROR(INDEX(tsk_Name,GanttView[[#This Row],[_Row]])="",TRUE()),"",INDEX(tsk_PlanStart,GanttView[[#This Row],[_Row]]))</f>
        <v/>
      </c>
      <c r="J108" s="91" t="str">
        <f aca="false">IF(IFERROR(INDEX(tsk_Name,GanttView[[#This Row],[_Row]])="",TRUE()),"",INDEX(tsk_PlanFinish,GanttView[[#This Row],[_Row]]))</f>
        <v/>
      </c>
      <c r="K108" s="93" t="str">
        <f aca="false">IF(IFERROR(INDEX(tsk_Name,GanttView[[#This Row],[_Row]])="",TRUE()),"",INDEX(tsk_Status,GanttView[[#This Row],[_Row]]))</f>
        <v/>
      </c>
      <c r="L108" s="93" t="str">
        <f aca="false">IF(IFERROR(INDEX(tsk_Name,GanttView[[#This Row],[_Row]])="",TRUE()),"",INDEX(tsk_Show,GanttView[[#This Row],[_Row]])&amp;"")</f>
        <v/>
      </c>
      <c r="M108" s="94" t="n">
        <f aca="false">ROW()-ROW(GanttView[[#Headers],[ID]])</f>
        <v>103</v>
      </c>
      <c r="N108" s="95" t="b">
        <f aca="false">IF(IFERROR(INDEX(tsk_Name,GanttView[[#This Row],[_Row]])="",TRUE()),FALSE(),INDEX(tsk_IsSummary,GanttView[[#This Row],[_Row]]))</f>
        <v>0</v>
      </c>
      <c r="O108" s="95" t="b">
        <f aca="false">IF(IFERROR(INDEX(tsk_Name,GanttView[[#This Row],[_Row]])="",TRUE()),FALSE(),AND(INDEX(tsk_IsLeaf,GanttView[[#This Row],[_Row]])=1,N(INDEX(tsk_Duration,GanttView[[#This Row],[_Row]]))=0))</f>
        <v>0</v>
      </c>
      <c r="P108" s="96" t="n">
        <f aca="false">IF(IFERROR(INDEX(tsk_Name,GanttView[[#This Row],[_Row]])="",TRUE()),0,IF(AND(INDEX(tsk_IsLeaf,GanttView[[#This Row],[_Row]])=1,NOT(GanttView[[#This Row],[_IsMilestone]]),N(GanttView[[#This Row],[%]])&gt;0),GanttView[[#This Row],[Start]],0))</f>
        <v>0</v>
      </c>
      <c r="Q108" s="96" t="n">
        <f aca="false">IF(GanttView[[#This Row],[_DoneFrom]]=0,0,IF(GanttView[[#This Row],[%]]&gt;=1,GanttView[[#This Row],[Finish]],MAX(GanttView[[#This Row],[_DoneFrom]],GanttView[[#This Row],[Start]]+ROUND((GanttView[[#This Row],[Finish]]-GanttView[[#This Row],[Start]]+1)*GanttView[[#This Row],[%]],0)-1)))</f>
        <v>0</v>
      </c>
      <c r="R108" s="96" t="n">
        <f aca="false">IF(IFERROR(INDEX(tsk_Name,GanttView[[#This Row],[_Row]])="",TRUE()),0,IF(OR(INDEX(tsk_IsLeaf,GanttView[[#This Row],[_Row]])&lt;&gt;1,GanttView[[#This Row],[_IsMilestone]],N(GanttView[[#This Row],[%]])&gt;=1),0,IF(GanttView[[#This Row],[_DoneTo]]&gt;0,GanttView[[#This Row],[_DoneTo]]+1,GanttView[[#This Row],[Start]])))</f>
        <v>0</v>
      </c>
      <c r="S108" s="96" t="n">
        <f aca="false">IF(GanttView[[#This Row],[_RemFrom]]=0,0,GanttView[[#This Row],[Finish]])</f>
        <v>0</v>
      </c>
      <c r="T108" s="95" t="b">
        <f aca="false">IF(IFERROR(INDEX(tsk_Name,GanttView[[#This Row],[_Row]])="",TRUE()),FALSE(),N(INDEX(tsk_Variance,GanttView[[#This Row],[_Row]]))&gt;0)</f>
        <v>0</v>
      </c>
      <c r="U108" s="96" t="n">
        <f aca="false">IF(IFERROR(INDEX(tsk_Name,GanttView[[#This Row],[_Row]])="",TRUE()),0,N(INDEX(tsk_Deadline,GanttView[[#This Row],[_Row]])))</f>
        <v>0</v>
      </c>
      <c r="V108" s="95" t="b">
        <f aca="false">IF(IFERROR(INDEX(tsk_Name,GanttView[[#This Row],[_Row]])="",TRUE()),FALSE(),INDEX(tsk_Critical,GanttView[[#This Row],[_Row]])="Yes")</f>
        <v>0</v>
      </c>
    </row>
    <row r="109" customFormat="false" ht="15" hidden="false" customHeight="false" outlineLevel="0" collapsed="false">
      <c r="A109" s="89" t="str">
        <f aca="false">IF(IFERROR(INDEX(tsk_Name,GanttView[[#This Row],[_Row]])="",TRUE()),"",INDEX(tsk_ID,GanttView[[#This Row],[_Row]]))</f>
        <v/>
      </c>
      <c r="B109" s="90" t="str">
        <f aca="false">IF(IFERROR(INDEX(tsk_Name,GanttView[[#This Row],[_Row]])="",TRUE()),"",REPT("    ",INDEX(tsk_Level,GanttView[[#This Row],[_Row]])-1)&amp;INDEX(tsk_Name,GanttView[[#This Row],[_Row]]))</f>
        <v/>
      </c>
      <c r="C109" s="91" t="str">
        <f aca="false">IF(IFERROR(INDEX(tsk_Name,GanttView[[#This Row],[_Row]])="",TRUE()),"",INDEX(tsk_FcStart,GanttView[[#This Row],[_Row]]))</f>
        <v/>
      </c>
      <c r="D109" s="91" t="str">
        <f aca="false">IF(IFERROR(INDEX(tsk_Name,GanttView[[#This Row],[_Row]])="",TRUE()),"",INDEX(tsk_FcFinish,GanttView[[#This Row],[_Row]]))</f>
        <v/>
      </c>
      <c r="E109" s="92" t="str">
        <f aca="false">IF(IFERROR(INDEX(tsk_Name,GanttView[[#This Row],[_Row]])="",TRUE()),"",INDEX(tsk_Progress,GanttView[[#This Row],[_Row]]))</f>
        <v/>
      </c>
      <c r="F109" s="90" t="str">
        <f aca="false">IF(IFERROR(INDEX(tsk_Name,GanttView[[#This Row],[_Row]])="",TRUE()),"",INDEX(tsk_ResourceNames,GanttView[[#This Row],[_Row]])&amp;"")</f>
        <v/>
      </c>
      <c r="G109" s="89" t="str">
        <f aca="false">IF(IFERROR(INDEX(tsk_Name,GanttView[[#This Row],[_Row]])="",TRUE()),"",INDEX(tsk_WBS,GanttView[[#This Row],[_Row]]))</f>
        <v/>
      </c>
      <c r="H109" s="89" t="str">
        <f aca="false">IF(IFERROR(INDEX(tsk_Name,GanttView[[#This Row],[_Row]])="",TRUE()),"",IF(INDEX(tsk_IsSummary,GanttView[[#This Row],[_Row]]),NETWORKDAYS.INTL(INDEX(tsk_FcStart,GanttView[[#This Row],[_Row]]),INDEX(tsk_FcFinish,GanttView[[#This Row],[_Row]]),WorkWeek,Holidays),N(INDEX(tsk_Duration,GanttView[[#This Row],[_Row]]))))</f>
        <v/>
      </c>
      <c r="I109" s="91" t="str">
        <f aca="false">IF(IFERROR(INDEX(tsk_Name,GanttView[[#This Row],[_Row]])="",TRUE()),"",INDEX(tsk_PlanStart,GanttView[[#This Row],[_Row]]))</f>
        <v/>
      </c>
      <c r="J109" s="91" t="str">
        <f aca="false">IF(IFERROR(INDEX(tsk_Name,GanttView[[#This Row],[_Row]])="",TRUE()),"",INDEX(tsk_PlanFinish,GanttView[[#This Row],[_Row]]))</f>
        <v/>
      </c>
      <c r="K109" s="93" t="str">
        <f aca="false">IF(IFERROR(INDEX(tsk_Name,GanttView[[#This Row],[_Row]])="",TRUE()),"",INDEX(tsk_Status,GanttView[[#This Row],[_Row]]))</f>
        <v/>
      </c>
      <c r="L109" s="93" t="str">
        <f aca="false">IF(IFERROR(INDEX(tsk_Name,GanttView[[#This Row],[_Row]])="",TRUE()),"",INDEX(tsk_Show,GanttView[[#This Row],[_Row]])&amp;"")</f>
        <v/>
      </c>
      <c r="M109" s="94" t="n">
        <f aca="false">ROW()-ROW(GanttView[[#Headers],[ID]])</f>
        <v>104</v>
      </c>
      <c r="N109" s="95" t="b">
        <f aca="false">IF(IFERROR(INDEX(tsk_Name,GanttView[[#This Row],[_Row]])="",TRUE()),FALSE(),INDEX(tsk_IsSummary,GanttView[[#This Row],[_Row]]))</f>
        <v>0</v>
      </c>
      <c r="O109" s="95" t="b">
        <f aca="false">IF(IFERROR(INDEX(tsk_Name,GanttView[[#This Row],[_Row]])="",TRUE()),FALSE(),AND(INDEX(tsk_IsLeaf,GanttView[[#This Row],[_Row]])=1,N(INDEX(tsk_Duration,GanttView[[#This Row],[_Row]]))=0))</f>
        <v>0</v>
      </c>
      <c r="P109" s="96" t="n">
        <f aca="false">IF(IFERROR(INDEX(tsk_Name,GanttView[[#This Row],[_Row]])="",TRUE()),0,IF(AND(INDEX(tsk_IsLeaf,GanttView[[#This Row],[_Row]])=1,NOT(GanttView[[#This Row],[_IsMilestone]]),N(GanttView[[#This Row],[%]])&gt;0),GanttView[[#This Row],[Start]],0))</f>
        <v>0</v>
      </c>
      <c r="Q109" s="96" t="n">
        <f aca="false">IF(GanttView[[#This Row],[_DoneFrom]]=0,0,IF(GanttView[[#This Row],[%]]&gt;=1,GanttView[[#This Row],[Finish]],MAX(GanttView[[#This Row],[_DoneFrom]],GanttView[[#This Row],[Start]]+ROUND((GanttView[[#This Row],[Finish]]-GanttView[[#This Row],[Start]]+1)*GanttView[[#This Row],[%]],0)-1)))</f>
        <v>0</v>
      </c>
      <c r="R109" s="96" t="n">
        <f aca="false">IF(IFERROR(INDEX(tsk_Name,GanttView[[#This Row],[_Row]])="",TRUE()),0,IF(OR(INDEX(tsk_IsLeaf,GanttView[[#This Row],[_Row]])&lt;&gt;1,GanttView[[#This Row],[_IsMilestone]],N(GanttView[[#This Row],[%]])&gt;=1),0,IF(GanttView[[#This Row],[_DoneTo]]&gt;0,GanttView[[#This Row],[_DoneTo]]+1,GanttView[[#This Row],[Start]])))</f>
        <v>0</v>
      </c>
      <c r="S109" s="96" t="n">
        <f aca="false">IF(GanttView[[#This Row],[_RemFrom]]=0,0,GanttView[[#This Row],[Finish]])</f>
        <v>0</v>
      </c>
      <c r="T109" s="95" t="b">
        <f aca="false">IF(IFERROR(INDEX(tsk_Name,GanttView[[#This Row],[_Row]])="",TRUE()),FALSE(),N(INDEX(tsk_Variance,GanttView[[#This Row],[_Row]]))&gt;0)</f>
        <v>0</v>
      </c>
      <c r="U109" s="96" t="n">
        <f aca="false">IF(IFERROR(INDEX(tsk_Name,GanttView[[#This Row],[_Row]])="",TRUE()),0,N(INDEX(tsk_Deadline,GanttView[[#This Row],[_Row]])))</f>
        <v>0</v>
      </c>
      <c r="V109" s="95" t="b">
        <f aca="false">IF(IFERROR(INDEX(tsk_Name,GanttView[[#This Row],[_Row]])="",TRUE()),FALSE(),INDEX(tsk_Critical,GanttView[[#This Row],[_Row]])="Yes")</f>
        <v>0</v>
      </c>
    </row>
    <row r="110" customFormat="false" ht="15" hidden="false" customHeight="false" outlineLevel="0" collapsed="false">
      <c r="A110" s="89" t="str">
        <f aca="false">IF(IFERROR(INDEX(tsk_Name,GanttView[[#This Row],[_Row]])="",TRUE()),"",INDEX(tsk_ID,GanttView[[#This Row],[_Row]]))</f>
        <v/>
      </c>
      <c r="B110" s="90" t="str">
        <f aca="false">IF(IFERROR(INDEX(tsk_Name,GanttView[[#This Row],[_Row]])="",TRUE()),"",REPT("    ",INDEX(tsk_Level,GanttView[[#This Row],[_Row]])-1)&amp;INDEX(tsk_Name,GanttView[[#This Row],[_Row]]))</f>
        <v/>
      </c>
      <c r="C110" s="91" t="str">
        <f aca="false">IF(IFERROR(INDEX(tsk_Name,GanttView[[#This Row],[_Row]])="",TRUE()),"",INDEX(tsk_FcStart,GanttView[[#This Row],[_Row]]))</f>
        <v/>
      </c>
      <c r="D110" s="91" t="str">
        <f aca="false">IF(IFERROR(INDEX(tsk_Name,GanttView[[#This Row],[_Row]])="",TRUE()),"",INDEX(tsk_FcFinish,GanttView[[#This Row],[_Row]]))</f>
        <v/>
      </c>
      <c r="E110" s="92" t="str">
        <f aca="false">IF(IFERROR(INDEX(tsk_Name,GanttView[[#This Row],[_Row]])="",TRUE()),"",INDEX(tsk_Progress,GanttView[[#This Row],[_Row]]))</f>
        <v/>
      </c>
      <c r="F110" s="90" t="str">
        <f aca="false">IF(IFERROR(INDEX(tsk_Name,GanttView[[#This Row],[_Row]])="",TRUE()),"",INDEX(tsk_ResourceNames,GanttView[[#This Row],[_Row]])&amp;"")</f>
        <v/>
      </c>
      <c r="G110" s="89" t="str">
        <f aca="false">IF(IFERROR(INDEX(tsk_Name,GanttView[[#This Row],[_Row]])="",TRUE()),"",INDEX(tsk_WBS,GanttView[[#This Row],[_Row]]))</f>
        <v/>
      </c>
      <c r="H110" s="89" t="str">
        <f aca="false">IF(IFERROR(INDEX(tsk_Name,GanttView[[#This Row],[_Row]])="",TRUE()),"",IF(INDEX(tsk_IsSummary,GanttView[[#This Row],[_Row]]),NETWORKDAYS.INTL(INDEX(tsk_FcStart,GanttView[[#This Row],[_Row]]),INDEX(tsk_FcFinish,GanttView[[#This Row],[_Row]]),WorkWeek,Holidays),N(INDEX(tsk_Duration,GanttView[[#This Row],[_Row]]))))</f>
        <v/>
      </c>
      <c r="I110" s="91" t="str">
        <f aca="false">IF(IFERROR(INDEX(tsk_Name,GanttView[[#This Row],[_Row]])="",TRUE()),"",INDEX(tsk_PlanStart,GanttView[[#This Row],[_Row]]))</f>
        <v/>
      </c>
      <c r="J110" s="91" t="str">
        <f aca="false">IF(IFERROR(INDEX(tsk_Name,GanttView[[#This Row],[_Row]])="",TRUE()),"",INDEX(tsk_PlanFinish,GanttView[[#This Row],[_Row]]))</f>
        <v/>
      </c>
      <c r="K110" s="93" t="str">
        <f aca="false">IF(IFERROR(INDEX(tsk_Name,GanttView[[#This Row],[_Row]])="",TRUE()),"",INDEX(tsk_Status,GanttView[[#This Row],[_Row]]))</f>
        <v/>
      </c>
      <c r="L110" s="93" t="str">
        <f aca="false">IF(IFERROR(INDEX(tsk_Name,GanttView[[#This Row],[_Row]])="",TRUE()),"",INDEX(tsk_Show,GanttView[[#This Row],[_Row]])&amp;"")</f>
        <v/>
      </c>
      <c r="M110" s="94" t="n">
        <f aca="false">ROW()-ROW(GanttView[[#Headers],[ID]])</f>
        <v>105</v>
      </c>
      <c r="N110" s="95" t="b">
        <f aca="false">IF(IFERROR(INDEX(tsk_Name,GanttView[[#This Row],[_Row]])="",TRUE()),FALSE(),INDEX(tsk_IsSummary,GanttView[[#This Row],[_Row]]))</f>
        <v>0</v>
      </c>
      <c r="O110" s="95" t="b">
        <f aca="false">IF(IFERROR(INDEX(tsk_Name,GanttView[[#This Row],[_Row]])="",TRUE()),FALSE(),AND(INDEX(tsk_IsLeaf,GanttView[[#This Row],[_Row]])=1,N(INDEX(tsk_Duration,GanttView[[#This Row],[_Row]]))=0))</f>
        <v>0</v>
      </c>
      <c r="P110" s="96" t="n">
        <f aca="false">IF(IFERROR(INDEX(tsk_Name,GanttView[[#This Row],[_Row]])="",TRUE()),0,IF(AND(INDEX(tsk_IsLeaf,GanttView[[#This Row],[_Row]])=1,NOT(GanttView[[#This Row],[_IsMilestone]]),N(GanttView[[#This Row],[%]])&gt;0),GanttView[[#This Row],[Start]],0))</f>
        <v>0</v>
      </c>
      <c r="Q110" s="96" t="n">
        <f aca="false">IF(GanttView[[#This Row],[_DoneFrom]]=0,0,IF(GanttView[[#This Row],[%]]&gt;=1,GanttView[[#This Row],[Finish]],MAX(GanttView[[#This Row],[_DoneFrom]],GanttView[[#This Row],[Start]]+ROUND((GanttView[[#This Row],[Finish]]-GanttView[[#This Row],[Start]]+1)*GanttView[[#This Row],[%]],0)-1)))</f>
        <v>0</v>
      </c>
      <c r="R110" s="96" t="n">
        <f aca="false">IF(IFERROR(INDEX(tsk_Name,GanttView[[#This Row],[_Row]])="",TRUE()),0,IF(OR(INDEX(tsk_IsLeaf,GanttView[[#This Row],[_Row]])&lt;&gt;1,GanttView[[#This Row],[_IsMilestone]],N(GanttView[[#This Row],[%]])&gt;=1),0,IF(GanttView[[#This Row],[_DoneTo]]&gt;0,GanttView[[#This Row],[_DoneTo]]+1,GanttView[[#This Row],[Start]])))</f>
        <v>0</v>
      </c>
      <c r="S110" s="96" t="n">
        <f aca="false">IF(GanttView[[#This Row],[_RemFrom]]=0,0,GanttView[[#This Row],[Finish]])</f>
        <v>0</v>
      </c>
      <c r="T110" s="95" t="b">
        <f aca="false">IF(IFERROR(INDEX(tsk_Name,GanttView[[#This Row],[_Row]])="",TRUE()),FALSE(),N(INDEX(tsk_Variance,GanttView[[#This Row],[_Row]]))&gt;0)</f>
        <v>0</v>
      </c>
      <c r="U110" s="96" t="n">
        <f aca="false">IF(IFERROR(INDEX(tsk_Name,GanttView[[#This Row],[_Row]])="",TRUE()),0,N(INDEX(tsk_Deadline,GanttView[[#This Row],[_Row]])))</f>
        <v>0</v>
      </c>
      <c r="V110" s="95" t="b">
        <f aca="false">IF(IFERROR(INDEX(tsk_Name,GanttView[[#This Row],[_Row]])="",TRUE()),FALSE(),INDEX(tsk_Critical,GanttView[[#This Row],[_Row]])="Yes")</f>
        <v>0</v>
      </c>
    </row>
    <row r="111" customFormat="false" ht="15" hidden="false" customHeight="false" outlineLevel="0" collapsed="false">
      <c r="A111" s="89" t="str">
        <f aca="false">IF(IFERROR(INDEX(tsk_Name,GanttView[[#This Row],[_Row]])="",TRUE()),"",INDEX(tsk_ID,GanttView[[#This Row],[_Row]]))</f>
        <v/>
      </c>
      <c r="B111" s="90" t="str">
        <f aca="false">IF(IFERROR(INDEX(tsk_Name,GanttView[[#This Row],[_Row]])="",TRUE()),"",REPT("    ",INDEX(tsk_Level,GanttView[[#This Row],[_Row]])-1)&amp;INDEX(tsk_Name,GanttView[[#This Row],[_Row]]))</f>
        <v/>
      </c>
      <c r="C111" s="91" t="str">
        <f aca="false">IF(IFERROR(INDEX(tsk_Name,GanttView[[#This Row],[_Row]])="",TRUE()),"",INDEX(tsk_FcStart,GanttView[[#This Row],[_Row]]))</f>
        <v/>
      </c>
      <c r="D111" s="91" t="str">
        <f aca="false">IF(IFERROR(INDEX(tsk_Name,GanttView[[#This Row],[_Row]])="",TRUE()),"",INDEX(tsk_FcFinish,GanttView[[#This Row],[_Row]]))</f>
        <v/>
      </c>
      <c r="E111" s="92" t="str">
        <f aca="false">IF(IFERROR(INDEX(tsk_Name,GanttView[[#This Row],[_Row]])="",TRUE()),"",INDEX(tsk_Progress,GanttView[[#This Row],[_Row]]))</f>
        <v/>
      </c>
      <c r="F111" s="90" t="str">
        <f aca="false">IF(IFERROR(INDEX(tsk_Name,GanttView[[#This Row],[_Row]])="",TRUE()),"",INDEX(tsk_ResourceNames,GanttView[[#This Row],[_Row]])&amp;"")</f>
        <v/>
      </c>
      <c r="G111" s="89" t="str">
        <f aca="false">IF(IFERROR(INDEX(tsk_Name,GanttView[[#This Row],[_Row]])="",TRUE()),"",INDEX(tsk_WBS,GanttView[[#This Row],[_Row]]))</f>
        <v/>
      </c>
      <c r="H111" s="89" t="str">
        <f aca="false">IF(IFERROR(INDEX(tsk_Name,GanttView[[#This Row],[_Row]])="",TRUE()),"",IF(INDEX(tsk_IsSummary,GanttView[[#This Row],[_Row]]),NETWORKDAYS.INTL(INDEX(tsk_FcStart,GanttView[[#This Row],[_Row]]),INDEX(tsk_FcFinish,GanttView[[#This Row],[_Row]]),WorkWeek,Holidays),N(INDEX(tsk_Duration,GanttView[[#This Row],[_Row]]))))</f>
        <v/>
      </c>
      <c r="I111" s="91" t="str">
        <f aca="false">IF(IFERROR(INDEX(tsk_Name,GanttView[[#This Row],[_Row]])="",TRUE()),"",INDEX(tsk_PlanStart,GanttView[[#This Row],[_Row]]))</f>
        <v/>
      </c>
      <c r="J111" s="91" t="str">
        <f aca="false">IF(IFERROR(INDEX(tsk_Name,GanttView[[#This Row],[_Row]])="",TRUE()),"",INDEX(tsk_PlanFinish,GanttView[[#This Row],[_Row]]))</f>
        <v/>
      </c>
      <c r="K111" s="93" t="str">
        <f aca="false">IF(IFERROR(INDEX(tsk_Name,GanttView[[#This Row],[_Row]])="",TRUE()),"",INDEX(tsk_Status,GanttView[[#This Row],[_Row]]))</f>
        <v/>
      </c>
      <c r="L111" s="93" t="str">
        <f aca="false">IF(IFERROR(INDEX(tsk_Name,GanttView[[#This Row],[_Row]])="",TRUE()),"",INDEX(tsk_Show,GanttView[[#This Row],[_Row]])&amp;"")</f>
        <v/>
      </c>
      <c r="M111" s="94" t="n">
        <f aca="false">ROW()-ROW(GanttView[[#Headers],[ID]])</f>
        <v>106</v>
      </c>
      <c r="N111" s="95" t="b">
        <f aca="false">IF(IFERROR(INDEX(tsk_Name,GanttView[[#This Row],[_Row]])="",TRUE()),FALSE(),INDEX(tsk_IsSummary,GanttView[[#This Row],[_Row]]))</f>
        <v>0</v>
      </c>
      <c r="O111" s="95" t="b">
        <f aca="false">IF(IFERROR(INDEX(tsk_Name,GanttView[[#This Row],[_Row]])="",TRUE()),FALSE(),AND(INDEX(tsk_IsLeaf,GanttView[[#This Row],[_Row]])=1,N(INDEX(tsk_Duration,GanttView[[#This Row],[_Row]]))=0))</f>
        <v>0</v>
      </c>
      <c r="P111" s="96" t="n">
        <f aca="false">IF(IFERROR(INDEX(tsk_Name,GanttView[[#This Row],[_Row]])="",TRUE()),0,IF(AND(INDEX(tsk_IsLeaf,GanttView[[#This Row],[_Row]])=1,NOT(GanttView[[#This Row],[_IsMilestone]]),N(GanttView[[#This Row],[%]])&gt;0),GanttView[[#This Row],[Start]],0))</f>
        <v>0</v>
      </c>
      <c r="Q111" s="96" t="n">
        <f aca="false">IF(GanttView[[#This Row],[_DoneFrom]]=0,0,IF(GanttView[[#This Row],[%]]&gt;=1,GanttView[[#This Row],[Finish]],MAX(GanttView[[#This Row],[_DoneFrom]],GanttView[[#This Row],[Start]]+ROUND((GanttView[[#This Row],[Finish]]-GanttView[[#This Row],[Start]]+1)*GanttView[[#This Row],[%]],0)-1)))</f>
        <v>0</v>
      </c>
      <c r="R111" s="96" t="n">
        <f aca="false">IF(IFERROR(INDEX(tsk_Name,GanttView[[#This Row],[_Row]])="",TRUE()),0,IF(OR(INDEX(tsk_IsLeaf,GanttView[[#This Row],[_Row]])&lt;&gt;1,GanttView[[#This Row],[_IsMilestone]],N(GanttView[[#This Row],[%]])&gt;=1),0,IF(GanttView[[#This Row],[_DoneTo]]&gt;0,GanttView[[#This Row],[_DoneTo]]+1,GanttView[[#This Row],[Start]])))</f>
        <v>0</v>
      </c>
      <c r="S111" s="96" t="n">
        <f aca="false">IF(GanttView[[#This Row],[_RemFrom]]=0,0,GanttView[[#This Row],[Finish]])</f>
        <v>0</v>
      </c>
      <c r="T111" s="95" t="b">
        <f aca="false">IF(IFERROR(INDEX(tsk_Name,GanttView[[#This Row],[_Row]])="",TRUE()),FALSE(),N(INDEX(tsk_Variance,GanttView[[#This Row],[_Row]]))&gt;0)</f>
        <v>0</v>
      </c>
      <c r="U111" s="96" t="n">
        <f aca="false">IF(IFERROR(INDEX(tsk_Name,GanttView[[#This Row],[_Row]])="",TRUE()),0,N(INDEX(tsk_Deadline,GanttView[[#This Row],[_Row]])))</f>
        <v>0</v>
      </c>
      <c r="V111" s="95" t="b">
        <f aca="false">IF(IFERROR(INDEX(tsk_Name,GanttView[[#This Row],[_Row]])="",TRUE()),FALSE(),INDEX(tsk_Critical,GanttView[[#This Row],[_Row]])="Yes")</f>
        <v>0</v>
      </c>
    </row>
    <row r="112" customFormat="false" ht="15" hidden="false" customHeight="false" outlineLevel="0" collapsed="false">
      <c r="A112" s="89" t="str">
        <f aca="false">IF(IFERROR(INDEX(tsk_Name,GanttView[[#This Row],[_Row]])="",TRUE()),"",INDEX(tsk_ID,GanttView[[#This Row],[_Row]]))</f>
        <v/>
      </c>
      <c r="B112" s="90" t="str">
        <f aca="false">IF(IFERROR(INDEX(tsk_Name,GanttView[[#This Row],[_Row]])="",TRUE()),"",REPT("    ",INDEX(tsk_Level,GanttView[[#This Row],[_Row]])-1)&amp;INDEX(tsk_Name,GanttView[[#This Row],[_Row]]))</f>
        <v/>
      </c>
      <c r="C112" s="91" t="str">
        <f aca="false">IF(IFERROR(INDEX(tsk_Name,GanttView[[#This Row],[_Row]])="",TRUE()),"",INDEX(tsk_FcStart,GanttView[[#This Row],[_Row]]))</f>
        <v/>
      </c>
      <c r="D112" s="91" t="str">
        <f aca="false">IF(IFERROR(INDEX(tsk_Name,GanttView[[#This Row],[_Row]])="",TRUE()),"",INDEX(tsk_FcFinish,GanttView[[#This Row],[_Row]]))</f>
        <v/>
      </c>
      <c r="E112" s="92" t="str">
        <f aca="false">IF(IFERROR(INDEX(tsk_Name,GanttView[[#This Row],[_Row]])="",TRUE()),"",INDEX(tsk_Progress,GanttView[[#This Row],[_Row]]))</f>
        <v/>
      </c>
      <c r="F112" s="90" t="str">
        <f aca="false">IF(IFERROR(INDEX(tsk_Name,GanttView[[#This Row],[_Row]])="",TRUE()),"",INDEX(tsk_ResourceNames,GanttView[[#This Row],[_Row]])&amp;"")</f>
        <v/>
      </c>
      <c r="G112" s="89" t="str">
        <f aca="false">IF(IFERROR(INDEX(tsk_Name,GanttView[[#This Row],[_Row]])="",TRUE()),"",INDEX(tsk_WBS,GanttView[[#This Row],[_Row]]))</f>
        <v/>
      </c>
      <c r="H112" s="89" t="str">
        <f aca="false">IF(IFERROR(INDEX(tsk_Name,GanttView[[#This Row],[_Row]])="",TRUE()),"",IF(INDEX(tsk_IsSummary,GanttView[[#This Row],[_Row]]),NETWORKDAYS.INTL(INDEX(tsk_FcStart,GanttView[[#This Row],[_Row]]),INDEX(tsk_FcFinish,GanttView[[#This Row],[_Row]]),WorkWeek,Holidays),N(INDEX(tsk_Duration,GanttView[[#This Row],[_Row]]))))</f>
        <v/>
      </c>
      <c r="I112" s="91" t="str">
        <f aca="false">IF(IFERROR(INDEX(tsk_Name,GanttView[[#This Row],[_Row]])="",TRUE()),"",INDEX(tsk_PlanStart,GanttView[[#This Row],[_Row]]))</f>
        <v/>
      </c>
      <c r="J112" s="91" t="str">
        <f aca="false">IF(IFERROR(INDEX(tsk_Name,GanttView[[#This Row],[_Row]])="",TRUE()),"",INDEX(tsk_PlanFinish,GanttView[[#This Row],[_Row]]))</f>
        <v/>
      </c>
      <c r="K112" s="93" t="str">
        <f aca="false">IF(IFERROR(INDEX(tsk_Name,GanttView[[#This Row],[_Row]])="",TRUE()),"",INDEX(tsk_Status,GanttView[[#This Row],[_Row]]))</f>
        <v/>
      </c>
      <c r="L112" s="93" t="str">
        <f aca="false">IF(IFERROR(INDEX(tsk_Name,GanttView[[#This Row],[_Row]])="",TRUE()),"",INDEX(tsk_Show,GanttView[[#This Row],[_Row]])&amp;"")</f>
        <v/>
      </c>
      <c r="M112" s="94" t="n">
        <f aca="false">ROW()-ROW(GanttView[[#Headers],[ID]])</f>
        <v>107</v>
      </c>
      <c r="N112" s="95" t="b">
        <f aca="false">IF(IFERROR(INDEX(tsk_Name,GanttView[[#This Row],[_Row]])="",TRUE()),FALSE(),INDEX(tsk_IsSummary,GanttView[[#This Row],[_Row]]))</f>
        <v>0</v>
      </c>
      <c r="O112" s="95" t="b">
        <f aca="false">IF(IFERROR(INDEX(tsk_Name,GanttView[[#This Row],[_Row]])="",TRUE()),FALSE(),AND(INDEX(tsk_IsLeaf,GanttView[[#This Row],[_Row]])=1,N(INDEX(tsk_Duration,GanttView[[#This Row],[_Row]]))=0))</f>
        <v>0</v>
      </c>
      <c r="P112" s="96" t="n">
        <f aca="false">IF(IFERROR(INDEX(tsk_Name,GanttView[[#This Row],[_Row]])="",TRUE()),0,IF(AND(INDEX(tsk_IsLeaf,GanttView[[#This Row],[_Row]])=1,NOT(GanttView[[#This Row],[_IsMilestone]]),N(GanttView[[#This Row],[%]])&gt;0),GanttView[[#This Row],[Start]],0))</f>
        <v>0</v>
      </c>
      <c r="Q112" s="96" t="n">
        <f aca="false">IF(GanttView[[#This Row],[_DoneFrom]]=0,0,IF(GanttView[[#This Row],[%]]&gt;=1,GanttView[[#This Row],[Finish]],MAX(GanttView[[#This Row],[_DoneFrom]],GanttView[[#This Row],[Start]]+ROUND((GanttView[[#This Row],[Finish]]-GanttView[[#This Row],[Start]]+1)*GanttView[[#This Row],[%]],0)-1)))</f>
        <v>0</v>
      </c>
      <c r="R112" s="96" t="n">
        <f aca="false">IF(IFERROR(INDEX(tsk_Name,GanttView[[#This Row],[_Row]])="",TRUE()),0,IF(OR(INDEX(tsk_IsLeaf,GanttView[[#This Row],[_Row]])&lt;&gt;1,GanttView[[#This Row],[_IsMilestone]],N(GanttView[[#This Row],[%]])&gt;=1),0,IF(GanttView[[#This Row],[_DoneTo]]&gt;0,GanttView[[#This Row],[_DoneTo]]+1,GanttView[[#This Row],[Start]])))</f>
        <v>0</v>
      </c>
      <c r="S112" s="96" t="n">
        <f aca="false">IF(GanttView[[#This Row],[_RemFrom]]=0,0,GanttView[[#This Row],[Finish]])</f>
        <v>0</v>
      </c>
      <c r="T112" s="95" t="b">
        <f aca="false">IF(IFERROR(INDEX(tsk_Name,GanttView[[#This Row],[_Row]])="",TRUE()),FALSE(),N(INDEX(tsk_Variance,GanttView[[#This Row],[_Row]]))&gt;0)</f>
        <v>0</v>
      </c>
      <c r="U112" s="96" t="n">
        <f aca="false">IF(IFERROR(INDEX(tsk_Name,GanttView[[#This Row],[_Row]])="",TRUE()),0,N(INDEX(tsk_Deadline,GanttView[[#This Row],[_Row]])))</f>
        <v>0</v>
      </c>
      <c r="V112" s="95" t="b">
        <f aca="false">IF(IFERROR(INDEX(tsk_Name,GanttView[[#This Row],[_Row]])="",TRUE()),FALSE(),INDEX(tsk_Critical,GanttView[[#This Row],[_Row]])="Yes")</f>
        <v>0</v>
      </c>
    </row>
    <row r="113" customFormat="false" ht="15" hidden="false" customHeight="false" outlineLevel="0" collapsed="false">
      <c r="A113" s="89" t="str">
        <f aca="false">IF(IFERROR(INDEX(tsk_Name,GanttView[[#This Row],[_Row]])="",TRUE()),"",INDEX(tsk_ID,GanttView[[#This Row],[_Row]]))</f>
        <v/>
      </c>
      <c r="B113" s="90" t="str">
        <f aca="false">IF(IFERROR(INDEX(tsk_Name,GanttView[[#This Row],[_Row]])="",TRUE()),"",REPT("    ",INDEX(tsk_Level,GanttView[[#This Row],[_Row]])-1)&amp;INDEX(tsk_Name,GanttView[[#This Row],[_Row]]))</f>
        <v/>
      </c>
      <c r="C113" s="91" t="str">
        <f aca="false">IF(IFERROR(INDEX(tsk_Name,GanttView[[#This Row],[_Row]])="",TRUE()),"",INDEX(tsk_FcStart,GanttView[[#This Row],[_Row]]))</f>
        <v/>
      </c>
      <c r="D113" s="91" t="str">
        <f aca="false">IF(IFERROR(INDEX(tsk_Name,GanttView[[#This Row],[_Row]])="",TRUE()),"",INDEX(tsk_FcFinish,GanttView[[#This Row],[_Row]]))</f>
        <v/>
      </c>
      <c r="E113" s="92" t="str">
        <f aca="false">IF(IFERROR(INDEX(tsk_Name,GanttView[[#This Row],[_Row]])="",TRUE()),"",INDEX(tsk_Progress,GanttView[[#This Row],[_Row]]))</f>
        <v/>
      </c>
      <c r="F113" s="90" t="str">
        <f aca="false">IF(IFERROR(INDEX(tsk_Name,GanttView[[#This Row],[_Row]])="",TRUE()),"",INDEX(tsk_ResourceNames,GanttView[[#This Row],[_Row]])&amp;"")</f>
        <v/>
      </c>
      <c r="G113" s="89" t="str">
        <f aca="false">IF(IFERROR(INDEX(tsk_Name,GanttView[[#This Row],[_Row]])="",TRUE()),"",INDEX(tsk_WBS,GanttView[[#This Row],[_Row]]))</f>
        <v/>
      </c>
      <c r="H113" s="89" t="str">
        <f aca="false">IF(IFERROR(INDEX(tsk_Name,GanttView[[#This Row],[_Row]])="",TRUE()),"",IF(INDEX(tsk_IsSummary,GanttView[[#This Row],[_Row]]),NETWORKDAYS.INTL(INDEX(tsk_FcStart,GanttView[[#This Row],[_Row]]),INDEX(tsk_FcFinish,GanttView[[#This Row],[_Row]]),WorkWeek,Holidays),N(INDEX(tsk_Duration,GanttView[[#This Row],[_Row]]))))</f>
        <v/>
      </c>
      <c r="I113" s="91" t="str">
        <f aca="false">IF(IFERROR(INDEX(tsk_Name,GanttView[[#This Row],[_Row]])="",TRUE()),"",INDEX(tsk_PlanStart,GanttView[[#This Row],[_Row]]))</f>
        <v/>
      </c>
      <c r="J113" s="91" t="str">
        <f aca="false">IF(IFERROR(INDEX(tsk_Name,GanttView[[#This Row],[_Row]])="",TRUE()),"",INDEX(tsk_PlanFinish,GanttView[[#This Row],[_Row]]))</f>
        <v/>
      </c>
      <c r="K113" s="93" t="str">
        <f aca="false">IF(IFERROR(INDEX(tsk_Name,GanttView[[#This Row],[_Row]])="",TRUE()),"",INDEX(tsk_Status,GanttView[[#This Row],[_Row]]))</f>
        <v/>
      </c>
      <c r="L113" s="93" t="str">
        <f aca="false">IF(IFERROR(INDEX(tsk_Name,GanttView[[#This Row],[_Row]])="",TRUE()),"",INDEX(tsk_Show,GanttView[[#This Row],[_Row]])&amp;"")</f>
        <v/>
      </c>
      <c r="M113" s="94" t="n">
        <f aca="false">ROW()-ROW(GanttView[[#Headers],[ID]])</f>
        <v>108</v>
      </c>
      <c r="N113" s="95" t="b">
        <f aca="false">IF(IFERROR(INDEX(tsk_Name,GanttView[[#This Row],[_Row]])="",TRUE()),FALSE(),INDEX(tsk_IsSummary,GanttView[[#This Row],[_Row]]))</f>
        <v>0</v>
      </c>
      <c r="O113" s="95" t="b">
        <f aca="false">IF(IFERROR(INDEX(tsk_Name,GanttView[[#This Row],[_Row]])="",TRUE()),FALSE(),AND(INDEX(tsk_IsLeaf,GanttView[[#This Row],[_Row]])=1,N(INDEX(tsk_Duration,GanttView[[#This Row],[_Row]]))=0))</f>
        <v>0</v>
      </c>
      <c r="P113" s="96" t="n">
        <f aca="false">IF(IFERROR(INDEX(tsk_Name,GanttView[[#This Row],[_Row]])="",TRUE()),0,IF(AND(INDEX(tsk_IsLeaf,GanttView[[#This Row],[_Row]])=1,NOT(GanttView[[#This Row],[_IsMilestone]]),N(GanttView[[#This Row],[%]])&gt;0),GanttView[[#This Row],[Start]],0))</f>
        <v>0</v>
      </c>
      <c r="Q113" s="96" t="n">
        <f aca="false">IF(GanttView[[#This Row],[_DoneFrom]]=0,0,IF(GanttView[[#This Row],[%]]&gt;=1,GanttView[[#This Row],[Finish]],MAX(GanttView[[#This Row],[_DoneFrom]],GanttView[[#This Row],[Start]]+ROUND((GanttView[[#This Row],[Finish]]-GanttView[[#This Row],[Start]]+1)*GanttView[[#This Row],[%]],0)-1)))</f>
        <v>0</v>
      </c>
      <c r="R113" s="96" t="n">
        <f aca="false">IF(IFERROR(INDEX(tsk_Name,GanttView[[#This Row],[_Row]])="",TRUE()),0,IF(OR(INDEX(tsk_IsLeaf,GanttView[[#This Row],[_Row]])&lt;&gt;1,GanttView[[#This Row],[_IsMilestone]],N(GanttView[[#This Row],[%]])&gt;=1),0,IF(GanttView[[#This Row],[_DoneTo]]&gt;0,GanttView[[#This Row],[_DoneTo]]+1,GanttView[[#This Row],[Start]])))</f>
        <v>0</v>
      </c>
      <c r="S113" s="96" t="n">
        <f aca="false">IF(GanttView[[#This Row],[_RemFrom]]=0,0,GanttView[[#This Row],[Finish]])</f>
        <v>0</v>
      </c>
      <c r="T113" s="95" t="b">
        <f aca="false">IF(IFERROR(INDEX(tsk_Name,GanttView[[#This Row],[_Row]])="",TRUE()),FALSE(),N(INDEX(tsk_Variance,GanttView[[#This Row],[_Row]]))&gt;0)</f>
        <v>0</v>
      </c>
      <c r="U113" s="96" t="n">
        <f aca="false">IF(IFERROR(INDEX(tsk_Name,GanttView[[#This Row],[_Row]])="",TRUE()),0,N(INDEX(tsk_Deadline,GanttView[[#This Row],[_Row]])))</f>
        <v>0</v>
      </c>
      <c r="V113" s="95" t="b">
        <f aca="false">IF(IFERROR(INDEX(tsk_Name,GanttView[[#This Row],[_Row]])="",TRUE()),FALSE(),INDEX(tsk_Critical,GanttView[[#This Row],[_Row]])="Yes")</f>
        <v>0</v>
      </c>
    </row>
    <row r="114" customFormat="false" ht="15" hidden="false" customHeight="false" outlineLevel="0" collapsed="false">
      <c r="A114" s="89" t="str">
        <f aca="false">IF(IFERROR(INDEX(tsk_Name,GanttView[[#This Row],[_Row]])="",TRUE()),"",INDEX(tsk_ID,GanttView[[#This Row],[_Row]]))</f>
        <v/>
      </c>
      <c r="B114" s="90" t="str">
        <f aca="false">IF(IFERROR(INDEX(tsk_Name,GanttView[[#This Row],[_Row]])="",TRUE()),"",REPT("    ",INDEX(tsk_Level,GanttView[[#This Row],[_Row]])-1)&amp;INDEX(tsk_Name,GanttView[[#This Row],[_Row]]))</f>
        <v/>
      </c>
      <c r="C114" s="91" t="str">
        <f aca="false">IF(IFERROR(INDEX(tsk_Name,GanttView[[#This Row],[_Row]])="",TRUE()),"",INDEX(tsk_FcStart,GanttView[[#This Row],[_Row]]))</f>
        <v/>
      </c>
      <c r="D114" s="91" t="str">
        <f aca="false">IF(IFERROR(INDEX(tsk_Name,GanttView[[#This Row],[_Row]])="",TRUE()),"",INDEX(tsk_FcFinish,GanttView[[#This Row],[_Row]]))</f>
        <v/>
      </c>
      <c r="E114" s="92" t="str">
        <f aca="false">IF(IFERROR(INDEX(tsk_Name,GanttView[[#This Row],[_Row]])="",TRUE()),"",INDEX(tsk_Progress,GanttView[[#This Row],[_Row]]))</f>
        <v/>
      </c>
      <c r="F114" s="90" t="str">
        <f aca="false">IF(IFERROR(INDEX(tsk_Name,GanttView[[#This Row],[_Row]])="",TRUE()),"",INDEX(tsk_ResourceNames,GanttView[[#This Row],[_Row]])&amp;"")</f>
        <v/>
      </c>
      <c r="G114" s="89" t="str">
        <f aca="false">IF(IFERROR(INDEX(tsk_Name,GanttView[[#This Row],[_Row]])="",TRUE()),"",INDEX(tsk_WBS,GanttView[[#This Row],[_Row]]))</f>
        <v/>
      </c>
      <c r="H114" s="89" t="str">
        <f aca="false">IF(IFERROR(INDEX(tsk_Name,GanttView[[#This Row],[_Row]])="",TRUE()),"",IF(INDEX(tsk_IsSummary,GanttView[[#This Row],[_Row]]),NETWORKDAYS.INTL(INDEX(tsk_FcStart,GanttView[[#This Row],[_Row]]),INDEX(tsk_FcFinish,GanttView[[#This Row],[_Row]]),WorkWeek,Holidays),N(INDEX(tsk_Duration,GanttView[[#This Row],[_Row]]))))</f>
        <v/>
      </c>
      <c r="I114" s="91" t="str">
        <f aca="false">IF(IFERROR(INDEX(tsk_Name,GanttView[[#This Row],[_Row]])="",TRUE()),"",INDEX(tsk_PlanStart,GanttView[[#This Row],[_Row]]))</f>
        <v/>
      </c>
      <c r="J114" s="91" t="str">
        <f aca="false">IF(IFERROR(INDEX(tsk_Name,GanttView[[#This Row],[_Row]])="",TRUE()),"",INDEX(tsk_PlanFinish,GanttView[[#This Row],[_Row]]))</f>
        <v/>
      </c>
      <c r="K114" s="93" t="str">
        <f aca="false">IF(IFERROR(INDEX(tsk_Name,GanttView[[#This Row],[_Row]])="",TRUE()),"",INDEX(tsk_Status,GanttView[[#This Row],[_Row]]))</f>
        <v/>
      </c>
      <c r="L114" s="93" t="str">
        <f aca="false">IF(IFERROR(INDEX(tsk_Name,GanttView[[#This Row],[_Row]])="",TRUE()),"",INDEX(tsk_Show,GanttView[[#This Row],[_Row]])&amp;"")</f>
        <v/>
      </c>
      <c r="M114" s="94" t="n">
        <f aca="false">ROW()-ROW(GanttView[[#Headers],[ID]])</f>
        <v>109</v>
      </c>
      <c r="N114" s="95" t="b">
        <f aca="false">IF(IFERROR(INDEX(tsk_Name,GanttView[[#This Row],[_Row]])="",TRUE()),FALSE(),INDEX(tsk_IsSummary,GanttView[[#This Row],[_Row]]))</f>
        <v>0</v>
      </c>
      <c r="O114" s="95" t="b">
        <f aca="false">IF(IFERROR(INDEX(tsk_Name,GanttView[[#This Row],[_Row]])="",TRUE()),FALSE(),AND(INDEX(tsk_IsLeaf,GanttView[[#This Row],[_Row]])=1,N(INDEX(tsk_Duration,GanttView[[#This Row],[_Row]]))=0))</f>
        <v>0</v>
      </c>
      <c r="P114" s="96" t="n">
        <f aca="false">IF(IFERROR(INDEX(tsk_Name,GanttView[[#This Row],[_Row]])="",TRUE()),0,IF(AND(INDEX(tsk_IsLeaf,GanttView[[#This Row],[_Row]])=1,NOT(GanttView[[#This Row],[_IsMilestone]]),N(GanttView[[#This Row],[%]])&gt;0),GanttView[[#This Row],[Start]],0))</f>
        <v>0</v>
      </c>
      <c r="Q114" s="96" t="n">
        <f aca="false">IF(GanttView[[#This Row],[_DoneFrom]]=0,0,IF(GanttView[[#This Row],[%]]&gt;=1,GanttView[[#This Row],[Finish]],MAX(GanttView[[#This Row],[_DoneFrom]],GanttView[[#This Row],[Start]]+ROUND((GanttView[[#This Row],[Finish]]-GanttView[[#This Row],[Start]]+1)*GanttView[[#This Row],[%]],0)-1)))</f>
        <v>0</v>
      </c>
      <c r="R114" s="96" t="n">
        <f aca="false">IF(IFERROR(INDEX(tsk_Name,GanttView[[#This Row],[_Row]])="",TRUE()),0,IF(OR(INDEX(tsk_IsLeaf,GanttView[[#This Row],[_Row]])&lt;&gt;1,GanttView[[#This Row],[_IsMilestone]],N(GanttView[[#This Row],[%]])&gt;=1),0,IF(GanttView[[#This Row],[_DoneTo]]&gt;0,GanttView[[#This Row],[_DoneTo]]+1,GanttView[[#This Row],[Start]])))</f>
        <v>0</v>
      </c>
      <c r="S114" s="96" t="n">
        <f aca="false">IF(GanttView[[#This Row],[_RemFrom]]=0,0,GanttView[[#This Row],[Finish]])</f>
        <v>0</v>
      </c>
      <c r="T114" s="95" t="b">
        <f aca="false">IF(IFERROR(INDEX(tsk_Name,GanttView[[#This Row],[_Row]])="",TRUE()),FALSE(),N(INDEX(tsk_Variance,GanttView[[#This Row],[_Row]]))&gt;0)</f>
        <v>0</v>
      </c>
      <c r="U114" s="96" t="n">
        <f aca="false">IF(IFERROR(INDEX(tsk_Name,GanttView[[#This Row],[_Row]])="",TRUE()),0,N(INDEX(tsk_Deadline,GanttView[[#This Row],[_Row]])))</f>
        <v>0</v>
      </c>
      <c r="V114" s="95" t="b">
        <f aca="false">IF(IFERROR(INDEX(tsk_Name,GanttView[[#This Row],[_Row]])="",TRUE()),FALSE(),INDEX(tsk_Critical,GanttView[[#This Row],[_Row]])="Yes")</f>
        <v>0</v>
      </c>
    </row>
    <row r="115" customFormat="false" ht="15" hidden="false" customHeight="false" outlineLevel="0" collapsed="false">
      <c r="A115" s="89" t="str">
        <f aca="false">IF(IFERROR(INDEX(tsk_Name,GanttView[[#This Row],[_Row]])="",TRUE()),"",INDEX(tsk_ID,GanttView[[#This Row],[_Row]]))</f>
        <v/>
      </c>
      <c r="B115" s="90" t="str">
        <f aca="false">IF(IFERROR(INDEX(tsk_Name,GanttView[[#This Row],[_Row]])="",TRUE()),"",REPT("    ",INDEX(tsk_Level,GanttView[[#This Row],[_Row]])-1)&amp;INDEX(tsk_Name,GanttView[[#This Row],[_Row]]))</f>
        <v/>
      </c>
      <c r="C115" s="91" t="str">
        <f aca="false">IF(IFERROR(INDEX(tsk_Name,GanttView[[#This Row],[_Row]])="",TRUE()),"",INDEX(tsk_FcStart,GanttView[[#This Row],[_Row]]))</f>
        <v/>
      </c>
      <c r="D115" s="91" t="str">
        <f aca="false">IF(IFERROR(INDEX(tsk_Name,GanttView[[#This Row],[_Row]])="",TRUE()),"",INDEX(tsk_FcFinish,GanttView[[#This Row],[_Row]]))</f>
        <v/>
      </c>
      <c r="E115" s="92" t="str">
        <f aca="false">IF(IFERROR(INDEX(tsk_Name,GanttView[[#This Row],[_Row]])="",TRUE()),"",INDEX(tsk_Progress,GanttView[[#This Row],[_Row]]))</f>
        <v/>
      </c>
      <c r="F115" s="90" t="str">
        <f aca="false">IF(IFERROR(INDEX(tsk_Name,GanttView[[#This Row],[_Row]])="",TRUE()),"",INDEX(tsk_ResourceNames,GanttView[[#This Row],[_Row]])&amp;"")</f>
        <v/>
      </c>
      <c r="G115" s="89" t="str">
        <f aca="false">IF(IFERROR(INDEX(tsk_Name,GanttView[[#This Row],[_Row]])="",TRUE()),"",INDEX(tsk_WBS,GanttView[[#This Row],[_Row]]))</f>
        <v/>
      </c>
      <c r="H115" s="89" t="str">
        <f aca="false">IF(IFERROR(INDEX(tsk_Name,GanttView[[#This Row],[_Row]])="",TRUE()),"",IF(INDEX(tsk_IsSummary,GanttView[[#This Row],[_Row]]),NETWORKDAYS.INTL(INDEX(tsk_FcStart,GanttView[[#This Row],[_Row]]),INDEX(tsk_FcFinish,GanttView[[#This Row],[_Row]]),WorkWeek,Holidays),N(INDEX(tsk_Duration,GanttView[[#This Row],[_Row]]))))</f>
        <v/>
      </c>
      <c r="I115" s="91" t="str">
        <f aca="false">IF(IFERROR(INDEX(tsk_Name,GanttView[[#This Row],[_Row]])="",TRUE()),"",INDEX(tsk_PlanStart,GanttView[[#This Row],[_Row]]))</f>
        <v/>
      </c>
      <c r="J115" s="91" t="str">
        <f aca="false">IF(IFERROR(INDEX(tsk_Name,GanttView[[#This Row],[_Row]])="",TRUE()),"",INDEX(tsk_PlanFinish,GanttView[[#This Row],[_Row]]))</f>
        <v/>
      </c>
      <c r="K115" s="93" t="str">
        <f aca="false">IF(IFERROR(INDEX(tsk_Name,GanttView[[#This Row],[_Row]])="",TRUE()),"",INDEX(tsk_Status,GanttView[[#This Row],[_Row]]))</f>
        <v/>
      </c>
      <c r="L115" s="93" t="str">
        <f aca="false">IF(IFERROR(INDEX(tsk_Name,GanttView[[#This Row],[_Row]])="",TRUE()),"",INDEX(tsk_Show,GanttView[[#This Row],[_Row]])&amp;"")</f>
        <v/>
      </c>
      <c r="M115" s="94" t="n">
        <f aca="false">ROW()-ROW(GanttView[[#Headers],[ID]])</f>
        <v>110</v>
      </c>
      <c r="N115" s="95" t="b">
        <f aca="false">IF(IFERROR(INDEX(tsk_Name,GanttView[[#This Row],[_Row]])="",TRUE()),FALSE(),INDEX(tsk_IsSummary,GanttView[[#This Row],[_Row]]))</f>
        <v>0</v>
      </c>
      <c r="O115" s="95" t="b">
        <f aca="false">IF(IFERROR(INDEX(tsk_Name,GanttView[[#This Row],[_Row]])="",TRUE()),FALSE(),AND(INDEX(tsk_IsLeaf,GanttView[[#This Row],[_Row]])=1,N(INDEX(tsk_Duration,GanttView[[#This Row],[_Row]]))=0))</f>
        <v>0</v>
      </c>
      <c r="P115" s="96" t="n">
        <f aca="false">IF(IFERROR(INDEX(tsk_Name,GanttView[[#This Row],[_Row]])="",TRUE()),0,IF(AND(INDEX(tsk_IsLeaf,GanttView[[#This Row],[_Row]])=1,NOT(GanttView[[#This Row],[_IsMilestone]]),N(GanttView[[#This Row],[%]])&gt;0),GanttView[[#This Row],[Start]],0))</f>
        <v>0</v>
      </c>
      <c r="Q115" s="96" t="n">
        <f aca="false">IF(GanttView[[#This Row],[_DoneFrom]]=0,0,IF(GanttView[[#This Row],[%]]&gt;=1,GanttView[[#This Row],[Finish]],MAX(GanttView[[#This Row],[_DoneFrom]],GanttView[[#This Row],[Start]]+ROUND((GanttView[[#This Row],[Finish]]-GanttView[[#This Row],[Start]]+1)*GanttView[[#This Row],[%]],0)-1)))</f>
        <v>0</v>
      </c>
      <c r="R115" s="96" t="n">
        <f aca="false">IF(IFERROR(INDEX(tsk_Name,GanttView[[#This Row],[_Row]])="",TRUE()),0,IF(OR(INDEX(tsk_IsLeaf,GanttView[[#This Row],[_Row]])&lt;&gt;1,GanttView[[#This Row],[_IsMilestone]],N(GanttView[[#This Row],[%]])&gt;=1),0,IF(GanttView[[#This Row],[_DoneTo]]&gt;0,GanttView[[#This Row],[_DoneTo]]+1,GanttView[[#This Row],[Start]])))</f>
        <v>0</v>
      </c>
      <c r="S115" s="96" t="n">
        <f aca="false">IF(GanttView[[#This Row],[_RemFrom]]=0,0,GanttView[[#This Row],[Finish]])</f>
        <v>0</v>
      </c>
      <c r="T115" s="95" t="b">
        <f aca="false">IF(IFERROR(INDEX(tsk_Name,GanttView[[#This Row],[_Row]])="",TRUE()),FALSE(),N(INDEX(tsk_Variance,GanttView[[#This Row],[_Row]]))&gt;0)</f>
        <v>0</v>
      </c>
      <c r="U115" s="96" t="n">
        <f aca="false">IF(IFERROR(INDEX(tsk_Name,GanttView[[#This Row],[_Row]])="",TRUE()),0,N(INDEX(tsk_Deadline,GanttView[[#This Row],[_Row]])))</f>
        <v>0</v>
      </c>
      <c r="V115" s="95" t="b">
        <f aca="false">IF(IFERROR(INDEX(tsk_Name,GanttView[[#This Row],[_Row]])="",TRUE()),FALSE(),INDEX(tsk_Critical,GanttView[[#This Row],[_Row]])="Yes")</f>
        <v>0</v>
      </c>
    </row>
    <row r="116" customFormat="false" ht="15" hidden="false" customHeight="false" outlineLevel="0" collapsed="false">
      <c r="A116" s="89" t="str">
        <f aca="false">IF(IFERROR(INDEX(tsk_Name,GanttView[[#This Row],[_Row]])="",TRUE()),"",INDEX(tsk_ID,GanttView[[#This Row],[_Row]]))</f>
        <v/>
      </c>
      <c r="B116" s="90" t="str">
        <f aca="false">IF(IFERROR(INDEX(tsk_Name,GanttView[[#This Row],[_Row]])="",TRUE()),"",REPT("    ",INDEX(tsk_Level,GanttView[[#This Row],[_Row]])-1)&amp;INDEX(tsk_Name,GanttView[[#This Row],[_Row]]))</f>
        <v/>
      </c>
      <c r="C116" s="91" t="str">
        <f aca="false">IF(IFERROR(INDEX(tsk_Name,GanttView[[#This Row],[_Row]])="",TRUE()),"",INDEX(tsk_FcStart,GanttView[[#This Row],[_Row]]))</f>
        <v/>
      </c>
      <c r="D116" s="91" t="str">
        <f aca="false">IF(IFERROR(INDEX(tsk_Name,GanttView[[#This Row],[_Row]])="",TRUE()),"",INDEX(tsk_FcFinish,GanttView[[#This Row],[_Row]]))</f>
        <v/>
      </c>
      <c r="E116" s="92" t="str">
        <f aca="false">IF(IFERROR(INDEX(tsk_Name,GanttView[[#This Row],[_Row]])="",TRUE()),"",INDEX(tsk_Progress,GanttView[[#This Row],[_Row]]))</f>
        <v/>
      </c>
      <c r="F116" s="90" t="str">
        <f aca="false">IF(IFERROR(INDEX(tsk_Name,GanttView[[#This Row],[_Row]])="",TRUE()),"",INDEX(tsk_ResourceNames,GanttView[[#This Row],[_Row]])&amp;"")</f>
        <v/>
      </c>
      <c r="G116" s="89" t="str">
        <f aca="false">IF(IFERROR(INDEX(tsk_Name,GanttView[[#This Row],[_Row]])="",TRUE()),"",INDEX(tsk_WBS,GanttView[[#This Row],[_Row]]))</f>
        <v/>
      </c>
      <c r="H116" s="89" t="str">
        <f aca="false">IF(IFERROR(INDEX(tsk_Name,GanttView[[#This Row],[_Row]])="",TRUE()),"",IF(INDEX(tsk_IsSummary,GanttView[[#This Row],[_Row]]),NETWORKDAYS.INTL(INDEX(tsk_FcStart,GanttView[[#This Row],[_Row]]),INDEX(tsk_FcFinish,GanttView[[#This Row],[_Row]]),WorkWeek,Holidays),N(INDEX(tsk_Duration,GanttView[[#This Row],[_Row]]))))</f>
        <v/>
      </c>
      <c r="I116" s="91" t="str">
        <f aca="false">IF(IFERROR(INDEX(tsk_Name,GanttView[[#This Row],[_Row]])="",TRUE()),"",INDEX(tsk_PlanStart,GanttView[[#This Row],[_Row]]))</f>
        <v/>
      </c>
      <c r="J116" s="91" t="str">
        <f aca="false">IF(IFERROR(INDEX(tsk_Name,GanttView[[#This Row],[_Row]])="",TRUE()),"",INDEX(tsk_PlanFinish,GanttView[[#This Row],[_Row]]))</f>
        <v/>
      </c>
      <c r="K116" s="93" t="str">
        <f aca="false">IF(IFERROR(INDEX(tsk_Name,GanttView[[#This Row],[_Row]])="",TRUE()),"",INDEX(tsk_Status,GanttView[[#This Row],[_Row]]))</f>
        <v/>
      </c>
      <c r="L116" s="93" t="str">
        <f aca="false">IF(IFERROR(INDEX(tsk_Name,GanttView[[#This Row],[_Row]])="",TRUE()),"",INDEX(tsk_Show,GanttView[[#This Row],[_Row]])&amp;"")</f>
        <v/>
      </c>
      <c r="M116" s="94" t="n">
        <f aca="false">ROW()-ROW(GanttView[[#Headers],[ID]])</f>
        <v>111</v>
      </c>
      <c r="N116" s="95" t="b">
        <f aca="false">IF(IFERROR(INDEX(tsk_Name,GanttView[[#This Row],[_Row]])="",TRUE()),FALSE(),INDEX(tsk_IsSummary,GanttView[[#This Row],[_Row]]))</f>
        <v>0</v>
      </c>
      <c r="O116" s="95" t="b">
        <f aca="false">IF(IFERROR(INDEX(tsk_Name,GanttView[[#This Row],[_Row]])="",TRUE()),FALSE(),AND(INDEX(tsk_IsLeaf,GanttView[[#This Row],[_Row]])=1,N(INDEX(tsk_Duration,GanttView[[#This Row],[_Row]]))=0))</f>
        <v>0</v>
      </c>
      <c r="P116" s="96" t="n">
        <f aca="false">IF(IFERROR(INDEX(tsk_Name,GanttView[[#This Row],[_Row]])="",TRUE()),0,IF(AND(INDEX(tsk_IsLeaf,GanttView[[#This Row],[_Row]])=1,NOT(GanttView[[#This Row],[_IsMilestone]]),N(GanttView[[#This Row],[%]])&gt;0),GanttView[[#This Row],[Start]],0))</f>
        <v>0</v>
      </c>
      <c r="Q116" s="96" t="n">
        <f aca="false">IF(GanttView[[#This Row],[_DoneFrom]]=0,0,IF(GanttView[[#This Row],[%]]&gt;=1,GanttView[[#This Row],[Finish]],MAX(GanttView[[#This Row],[_DoneFrom]],GanttView[[#This Row],[Start]]+ROUND((GanttView[[#This Row],[Finish]]-GanttView[[#This Row],[Start]]+1)*GanttView[[#This Row],[%]],0)-1)))</f>
        <v>0</v>
      </c>
      <c r="R116" s="96" t="n">
        <f aca="false">IF(IFERROR(INDEX(tsk_Name,GanttView[[#This Row],[_Row]])="",TRUE()),0,IF(OR(INDEX(tsk_IsLeaf,GanttView[[#This Row],[_Row]])&lt;&gt;1,GanttView[[#This Row],[_IsMilestone]],N(GanttView[[#This Row],[%]])&gt;=1),0,IF(GanttView[[#This Row],[_DoneTo]]&gt;0,GanttView[[#This Row],[_DoneTo]]+1,GanttView[[#This Row],[Start]])))</f>
        <v>0</v>
      </c>
      <c r="S116" s="96" t="n">
        <f aca="false">IF(GanttView[[#This Row],[_RemFrom]]=0,0,GanttView[[#This Row],[Finish]])</f>
        <v>0</v>
      </c>
      <c r="T116" s="95" t="b">
        <f aca="false">IF(IFERROR(INDEX(tsk_Name,GanttView[[#This Row],[_Row]])="",TRUE()),FALSE(),N(INDEX(tsk_Variance,GanttView[[#This Row],[_Row]]))&gt;0)</f>
        <v>0</v>
      </c>
      <c r="U116" s="96" t="n">
        <f aca="false">IF(IFERROR(INDEX(tsk_Name,GanttView[[#This Row],[_Row]])="",TRUE()),0,N(INDEX(tsk_Deadline,GanttView[[#This Row],[_Row]])))</f>
        <v>0</v>
      </c>
      <c r="V116" s="95" t="b">
        <f aca="false">IF(IFERROR(INDEX(tsk_Name,GanttView[[#This Row],[_Row]])="",TRUE()),FALSE(),INDEX(tsk_Critical,GanttView[[#This Row],[_Row]])="Yes")</f>
        <v>0</v>
      </c>
    </row>
    <row r="117" customFormat="false" ht="15" hidden="false" customHeight="false" outlineLevel="0" collapsed="false">
      <c r="A117" s="89" t="str">
        <f aca="false">IF(IFERROR(INDEX(tsk_Name,GanttView[[#This Row],[_Row]])="",TRUE()),"",INDEX(tsk_ID,GanttView[[#This Row],[_Row]]))</f>
        <v/>
      </c>
      <c r="B117" s="90" t="str">
        <f aca="false">IF(IFERROR(INDEX(tsk_Name,GanttView[[#This Row],[_Row]])="",TRUE()),"",REPT("    ",INDEX(tsk_Level,GanttView[[#This Row],[_Row]])-1)&amp;INDEX(tsk_Name,GanttView[[#This Row],[_Row]]))</f>
        <v/>
      </c>
      <c r="C117" s="91" t="str">
        <f aca="false">IF(IFERROR(INDEX(tsk_Name,GanttView[[#This Row],[_Row]])="",TRUE()),"",INDEX(tsk_FcStart,GanttView[[#This Row],[_Row]]))</f>
        <v/>
      </c>
      <c r="D117" s="91" t="str">
        <f aca="false">IF(IFERROR(INDEX(tsk_Name,GanttView[[#This Row],[_Row]])="",TRUE()),"",INDEX(tsk_FcFinish,GanttView[[#This Row],[_Row]]))</f>
        <v/>
      </c>
      <c r="E117" s="92" t="str">
        <f aca="false">IF(IFERROR(INDEX(tsk_Name,GanttView[[#This Row],[_Row]])="",TRUE()),"",INDEX(tsk_Progress,GanttView[[#This Row],[_Row]]))</f>
        <v/>
      </c>
      <c r="F117" s="90" t="str">
        <f aca="false">IF(IFERROR(INDEX(tsk_Name,GanttView[[#This Row],[_Row]])="",TRUE()),"",INDEX(tsk_ResourceNames,GanttView[[#This Row],[_Row]])&amp;"")</f>
        <v/>
      </c>
      <c r="G117" s="89" t="str">
        <f aca="false">IF(IFERROR(INDEX(tsk_Name,GanttView[[#This Row],[_Row]])="",TRUE()),"",INDEX(tsk_WBS,GanttView[[#This Row],[_Row]]))</f>
        <v/>
      </c>
      <c r="H117" s="89" t="str">
        <f aca="false">IF(IFERROR(INDEX(tsk_Name,GanttView[[#This Row],[_Row]])="",TRUE()),"",IF(INDEX(tsk_IsSummary,GanttView[[#This Row],[_Row]]),NETWORKDAYS.INTL(INDEX(tsk_FcStart,GanttView[[#This Row],[_Row]]),INDEX(tsk_FcFinish,GanttView[[#This Row],[_Row]]),WorkWeek,Holidays),N(INDEX(tsk_Duration,GanttView[[#This Row],[_Row]]))))</f>
        <v/>
      </c>
      <c r="I117" s="91" t="str">
        <f aca="false">IF(IFERROR(INDEX(tsk_Name,GanttView[[#This Row],[_Row]])="",TRUE()),"",INDEX(tsk_PlanStart,GanttView[[#This Row],[_Row]]))</f>
        <v/>
      </c>
      <c r="J117" s="91" t="str">
        <f aca="false">IF(IFERROR(INDEX(tsk_Name,GanttView[[#This Row],[_Row]])="",TRUE()),"",INDEX(tsk_PlanFinish,GanttView[[#This Row],[_Row]]))</f>
        <v/>
      </c>
      <c r="K117" s="93" t="str">
        <f aca="false">IF(IFERROR(INDEX(tsk_Name,GanttView[[#This Row],[_Row]])="",TRUE()),"",INDEX(tsk_Status,GanttView[[#This Row],[_Row]]))</f>
        <v/>
      </c>
      <c r="L117" s="93" t="str">
        <f aca="false">IF(IFERROR(INDEX(tsk_Name,GanttView[[#This Row],[_Row]])="",TRUE()),"",INDEX(tsk_Show,GanttView[[#This Row],[_Row]])&amp;"")</f>
        <v/>
      </c>
      <c r="M117" s="94" t="n">
        <f aca="false">ROW()-ROW(GanttView[[#Headers],[ID]])</f>
        <v>112</v>
      </c>
      <c r="N117" s="95" t="b">
        <f aca="false">IF(IFERROR(INDEX(tsk_Name,GanttView[[#This Row],[_Row]])="",TRUE()),FALSE(),INDEX(tsk_IsSummary,GanttView[[#This Row],[_Row]]))</f>
        <v>0</v>
      </c>
      <c r="O117" s="95" t="b">
        <f aca="false">IF(IFERROR(INDEX(tsk_Name,GanttView[[#This Row],[_Row]])="",TRUE()),FALSE(),AND(INDEX(tsk_IsLeaf,GanttView[[#This Row],[_Row]])=1,N(INDEX(tsk_Duration,GanttView[[#This Row],[_Row]]))=0))</f>
        <v>0</v>
      </c>
      <c r="P117" s="96" t="n">
        <f aca="false">IF(IFERROR(INDEX(tsk_Name,GanttView[[#This Row],[_Row]])="",TRUE()),0,IF(AND(INDEX(tsk_IsLeaf,GanttView[[#This Row],[_Row]])=1,NOT(GanttView[[#This Row],[_IsMilestone]]),N(GanttView[[#This Row],[%]])&gt;0),GanttView[[#This Row],[Start]],0))</f>
        <v>0</v>
      </c>
      <c r="Q117" s="96" t="n">
        <f aca="false">IF(GanttView[[#This Row],[_DoneFrom]]=0,0,IF(GanttView[[#This Row],[%]]&gt;=1,GanttView[[#This Row],[Finish]],MAX(GanttView[[#This Row],[_DoneFrom]],GanttView[[#This Row],[Start]]+ROUND((GanttView[[#This Row],[Finish]]-GanttView[[#This Row],[Start]]+1)*GanttView[[#This Row],[%]],0)-1)))</f>
        <v>0</v>
      </c>
      <c r="R117" s="96" t="n">
        <f aca="false">IF(IFERROR(INDEX(tsk_Name,GanttView[[#This Row],[_Row]])="",TRUE()),0,IF(OR(INDEX(tsk_IsLeaf,GanttView[[#This Row],[_Row]])&lt;&gt;1,GanttView[[#This Row],[_IsMilestone]],N(GanttView[[#This Row],[%]])&gt;=1),0,IF(GanttView[[#This Row],[_DoneTo]]&gt;0,GanttView[[#This Row],[_DoneTo]]+1,GanttView[[#This Row],[Start]])))</f>
        <v>0</v>
      </c>
      <c r="S117" s="96" t="n">
        <f aca="false">IF(GanttView[[#This Row],[_RemFrom]]=0,0,GanttView[[#This Row],[Finish]])</f>
        <v>0</v>
      </c>
      <c r="T117" s="95" t="b">
        <f aca="false">IF(IFERROR(INDEX(tsk_Name,GanttView[[#This Row],[_Row]])="",TRUE()),FALSE(),N(INDEX(tsk_Variance,GanttView[[#This Row],[_Row]]))&gt;0)</f>
        <v>0</v>
      </c>
      <c r="U117" s="96" t="n">
        <f aca="false">IF(IFERROR(INDEX(tsk_Name,GanttView[[#This Row],[_Row]])="",TRUE()),0,N(INDEX(tsk_Deadline,GanttView[[#This Row],[_Row]])))</f>
        <v>0</v>
      </c>
      <c r="V117" s="95" t="b">
        <f aca="false">IF(IFERROR(INDEX(tsk_Name,GanttView[[#This Row],[_Row]])="",TRUE()),FALSE(),INDEX(tsk_Critical,GanttView[[#This Row],[_Row]])="Yes")</f>
        <v>0</v>
      </c>
    </row>
    <row r="118" customFormat="false" ht="15" hidden="false" customHeight="false" outlineLevel="0" collapsed="false">
      <c r="A118" s="89" t="str">
        <f aca="false">IF(IFERROR(INDEX(tsk_Name,GanttView[[#This Row],[_Row]])="",TRUE()),"",INDEX(tsk_ID,GanttView[[#This Row],[_Row]]))</f>
        <v/>
      </c>
      <c r="B118" s="90" t="str">
        <f aca="false">IF(IFERROR(INDEX(tsk_Name,GanttView[[#This Row],[_Row]])="",TRUE()),"",REPT("    ",INDEX(tsk_Level,GanttView[[#This Row],[_Row]])-1)&amp;INDEX(tsk_Name,GanttView[[#This Row],[_Row]]))</f>
        <v/>
      </c>
      <c r="C118" s="91" t="str">
        <f aca="false">IF(IFERROR(INDEX(tsk_Name,GanttView[[#This Row],[_Row]])="",TRUE()),"",INDEX(tsk_FcStart,GanttView[[#This Row],[_Row]]))</f>
        <v/>
      </c>
      <c r="D118" s="91" t="str">
        <f aca="false">IF(IFERROR(INDEX(tsk_Name,GanttView[[#This Row],[_Row]])="",TRUE()),"",INDEX(tsk_FcFinish,GanttView[[#This Row],[_Row]]))</f>
        <v/>
      </c>
      <c r="E118" s="92" t="str">
        <f aca="false">IF(IFERROR(INDEX(tsk_Name,GanttView[[#This Row],[_Row]])="",TRUE()),"",INDEX(tsk_Progress,GanttView[[#This Row],[_Row]]))</f>
        <v/>
      </c>
      <c r="F118" s="90" t="str">
        <f aca="false">IF(IFERROR(INDEX(tsk_Name,GanttView[[#This Row],[_Row]])="",TRUE()),"",INDEX(tsk_ResourceNames,GanttView[[#This Row],[_Row]])&amp;"")</f>
        <v/>
      </c>
      <c r="G118" s="89" t="str">
        <f aca="false">IF(IFERROR(INDEX(tsk_Name,GanttView[[#This Row],[_Row]])="",TRUE()),"",INDEX(tsk_WBS,GanttView[[#This Row],[_Row]]))</f>
        <v/>
      </c>
      <c r="H118" s="89" t="str">
        <f aca="false">IF(IFERROR(INDEX(tsk_Name,GanttView[[#This Row],[_Row]])="",TRUE()),"",IF(INDEX(tsk_IsSummary,GanttView[[#This Row],[_Row]]),NETWORKDAYS.INTL(INDEX(tsk_FcStart,GanttView[[#This Row],[_Row]]),INDEX(tsk_FcFinish,GanttView[[#This Row],[_Row]]),WorkWeek,Holidays),N(INDEX(tsk_Duration,GanttView[[#This Row],[_Row]]))))</f>
        <v/>
      </c>
      <c r="I118" s="91" t="str">
        <f aca="false">IF(IFERROR(INDEX(tsk_Name,GanttView[[#This Row],[_Row]])="",TRUE()),"",INDEX(tsk_PlanStart,GanttView[[#This Row],[_Row]]))</f>
        <v/>
      </c>
      <c r="J118" s="91" t="str">
        <f aca="false">IF(IFERROR(INDEX(tsk_Name,GanttView[[#This Row],[_Row]])="",TRUE()),"",INDEX(tsk_PlanFinish,GanttView[[#This Row],[_Row]]))</f>
        <v/>
      </c>
      <c r="K118" s="93" t="str">
        <f aca="false">IF(IFERROR(INDEX(tsk_Name,GanttView[[#This Row],[_Row]])="",TRUE()),"",INDEX(tsk_Status,GanttView[[#This Row],[_Row]]))</f>
        <v/>
      </c>
      <c r="L118" s="93" t="str">
        <f aca="false">IF(IFERROR(INDEX(tsk_Name,GanttView[[#This Row],[_Row]])="",TRUE()),"",INDEX(tsk_Show,GanttView[[#This Row],[_Row]])&amp;"")</f>
        <v/>
      </c>
      <c r="M118" s="94" t="n">
        <f aca="false">ROW()-ROW(GanttView[[#Headers],[ID]])</f>
        <v>113</v>
      </c>
      <c r="N118" s="95" t="b">
        <f aca="false">IF(IFERROR(INDEX(tsk_Name,GanttView[[#This Row],[_Row]])="",TRUE()),FALSE(),INDEX(tsk_IsSummary,GanttView[[#This Row],[_Row]]))</f>
        <v>0</v>
      </c>
      <c r="O118" s="95" t="b">
        <f aca="false">IF(IFERROR(INDEX(tsk_Name,GanttView[[#This Row],[_Row]])="",TRUE()),FALSE(),AND(INDEX(tsk_IsLeaf,GanttView[[#This Row],[_Row]])=1,N(INDEX(tsk_Duration,GanttView[[#This Row],[_Row]]))=0))</f>
        <v>0</v>
      </c>
      <c r="P118" s="96" t="n">
        <f aca="false">IF(IFERROR(INDEX(tsk_Name,GanttView[[#This Row],[_Row]])="",TRUE()),0,IF(AND(INDEX(tsk_IsLeaf,GanttView[[#This Row],[_Row]])=1,NOT(GanttView[[#This Row],[_IsMilestone]]),N(GanttView[[#This Row],[%]])&gt;0),GanttView[[#This Row],[Start]],0))</f>
        <v>0</v>
      </c>
      <c r="Q118" s="96" t="n">
        <f aca="false">IF(GanttView[[#This Row],[_DoneFrom]]=0,0,IF(GanttView[[#This Row],[%]]&gt;=1,GanttView[[#This Row],[Finish]],MAX(GanttView[[#This Row],[_DoneFrom]],GanttView[[#This Row],[Start]]+ROUND((GanttView[[#This Row],[Finish]]-GanttView[[#This Row],[Start]]+1)*GanttView[[#This Row],[%]],0)-1)))</f>
        <v>0</v>
      </c>
      <c r="R118" s="96" t="n">
        <f aca="false">IF(IFERROR(INDEX(tsk_Name,GanttView[[#This Row],[_Row]])="",TRUE()),0,IF(OR(INDEX(tsk_IsLeaf,GanttView[[#This Row],[_Row]])&lt;&gt;1,GanttView[[#This Row],[_IsMilestone]],N(GanttView[[#This Row],[%]])&gt;=1),0,IF(GanttView[[#This Row],[_DoneTo]]&gt;0,GanttView[[#This Row],[_DoneTo]]+1,GanttView[[#This Row],[Start]])))</f>
        <v>0</v>
      </c>
      <c r="S118" s="96" t="n">
        <f aca="false">IF(GanttView[[#This Row],[_RemFrom]]=0,0,GanttView[[#This Row],[Finish]])</f>
        <v>0</v>
      </c>
      <c r="T118" s="95" t="b">
        <f aca="false">IF(IFERROR(INDEX(tsk_Name,GanttView[[#This Row],[_Row]])="",TRUE()),FALSE(),N(INDEX(tsk_Variance,GanttView[[#This Row],[_Row]]))&gt;0)</f>
        <v>0</v>
      </c>
      <c r="U118" s="96" t="n">
        <f aca="false">IF(IFERROR(INDEX(tsk_Name,GanttView[[#This Row],[_Row]])="",TRUE()),0,N(INDEX(tsk_Deadline,GanttView[[#This Row],[_Row]])))</f>
        <v>0</v>
      </c>
      <c r="V118" s="95" t="b">
        <f aca="false">IF(IFERROR(INDEX(tsk_Name,GanttView[[#This Row],[_Row]])="",TRUE()),FALSE(),INDEX(tsk_Critical,GanttView[[#This Row],[_Row]])="Yes")</f>
        <v>0</v>
      </c>
    </row>
    <row r="119" customFormat="false" ht="15" hidden="false" customHeight="false" outlineLevel="0" collapsed="false">
      <c r="A119" s="89" t="str">
        <f aca="false">IF(IFERROR(INDEX(tsk_Name,GanttView[[#This Row],[_Row]])="",TRUE()),"",INDEX(tsk_ID,GanttView[[#This Row],[_Row]]))</f>
        <v/>
      </c>
      <c r="B119" s="90" t="str">
        <f aca="false">IF(IFERROR(INDEX(tsk_Name,GanttView[[#This Row],[_Row]])="",TRUE()),"",REPT("    ",INDEX(tsk_Level,GanttView[[#This Row],[_Row]])-1)&amp;INDEX(tsk_Name,GanttView[[#This Row],[_Row]]))</f>
        <v/>
      </c>
      <c r="C119" s="91" t="str">
        <f aca="false">IF(IFERROR(INDEX(tsk_Name,GanttView[[#This Row],[_Row]])="",TRUE()),"",INDEX(tsk_FcStart,GanttView[[#This Row],[_Row]]))</f>
        <v/>
      </c>
      <c r="D119" s="91" t="str">
        <f aca="false">IF(IFERROR(INDEX(tsk_Name,GanttView[[#This Row],[_Row]])="",TRUE()),"",INDEX(tsk_FcFinish,GanttView[[#This Row],[_Row]]))</f>
        <v/>
      </c>
      <c r="E119" s="92" t="str">
        <f aca="false">IF(IFERROR(INDEX(tsk_Name,GanttView[[#This Row],[_Row]])="",TRUE()),"",INDEX(tsk_Progress,GanttView[[#This Row],[_Row]]))</f>
        <v/>
      </c>
      <c r="F119" s="90" t="str">
        <f aca="false">IF(IFERROR(INDEX(tsk_Name,GanttView[[#This Row],[_Row]])="",TRUE()),"",INDEX(tsk_ResourceNames,GanttView[[#This Row],[_Row]])&amp;"")</f>
        <v/>
      </c>
      <c r="G119" s="89" t="str">
        <f aca="false">IF(IFERROR(INDEX(tsk_Name,GanttView[[#This Row],[_Row]])="",TRUE()),"",INDEX(tsk_WBS,GanttView[[#This Row],[_Row]]))</f>
        <v/>
      </c>
      <c r="H119" s="89" t="str">
        <f aca="false">IF(IFERROR(INDEX(tsk_Name,GanttView[[#This Row],[_Row]])="",TRUE()),"",IF(INDEX(tsk_IsSummary,GanttView[[#This Row],[_Row]]),NETWORKDAYS.INTL(INDEX(tsk_FcStart,GanttView[[#This Row],[_Row]]),INDEX(tsk_FcFinish,GanttView[[#This Row],[_Row]]),WorkWeek,Holidays),N(INDEX(tsk_Duration,GanttView[[#This Row],[_Row]]))))</f>
        <v/>
      </c>
      <c r="I119" s="91" t="str">
        <f aca="false">IF(IFERROR(INDEX(tsk_Name,GanttView[[#This Row],[_Row]])="",TRUE()),"",INDEX(tsk_PlanStart,GanttView[[#This Row],[_Row]]))</f>
        <v/>
      </c>
      <c r="J119" s="91" t="str">
        <f aca="false">IF(IFERROR(INDEX(tsk_Name,GanttView[[#This Row],[_Row]])="",TRUE()),"",INDEX(tsk_PlanFinish,GanttView[[#This Row],[_Row]]))</f>
        <v/>
      </c>
      <c r="K119" s="93" t="str">
        <f aca="false">IF(IFERROR(INDEX(tsk_Name,GanttView[[#This Row],[_Row]])="",TRUE()),"",INDEX(tsk_Status,GanttView[[#This Row],[_Row]]))</f>
        <v/>
      </c>
      <c r="L119" s="93" t="str">
        <f aca="false">IF(IFERROR(INDEX(tsk_Name,GanttView[[#This Row],[_Row]])="",TRUE()),"",INDEX(tsk_Show,GanttView[[#This Row],[_Row]])&amp;"")</f>
        <v/>
      </c>
      <c r="M119" s="94" t="n">
        <f aca="false">ROW()-ROW(GanttView[[#Headers],[ID]])</f>
        <v>114</v>
      </c>
      <c r="N119" s="95" t="b">
        <f aca="false">IF(IFERROR(INDEX(tsk_Name,GanttView[[#This Row],[_Row]])="",TRUE()),FALSE(),INDEX(tsk_IsSummary,GanttView[[#This Row],[_Row]]))</f>
        <v>0</v>
      </c>
      <c r="O119" s="95" t="b">
        <f aca="false">IF(IFERROR(INDEX(tsk_Name,GanttView[[#This Row],[_Row]])="",TRUE()),FALSE(),AND(INDEX(tsk_IsLeaf,GanttView[[#This Row],[_Row]])=1,N(INDEX(tsk_Duration,GanttView[[#This Row],[_Row]]))=0))</f>
        <v>0</v>
      </c>
      <c r="P119" s="96" t="n">
        <f aca="false">IF(IFERROR(INDEX(tsk_Name,GanttView[[#This Row],[_Row]])="",TRUE()),0,IF(AND(INDEX(tsk_IsLeaf,GanttView[[#This Row],[_Row]])=1,NOT(GanttView[[#This Row],[_IsMilestone]]),N(GanttView[[#This Row],[%]])&gt;0),GanttView[[#This Row],[Start]],0))</f>
        <v>0</v>
      </c>
      <c r="Q119" s="96" t="n">
        <f aca="false">IF(GanttView[[#This Row],[_DoneFrom]]=0,0,IF(GanttView[[#This Row],[%]]&gt;=1,GanttView[[#This Row],[Finish]],MAX(GanttView[[#This Row],[_DoneFrom]],GanttView[[#This Row],[Start]]+ROUND((GanttView[[#This Row],[Finish]]-GanttView[[#This Row],[Start]]+1)*GanttView[[#This Row],[%]],0)-1)))</f>
        <v>0</v>
      </c>
      <c r="R119" s="96" t="n">
        <f aca="false">IF(IFERROR(INDEX(tsk_Name,GanttView[[#This Row],[_Row]])="",TRUE()),0,IF(OR(INDEX(tsk_IsLeaf,GanttView[[#This Row],[_Row]])&lt;&gt;1,GanttView[[#This Row],[_IsMilestone]],N(GanttView[[#This Row],[%]])&gt;=1),0,IF(GanttView[[#This Row],[_DoneTo]]&gt;0,GanttView[[#This Row],[_DoneTo]]+1,GanttView[[#This Row],[Start]])))</f>
        <v>0</v>
      </c>
      <c r="S119" s="96" t="n">
        <f aca="false">IF(GanttView[[#This Row],[_RemFrom]]=0,0,GanttView[[#This Row],[Finish]])</f>
        <v>0</v>
      </c>
      <c r="T119" s="95" t="b">
        <f aca="false">IF(IFERROR(INDEX(tsk_Name,GanttView[[#This Row],[_Row]])="",TRUE()),FALSE(),N(INDEX(tsk_Variance,GanttView[[#This Row],[_Row]]))&gt;0)</f>
        <v>0</v>
      </c>
      <c r="U119" s="96" t="n">
        <f aca="false">IF(IFERROR(INDEX(tsk_Name,GanttView[[#This Row],[_Row]])="",TRUE()),0,N(INDEX(tsk_Deadline,GanttView[[#This Row],[_Row]])))</f>
        <v>0</v>
      </c>
      <c r="V119" s="95" t="b">
        <f aca="false">IF(IFERROR(INDEX(tsk_Name,GanttView[[#This Row],[_Row]])="",TRUE()),FALSE(),INDEX(tsk_Critical,GanttView[[#This Row],[_Row]])="Yes")</f>
        <v>0</v>
      </c>
    </row>
    <row r="120" customFormat="false" ht="15" hidden="false" customHeight="false" outlineLevel="0" collapsed="false">
      <c r="A120" s="89" t="str">
        <f aca="false">IF(IFERROR(INDEX(tsk_Name,GanttView[[#This Row],[_Row]])="",TRUE()),"",INDEX(tsk_ID,GanttView[[#This Row],[_Row]]))</f>
        <v/>
      </c>
      <c r="B120" s="90" t="str">
        <f aca="false">IF(IFERROR(INDEX(tsk_Name,GanttView[[#This Row],[_Row]])="",TRUE()),"",REPT("    ",INDEX(tsk_Level,GanttView[[#This Row],[_Row]])-1)&amp;INDEX(tsk_Name,GanttView[[#This Row],[_Row]]))</f>
        <v/>
      </c>
      <c r="C120" s="91" t="str">
        <f aca="false">IF(IFERROR(INDEX(tsk_Name,GanttView[[#This Row],[_Row]])="",TRUE()),"",INDEX(tsk_FcStart,GanttView[[#This Row],[_Row]]))</f>
        <v/>
      </c>
      <c r="D120" s="91" t="str">
        <f aca="false">IF(IFERROR(INDEX(tsk_Name,GanttView[[#This Row],[_Row]])="",TRUE()),"",INDEX(tsk_FcFinish,GanttView[[#This Row],[_Row]]))</f>
        <v/>
      </c>
      <c r="E120" s="92" t="str">
        <f aca="false">IF(IFERROR(INDEX(tsk_Name,GanttView[[#This Row],[_Row]])="",TRUE()),"",INDEX(tsk_Progress,GanttView[[#This Row],[_Row]]))</f>
        <v/>
      </c>
      <c r="F120" s="90" t="str">
        <f aca="false">IF(IFERROR(INDEX(tsk_Name,GanttView[[#This Row],[_Row]])="",TRUE()),"",INDEX(tsk_ResourceNames,GanttView[[#This Row],[_Row]])&amp;"")</f>
        <v/>
      </c>
      <c r="G120" s="89" t="str">
        <f aca="false">IF(IFERROR(INDEX(tsk_Name,GanttView[[#This Row],[_Row]])="",TRUE()),"",INDEX(tsk_WBS,GanttView[[#This Row],[_Row]]))</f>
        <v/>
      </c>
      <c r="H120" s="89" t="str">
        <f aca="false">IF(IFERROR(INDEX(tsk_Name,GanttView[[#This Row],[_Row]])="",TRUE()),"",IF(INDEX(tsk_IsSummary,GanttView[[#This Row],[_Row]]),NETWORKDAYS.INTL(INDEX(tsk_FcStart,GanttView[[#This Row],[_Row]]),INDEX(tsk_FcFinish,GanttView[[#This Row],[_Row]]),WorkWeek,Holidays),N(INDEX(tsk_Duration,GanttView[[#This Row],[_Row]]))))</f>
        <v/>
      </c>
      <c r="I120" s="91" t="str">
        <f aca="false">IF(IFERROR(INDEX(tsk_Name,GanttView[[#This Row],[_Row]])="",TRUE()),"",INDEX(tsk_PlanStart,GanttView[[#This Row],[_Row]]))</f>
        <v/>
      </c>
      <c r="J120" s="91" t="str">
        <f aca="false">IF(IFERROR(INDEX(tsk_Name,GanttView[[#This Row],[_Row]])="",TRUE()),"",INDEX(tsk_PlanFinish,GanttView[[#This Row],[_Row]]))</f>
        <v/>
      </c>
      <c r="K120" s="93" t="str">
        <f aca="false">IF(IFERROR(INDEX(tsk_Name,GanttView[[#This Row],[_Row]])="",TRUE()),"",INDEX(tsk_Status,GanttView[[#This Row],[_Row]]))</f>
        <v/>
      </c>
      <c r="L120" s="93" t="str">
        <f aca="false">IF(IFERROR(INDEX(tsk_Name,GanttView[[#This Row],[_Row]])="",TRUE()),"",INDEX(tsk_Show,GanttView[[#This Row],[_Row]])&amp;"")</f>
        <v/>
      </c>
      <c r="M120" s="94" t="n">
        <f aca="false">ROW()-ROW(GanttView[[#Headers],[ID]])</f>
        <v>115</v>
      </c>
      <c r="N120" s="95" t="b">
        <f aca="false">IF(IFERROR(INDEX(tsk_Name,GanttView[[#This Row],[_Row]])="",TRUE()),FALSE(),INDEX(tsk_IsSummary,GanttView[[#This Row],[_Row]]))</f>
        <v>0</v>
      </c>
      <c r="O120" s="95" t="b">
        <f aca="false">IF(IFERROR(INDEX(tsk_Name,GanttView[[#This Row],[_Row]])="",TRUE()),FALSE(),AND(INDEX(tsk_IsLeaf,GanttView[[#This Row],[_Row]])=1,N(INDEX(tsk_Duration,GanttView[[#This Row],[_Row]]))=0))</f>
        <v>0</v>
      </c>
      <c r="P120" s="96" t="n">
        <f aca="false">IF(IFERROR(INDEX(tsk_Name,GanttView[[#This Row],[_Row]])="",TRUE()),0,IF(AND(INDEX(tsk_IsLeaf,GanttView[[#This Row],[_Row]])=1,NOT(GanttView[[#This Row],[_IsMilestone]]),N(GanttView[[#This Row],[%]])&gt;0),GanttView[[#This Row],[Start]],0))</f>
        <v>0</v>
      </c>
      <c r="Q120" s="96" t="n">
        <f aca="false">IF(GanttView[[#This Row],[_DoneFrom]]=0,0,IF(GanttView[[#This Row],[%]]&gt;=1,GanttView[[#This Row],[Finish]],MAX(GanttView[[#This Row],[_DoneFrom]],GanttView[[#This Row],[Start]]+ROUND((GanttView[[#This Row],[Finish]]-GanttView[[#This Row],[Start]]+1)*GanttView[[#This Row],[%]],0)-1)))</f>
        <v>0</v>
      </c>
      <c r="R120" s="96" t="n">
        <f aca="false">IF(IFERROR(INDEX(tsk_Name,GanttView[[#This Row],[_Row]])="",TRUE()),0,IF(OR(INDEX(tsk_IsLeaf,GanttView[[#This Row],[_Row]])&lt;&gt;1,GanttView[[#This Row],[_IsMilestone]],N(GanttView[[#This Row],[%]])&gt;=1),0,IF(GanttView[[#This Row],[_DoneTo]]&gt;0,GanttView[[#This Row],[_DoneTo]]+1,GanttView[[#This Row],[Start]])))</f>
        <v>0</v>
      </c>
      <c r="S120" s="96" t="n">
        <f aca="false">IF(GanttView[[#This Row],[_RemFrom]]=0,0,GanttView[[#This Row],[Finish]])</f>
        <v>0</v>
      </c>
      <c r="T120" s="95" t="b">
        <f aca="false">IF(IFERROR(INDEX(tsk_Name,GanttView[[#This Row],[_Row]])="",TRUE()),FALSE(),N(INDEX(tsk_Variance,GanttView[[#This Row],[_Row]]))&gt;0)</f>
        <v>0</v>
      </c>
      <c r="U120" s="96" t="n">
        <f aca="false">IF(IFERROR(INDEX(tsk_Name,GanttView[[#This Row],[_Row]])="",TRUE()),0,N(INDEX(tsk_Deadline,GanttView[[#This Row],[_Row]])))</f>
        <v>0</v>
      </c>
      <c r="V120" s="95" t="b">
        <f aca="false">IF(IFERROR(INDEX(tsk_Name,GanttView[[#This Row],[_Row]])="",TRUE()),FALSE(),INDEX(tsk_Critical,GanttView[[#This Row],[_Row]])="Yes")</f>
        <v>0</v>
      </c>
    </row>
    <row r="121" customFormat="false" ht="15" hidden="false" customHeight="false" outlineLevel="0" collapsed="false">
      <c r="A121" s="89" t="str">
        <f aca="false">IF(IFERROR(INDEX(tsk_Name,GanttView[[#This Row],[_Row]])="",TRUE()),"",INDEX(tsk_ID,GanttView[[#This Row],[_Row]]))</f>
        <v/>
      </c>
      <c r="B121" s="90" t="str">
        <f aca="false">IF(IFERROR(INDEX(tsk_Name,GanttView[[#This Row],[_Row]])="",TRUE()),"",REPT("    ",INDEX(tsk_Level,GanttView[[#This Row],[_Row]])-1)&amp;INDEX(tsk_Name,GanttView[[#This Row],[_Row]]))</f>
        <v/>
      </c>
      <c r="C121" s="91" t="str">
        <f aca="false">IF(IFERROR(INDEX(tsk_Name,GanttView[[#This Row],[_Row]])="",TRUE()),"",INDEX(tsk_FcStart,GanttView[[#This Row],[_Row]]))</f>
        <v/>
      </c>
      <c r="D121" s="91" t="str">
        <f aca="false">IF(IFERROR(INDEX(tsk_Name,GanttView[[#This Row],[_Row]])="",TRUE()),"",INDEX(tsk_FcFinish,GanttView[[#This Row],[_Row]]))</f>
        <v/>
      </c>
      <c r="E121" s="92" t="str">
        <f aca="false">IF(IFERROR(INDEX(tsk_Name,GanttView[[#This Row],[_Row]])="",TRUE()),"",INDEX(tsk_Progress,GanttView[[#This Row],[_Row]]))</f>
        <v/>
      </c>
      <c r="F121" s="90" t="str">
        <f aca="false">IF(IFERROR(INDEX(tsk_Name,GanttView[[#This Row],[_Row]])="",TRUE()),"",INDEX(tsk_ResourceNames,GanttView[[#This Row],[_Row]])&amp;"")</f>
        <v/>
      </c>
      <c r="G121" s="89" t="str">
        <f aca="false">IF(IFERROR(INDEX(tsk_Name,GanttView[[#This Row],[_Row]])="",TRUE()),"",INDEX(tsk_WBS,GanttView[[#This Row],[_Row]]))</f>
        <v/>
      </c>
      <c r="H121" s="89" t="str">
        <f aca="false">IF(IFERROR(INDEX(tsk_Name,GanttView[[#This Row],[_Row]])="",TRUE()),"",IF(INDEX(tsk_IsSummary,GanttView[[#This Row],[_Row]]),NETWORKDAYS.INTL(INDEX(tsk_FcStart,GanttView[[#This Row],[_Row]]),INDEX(tsk_FcFinish,GanttView[[#This Row],[_Row]]),WorkWeek,Holidays),N(INDEX(tsk_Duration,GanttView[[#This Row],[_Row]]))))</f>
        <v/>
      </c>
      <c r="I121" s="91" t="str">
        <f aca="false">IF(IFERROR(INDEX(tsk_Name,GanttView[[#This Row],[_Row]])="",TRUE()),"",INDEX(tsk_PlanStart,GanttView[[#This Row],[_Row]]))</f>
        <v/>
      </c>
      <c r="J121" s="91" t="str">
        <f aca="false">IF(IFERROR(INDEX(tsk_Name,GanttView[[#This Row],[_Row]])="",TRUE()),"",INDEX(tsk_PlanFinish,GanttView[[#This Row],[_Row]]))</f>
        <v/>
      </c>
      <c r="K121" s="93" t="str">
        <f aca="false">IF(IFERROR(INDEX(tsk_Name,GanttView[[#This Row],[_Row]])="",TRUE()),"",INDEX(tsk_Status,GanttView[[#This Row],[_Row]]))</f>
        <v/>
      </c>
      <c r="L121" s="93" t="str">
        <f aca="false">IF(IFERROR(INDEX(tsk_Name,GanttView[[#This Row],[_Row]])="",TRUE()),"",INDEX(tsk_Show,GanttView[[#This Row],[_Row]])&amp;"")</f>
        <v/>
      </c>
      <c r="M121" s="94" t="n">
        <f aca="false">ROW()-ROW(GanttView[[#Headers],[ID]])</f>
        <v>116</v>
      </c>
      <c r="N121" s="95" t="b">
        <f aca="false">IF(IFERROR(INDEX(tsk_Name,GanttView[[#This Row],[_Row]])="",TRUE()),FALSE(),INDEX(tsk_IsSummary,GanttView[[#This Row],[_Row]]))</f>
        <v>0</v>
      </c>
      <c r="O121" s="95" t="b">
        <f aca="false">IF(IFERROR(INDEX(tsk_Name,GanttView[[#This Row],[_Row]])="",TRUE()),FALSE(),AND(INDEX(tsk_IsLeaf,GanttView[[#This Row],[_Row]])=1,N(INDEX(tsk_Duration,GanttView[[#This Row],[_Row]]))=0))</f>
        <v>0</v>
      </c>
      <c r="P121" s="96" t="n">
        <f aca="false">IF(IFERROR(INDEX(tsk_Name,GanttView[[#This Row],[_Row]])="",TRUE()),0,IF(AND(INDEX(tsk_IsLeaf,GanttView[[#This Row],[_Row]])=1,NOT(GanttView[[#This Row],[_IsMilestone]]),N(GanttView[[#This Row],[%]])&gt;0),GanttView[[#This Row],[Start]],0))</f>
        <v>0</v>
      </c>
      <c r="Q121" s="96" t="n">
        <f aca="false">IF(GanttView[[#This Row],[_DoneFrom]]=0,0,IF(GanttView[[#This Row],[%]]&gt;=1,GanttView[[#This Row],[Finish]],MAX(GanttView[[#This Row],[_DoneFrom]],GanttView[[#This Row],[Start]]+ROUND((GanttView[[#This Row],[Finish]]-GanttView[[#This Row],[Start]]+1)*GanttView[[#This Row],[%]],0)-1)))</f>
        <v>0</v>
      </c>
      <c r="R121" s="96" t="n">
        <f aca="false">IF(IFERROR(INDEX(tsk_Name,GanttView[[#This Row],[_Row]])="",TRUE()),0,IF(OR(INDEX(tsk_IsLeaf,GanttView[[#This Row],[_Row]])&lt;&gt;1,GanttView[[#This Row],[_IsMilestone]],N(GanttView[[#This Row],[%]])&gt;=1),0,IF(GanttView[[#This Row],[_DoneTo]]&gt;0,GanttView[[#This Row],[_DoneTo]]+1,GanttView[[#This Row],[Start]])))</f>
        <v>0</v>
      </c>
      <c r="S121" s="96" t="n">
        <f aca="false">IF(GanttView[[#This Row],[_RemFrom]]=0,0,GanttView[[#This Row],[Finish]])</f>
        <v>0</v>
      </c>
      <c r="T121" s="95" t="b">
        <f aca="false">IF(IFERROR(INDEX(tsk_Name,GanttView[[#This Row],[_Row]])="",TRUE()),FALSE(),N(INDEX(tsk_Variance,GanttView[[#This Row],[_Row]]))&gt;0)</f>
        <v>0</v>
      </c>
      <c r="U121" s="96" t="n">
        <f aca="false">IF(IFERROR(INDEX(tsk_Name,GanttView[[#This Row],[_Row]])="",TRUE()),0,N(INDEX(tsk_Deadline,GanttView[[#This Row],[_Row]])))</f>
        <v>0</v>
      </c>
      <c r="V121" s="95" t="b">
        <f aca="false">IF(IFERROR(INDEX(tsk_Name,GanttView[[#This Row],[_Row]])="",TRUE()),FALSE(),INDEX(tsk_Critical,GanttView[[#This Row],[_Row]])="Yes")</f>
        <v>0</v>
      </c>
    </row>
    <row r="122" customFormat="false" ht="15" hidden="false" customHeight="false" outlineLevel="0" collapsed="false">
      <c r="A122" s="89" t="str">
        <f aca="false">IF(IFERROR(INDEX(tsk_Name,GanttView[[#This Row],[_Row]])="",TRUE()),"",INDEX(tsk_ID,GanttView[[#This Row],[_Row]]))</f>
        <v/>
      </c>
      <c r="B122" s="90" t="str">
        <f aca="false">IF(IFERROR(INDEX(tsk_Name,GanttView[[#This Row],[_Row]])="",TRUE()),"",REPT("    ",INDEX(tsk_Level,GanttView[[#This Row],[_Row]])-1)&amp;INDEX(tsk_Name,GanttView[[#This Row],[_Row]]))</f>
        <v/>
      </c>
      <c r="C122" s="91" t="str">
        <f aca="false">IF(IFERROR(INDEX(tsk_Name,GanttView[[#This Row],[_Row]])="",TRUE()),"",INDEX(tsk_FcStart,GanttView[[#This Row],[_Row]]))</f>
        <v/>
      </c>
      <c r="D122" s="91" t="str">
        <f aca="false">IF(IFERROR(INDEX(tsk_Name,GanttView[[#This Row],[_Row]])="",TRUE()),"",INDEX(tsk_FcFinish,GanttView[[#This Row],[_Row]]))</f>
        <v/>
      </c>
      <c r="E122" s="92" t="str">
        <f aca="false">IF(IFERROR(INDEX(tsk_Name,GanttView[[#This Row],[_Row]])="",TRUE()),"",INDEX(tsk_Progress,GanttView[[#This Row],[_Row]]))</f>
        <v/>
      </c>
      <c r="F122" s="90" t="str">
        <f aca="false">IF(IFERROR(INDEX(tsk_Name,GanttView[[#This Row],[_Row]])="",TRUE()),"",INDEX(tsk_ResourceNames,GanttView[[#This Row],[_Row]])&amp;"")</f>
        <v/>
      </c>
      <c r="G122" s="89" t="str">
        <f aca="false">IF(IFERROR(INDEX(tsk_Name,GanttView[[#This Row],[_Row]])="",TRUE()),"",INDEX(tsk_WBS,GanttView[[#This Row],[_Row]]))</f>
        <v/>
      </c>
      <c r="H122" s="89" t="str">
        <f aca="false">IF(IFERROR(INDEX(tsk_Name,GanttView[[#This Row],[_Row]])="",TRUE()),"",IF(INDEX(tsk_IsSummary,GanttView[[#This Row],[_Row]]),NETWORKDAYS.INTL(INDEX(tsk_FcStart,GanttView[[#This Row],[_Row]]),INDEX(tsk_FcFinish,GanttView[[#This Row],[_Row]]),WorkWeek,Holidays),N(INDEX(tsk_Duration,GanttView[[#This Row],[_Row]]))))</f>
        <v/>
      </c>
      <c r="I122" s="91" t="str">
        <f aca="false">IF(IFERROR(INDEX(tsk_Name,GanttView[[#This Row],[_Row]])="",TRUE()),"",INDEX(tsk_PlanStart,GanttView[[#This Row],[_Row]]))</f>
        <v/>
      </c>
      <c r="J122" s="91" t="str">
        <f aca="false">IF(IFERROR(INDEX(tsk_Name,GanttView[[#This Row],[_Row]])="",TRUE()),"",INDEX(tsk_PlanFinish,GanttView[[#This Row],[_Row]]))</f>
        <v/>
      </c>
      <c r="K122" s="93" t="str">
        <f aca="false">IF(IFERROR(INDEX(tsk_Name,GanttView[[#This Row],[_Row]])="",TRUE()),"",INDEX(tsk_Status,GanttView[[#This Row],[_Row]]))</f>
        <v/>
      </c>
      <c r="L122" s="93" t="str">
        <f aca="false">IF(IFERROR(INDEX(tsk_Name,GanttView[[#This Row],[_Row]])="",TRUE()),"",INDEX(tsk_Show,GanttView[[#This Row],[_Row]])&amp;"")</f>
        <v/>
      </c>
      <c r="M122" s="94" t="n">
        <f aca="false">ROW()-ROW(GanttView[[#Headers],[ID]])</f>
        <v>117</v>
      </c>
      <c r="N122" s="95" t="b">
        <f aca="false">IF(IFERROR(INDEX(tsk_Name,GanttView[[#This Row],[_Row]])="",TRUE()),FALSE(),INDEX(tsk_IsSummary,GanttView[[#This Row],[_Row]]))</f>
        <v>0</v>
      </c>
      <c r="O122" s="95" t="b">
        <f aca="false">IF(IFERROR(INDEX(tsk_Name,GanttView[[#This Row],[_Row]])="",TRUE()),FALSE(),AND(INDEX(tsk_IsLeaf,GanttView[[#This Row],[_Row]])=1,N(INDEX(tsk_Duration,GanttView[[#This Row],[_Row]]))=0))</f>
        <v>0</v>
      </c>
      <c r="P122" s="96" t="n">
        <f aca="false">IF(IFERROR(INDEX(tsk_Name,GanttView[[#This Row],[_Row]])="",TRUE()),0,IF(AND(INDEX(tsk_IsLeaf,GanttView[[#This Row],[_Row]])=1,NOT(GanttView[[#This Row],[_IsMilestone]]),N(GanttView[[#This Row],[%]])&gt;0),GanttView[[#This Row],[Start]],0))</f>
        <v>0</v>
      </c>
      <c r="Q122" s="96" t="n">
        <f aca="false">IF(GanttView[[#This Row],[_DoneFrom]]=0,0,IF(GanttView[[#This Row],[%]]&gt;=1,GanttView[[#This Row],[Finish]],MAX(GanttView[[#This Row],[_DoneFrom]],GanttView[[#This Row],[Start]]+ROUND((GanttView[[#This Row],[Finish]]-GanttView[[#This Row],[Start]]+1)*GanttView[[#This Row],[%]],0)-1)))</f>
        <v>0</v>
      </c>
      <c r="R122" s="96" t="n">
        <f aca="false">IF(IFERROR(INDEX(tsk_Name,GanttView[[#This Row],[_Row]])="",TRUE()),0,IF(OR(INDEX(tsk_IsLeaf,GanttView[[#This Row],[_Row]])&lt;&gt;1,GanttView[[#This Row],[_IsMilestone]],N(GanttView[[#This Row],[%]])&gt;=1),0,IF(GanttView[[#This Row],[_DoneTo]]&gt;0,GanttView[[#This Row],[_DoneTo]]+1,GanttView[[#This Row],[Start]])))</f>
        <v>0</v>
      </c>
      <c r="S122" s="96" t="n">
        <f aca="false">IF(GanttView[[#This Row],[_RemFrom]]=0,0,GanttView[[#This Row],[Finish]])</f>
        <v>0</v>
      </c>
      <c r="T122" s="95" t="b">
        <f aca="false">IF(IFERROR(INDEX(tsk_Name,GanttView[[#This Row],[_Row]])="",TRUE()),FALSE(),N(INDEX(tsk_Variance,GanttView[[#This Row],[_Row]]))&gt;0)</f>
        <v>0</v>
      </c>
      <c r="U122" s="96" t="n">
        <f aca="false">IF(IFERROR(INDEX(tsk_Name,GanttView[[#This Row],[_Row]])="",TRUE()),0,N(INDEX(tsk_Deadline,GanttView[[#This Row],[_Row]])))</f>
        <v>0</v>
      </c>
      <c r="V122" s="95" t="b">
        <f aca="false">IF(IFERROR(INDEX(tsk_Name,GanttView[[#This Row],[_Row]])="",TRUE()),FALSE(),INDEX(tsk_Critical,GanttView[[#This Row],[_Row]])="Yes")</f>
        <v>0</v>
      </c>
    </row>
    <row r="123" customFormat="false" ht="15" hidden="false" customHeight="false" outlineLevel="0" collapsed="false">
      <c r="A123" s="89" t="str">
        <f aca="false">IF(IFERROR(INDEX(tsk_Name,GanttView[[#This Row],[_Row]])="",TRUE()),"",INDEX(tsk_ID,GanttView[[#This Row],[_Row]]))</f>
        <v/>
      </c>
      <c r="B123" s="90" t="str">
        <f aca="false">IF(IFERROR(INDEX(tsk_Name,GanttView[[#This Row],[_Row]])="",TRUE()),"",REPT("    ",INDEX(tsk_Level,GanttView[[#This Row],[_Row]])-1)&amp;INDEX(tsk_Name,GanttView[[#This Row],[_Row]]))</f>
        <v/>
      </c>
      <c r="C123" s="91" t="str">
        <f aca="false">IF(IFERROR(INDEX(tsk_Name,GanttView[[#This Row],[_Row]])="",TRUE()),"",INDEX(tsk_FcStart,GanttView[[#This Row],[_Row]]))</f>
        <v/>
      </c>
      <c r="D123" s="91" t="str">
        <f aca="false">IF(IFERROR(INDEX(tsk_Name,GanttView[[#This Row],[_Row]])="",TRUE()),"",INDEX(tsk_FcFinish,GanttView[[#This Row],[_Row]]))</f>
        <v/>
      </c>
      <c r="E123" s="92" t="str">
        <f aca="false">IF(IFERROR(INDEX(tsk_Name,GanttView[[#This Row],[_Row]])="",TRUE()),"",INDEX(tsk_Progress,GanttView[[#This Row],[_Row]]))</f>
        <v/>
      </c>
      <c r="F123" s="90" t="str">
        <f aca="false">IF(IFERROR(INDEX(tsk_Name,GanttView[[#This Row],[_Row]])="",TRUE()),"",INDEX(tsk_ResourceNames,GanttView[[#This Row],[_Row]])&amp;"")</f>
        <v/>
      </c>
      <c r="G123" s="89" t="str">
        <f aca="false">IF(IFERROR(INDEX(tsk_Name,GanttView[[#This Row],[_Row]])="",TRUE()),"",INDEX(tsk_WBS,GanttView[[#This Row],[_Row]]))</f>
        <v/>
      </c>
      <c r="H123" s="89" t="str">
        <f aca="false">IF(IFERROR(INDEX(tsk_Name,GanttView[[#This Row],[_Row]])="",TRUE()),"",IF(INDEX(tsk_IsSummary,GanttView[[#This Row],[_Row]]),NETWORKDAYS.INTL(INDEX(tsk_FcStart,GanttView[[#This Row],[_Row]]),INDEX(tsk_FcFinish,GanttView[[#This Row],[_Row]]),WorkWeek,Holidays),N(INDEX(tsk_Duration,GanttView[[#This Row],[_Row]]))))</f>
        <v/>
      </c>
      <c r="I123" s="91" t="str">
        <f aca="false">IF(IFERROR(INDEX(tsk_Name,GanttView[[#This Row],[_Row]])="",TRUE()),"",INDEX(tsk_PlanStart,GanttView[[#This Row],[_Row]]))</f>
        <v/>
      </c>
      <c r="J123" s="91" t="str">
        <f aca="false">IF(IFERROR(INDEX(tsk_Name,GanttView[[#This Row],[_Row]])="",TRUE()),"",INDEX(tsk_PlanFinish,GanttView[[#This Row],[_Row]]))</f>
        <v/>
      </c>
      <c r="K123" s="93" t="str">
        <f aca="false">IF(IFERROR(INDEX(tsk_Name,GanttView[[#This Row],[_Row]])="",TRUE()),"",INDEX(tsk_Status,GanttView[[#This Row],[_Row]]))</f>
        <v/>
      </c>
      <c r="L123" s="93" t="str">
        <f aca="false">IF(IFERROR(INDEX(tsk_Name,GanttView[[#This Row],[_Row]])="",TRUE()),"",INDEX(tsk_Show,GanttView[[#This Row],[_Row]])&amp;"")</f>
        <v/>
      </c>
      <c r="M123" s="94" t="n">
        <f aca="false">ROW()-ROW(GanttView[[#Headers],[ID]])</f>
        <v>118</v>
      </c>
      <c r="N123" s="95" t="b">
        <f aca="false">IF(IFERROR(INDEX(tsk_Name,GanttView[[#This Row],[_Row]])="",TRUE()),FALSE(),INDEX(tsk_IsSummary,GanttView[[#This Row],[_Row]]))</f>
        <v>0</v>
      </c>
      <c r="O123" s="95" t="b">
        <f aca="false">IF(IFERROR(INDEX(tsk_Name,GanttView[[#This Row],[_Row]])="",TRUE()),FALSE(),AND(INDEX(tsk_IsLeaf,GanttView[[#This Row],[_Row]])=1,N(INDEX(tsk_Duration,GanttView[[#This Row],[_Row]]))=0))</f>
        <v>0</v>
      </c>
      <c r="P123" s="96" t="n">
        <f aca="false">IF(IFERROR(INDEX(tsk_Name,GanttView[[#This Row],[_Row]])="",TRUE()),0,IF(AND(INDEX(tsk_IsLeaf,GanttView[[#This Row],[_Row]])=1,NOT(GanttView[[#This Row],[_IsMilestone]]),N(GanttView[[#This Row],[%]])&gt;0),GanttView[[#This Row],[Start]],0))</f>
        <v>0</v>
      </c>
      <c r="Q123" s="96" t="n">
        <f aca="false">IF(GanttView[[#This Row],[_DoneFrom]]=0,0,IF(GanttView[[#This Row],[%]]&gt;=1,GanttView[[#This Row],[Finish]],MAX(GanttView[[#This Row],[_DoneFrom]],GanttView[[#This Row],[Start]]+ROUND((GanttView[[#This Row],[Finish]]-GanttView[[#This Row],[Start]]+1)*GanttView[[#This Row],[%]],0)-1)))</f>
        <v>0</v>
      </c>
      <c r="R123" s="96" t="n">
        <f aca="false">IF(IFERROR(INDEX(tsk_Name,GanttView[[#This Row],[_Row]])="",TRUE()),0,IF(OR(INDEX(tsk_IsLeaf,GanttView[[#This Row],[_Row]])&lt;&gt;1,GanttView[[#This Row],[_IsMilestone]],N(GanttView[[#This Row],[%]])&gt;=1),0,IF(GanttView[[#This Row],[_DoneTo]]&gt;0,GanttView[[#This Row],[_DoneTo]]+1,GanttView[[#This Row],[Start]])))</f>
        <v>0</v>
      </c>
      <c r="S123" s="96" t="n">
        <f aca="false">IF(GanttView[[#This Row],[_RemFrom]]=0,0,GanttView[[#This Row],[Finish]])</f>
        <v>0</v>
      </c>
      <c r="T123" s="95" t="b">
        <f aca="false">IF(IFERROR(INDEX(tsk_Name,GanttView[[#This Row],[_Row]])="",TRUE()),FALSE(),N(INDEX(tsk_Variance,GanttView[[#This Row],[_Row]]))&gt;0)</f>
        <v>0</v>
      </c>
      <c r="U123" s="96" t="n">
        <f aca="false">IF(IFERROR(INDEX(tsk_Name,GanttView[[#This Row],[_Row]])="",TRUE()),0,N(INDEX(tsk_Deadline,GanttView[[#This Row],[_Row]])))</f>
        <v>0</v>
      </c>
      <c r="V123" s="95" t="b">
        <f aca="false">IF(IFERROR(INDEX(tsk_Name,GanttView[[#This Row],[_Row]])="",TRUE()),FALSE(),INDEX(tsk_Critical,GanttView[[#This Row],[_Row]])="Yes")</f>
        <v>0</v>
      </c>
    </row>
    <row r="124" customFormat="false" ht="15" hidden="false" customHeight="false" outlineLevel="0" collapsed="false">
      <c r="A124" s="89" t="str">
        <f aca="false">IF(IFERROR(INDEX(tsk_Name,GanttView[[#This Row],[_Row]])="",TRUE()),"",INDEX(tsk_ID,GanttView[[#This Row],[_Row]]))</f>
        <v/>
      </c>
      <c r="B124" s="90" t="str">
        <f aca="false">IF(IFERROR(INDEX(tsk_Name,GanttView[[#This Row],[_Row]])="",TRUE()),"",REPT("    ",INDEX(tsk_Level,GanttView[[#This Row],[_Row]])-1)&amp;INDEX(tsk_Name,GanttView[[#This Row],[_Row]]))</f>
        <v/>
      </c>
      <c r="C124" s="91" t="str">
        <f aca="false">IF(IFERROR(INDEX(tsk_Name,GanttView[[#This Row],[_Row]])="",TRUE()),"",INDEX(tsk_FcStart,GanttView[[#This Row],[_Row]]))</f>
        <v/>
      </c>
      <c r="D124" s="91" t="str">
        <f aca="false">IF(IFERROR(INDEX(tsk_Name,GanttView[[#This Row],[_Row]])="",TRUE()),"",INDEX(tsk_FcFinish,GanttView[[#This Row],[_Row]]))</f>
        <v/>
      </c>
      <c r="E124" s="92" t="str">
        <f aca="false">IF(IFERROR(INDEX(tsk_Name,GanttView[[#This Row],[_Row]])="",TRUE()),"",INDEX(tsk_Progress,GanttView[[#This Row],[_Row]]))</f>
        <v/>
      </c>
      <c r="F124" s="90" t="str">
        <f aca="false">IF(IFERROR(INDEX(tsk_Name,GanttView[[#This Row],[_Row]])="",TRUE()),"",INDEX(tsk_ResourceNames,GanttView[[#This Row],[_Row]])&amp;"")</f>
        <v/>
      </c>
      <c r="G124" s="89" t="str">
        <f aca="false">IF(IFERROR(INDEX(tsk_Name,GanttView[[#This Row],[_Row]])="",TRUE()),"",INDEX(tsk_WBS,GanttView[[#This Row],[_Row]]))</f>
        <v/>
      </c>
      <c r="H124" s="89" t="str">
        <f aca="false">IF(IFERROR(INDEX(tsk_Name,GanttView[[#This Row],[_Row]])="",TRUE()),"",IF(INDEX(tsk_IsSummary,GanttView[[#This Row],[_Row]]),NETWORKDAYS.INTL(INDEX(tsk_FcStart,GanttView[[#This Row],[_Row]]),INDEX(tsk_FcFinish,GanttView[[#This Row],[_Row]]),WorkWeek,Holidays),N(INDEX(tsk_Duration,GanttView[[#This Row],[_Row]]))))</f>
        <v/>
      </c>
      <c r="I124" s="91" t="str">
        <f aca="false">IF(IFERROR(INDEX(tsk_Name,GanttView[[#This Row],[_Row]])="",TRUE()),"",INDEX(tsk_PlanStart,GanttView[[#This Row],[_Row]]))</f>
        <v/>
      </c>
      <c r="J124" s="91" t="str">
        <f aca="false">IF(IFERROR(INDEX(tsk_Name,GanttView[[#This Row],[_Row]])="",TRUE()),"",INDEX(tsk_PlanFinish,GanttView[[#This Row],[_Row]]))</f>
        <v/>
      </c>
      <c r="K124" s="93" t="str">
        <f aca="false">IF(IFERROR(INDEX(tsk_Name,GanttView[[#This Row],[_Row]])="",TRUE()),"",INDEX(tsk_Status,GanttView[[#This Row],[_Row]]))</f>
        <v/>
      </c>
      <c r="L124" s="93" t="str">
        <f aca="false">IF(IFERROR(INDEX(tsk_Name,GanttView[[#This Row],[_Row]])="",TRUE()),"",INDEX(tsk_Show,GanttView[[#This Row],[_Row]])&amp;"")</f>
        <v/>
      </c>
      <c r="M124" s="94" t="n">
        <f aca="false">ROW()-ROW(GanttView[[#Headers],[ID]])</f>
        <v>119</v>
      </c>
      <c r="N124" s="95" t="b">
        <f aca="false">IF(IFERROR(INDEX(tsk_Name,GanttView[[#This Row],[_Row]])="",TRUE()),FALSE(),INDEX(tsk_IsSummary,GanttView[[#This Row],[_Row]]))</f>
        <v>0</v>
      </c>
      <c r="O124" s="95" t="b">
        <f aca="false">IF(IFERROR(INDEX(tsk_Name,GanttView[[#This Row],[_Row]])="",TRUE()),FALSE(),AND(INDEX(tsk_IsLeaf,GanttView[[#This Row],[_Row]])=1,N(INDEX(tsk_Duration,GanttView[[#This Row],[_Row]]))=0))</f>
        <v>0</v>
      </c>
      <c r="P124" s="96" t="n">
        <f aca="false">IF(IFERROR(INDEX(tsk_Name,GanttView[[#This Row],[_Row]])="",TRUE()),0,IF(AND(INDEX(tsk_IsLeaf,GanttView[[#This Row],[_Row]])=1,NOT(GanttView[[#This Row],[_IsMilestone]]),N(GanttView[[#This Row],[%]])&gt;0),GanttView[[#This Row],[Start]],0))</f>
        <v>0</v>
      </c>
      <c r="Q124" s="96" t="n">
        <f aca="false">IF(GanttView[[#This Row],[_DoneFrom]]=0,0,IF(GanttView[[#This Row],[%]]&gt;=1,GanttView[[#This Row],[Finish]],MAX(GanttView[[#This Row],[_DoneFrom]],GanttView[[#This Row],[Start]]+ROUND((GanttView[[#This Row],[Finish]]-GanttView[[#This Row],[Start]]+1)*GanttView[[#This Row],[%]],0)-1)))</f>
        <v>0</v>
      </c>
      <c r="R124" s="96" t="n">
        <f aca="false">IF(IFERROR(INDEX(tsk_Name,GanttView[[#This Row],[_Row]])="",TRUE()),0,IF(OR(INDEX(tsk_IsLeaf,GanttView[[#This Row],[_Row]])&lt;&gt;1,GanttView[[#This Row],[_IsMilestone]],N(GanttView[[#This Row],[%]])&gt;=1),0,IF(GanttView[[#This Row],[_DoneTo]]&gt;0,GanttView[[#This Row],[_DoneTo]]+1,GanttView[[#This Row],[Start]])))</f>
        <v>0</v>
      </c>
      <c r="S124" s="96" t="n">
        <f aca="false">IF(GanttView[[#This Row],[_RemFrom]]=0,0,GanttView[[#This Row],[Finish]])</f>
        <v>0</v>
      </c>
      <c r="T124" s="95" t="b">
        <f aca="false">IF(IFERROR(INDEX(tsk_Name,GanttView[[#This Row],[_Row]])="",TRUE()),FALSE(),N(INDEX(tsk_Variance,GanttView[[#This Row],[_Row]]))&gt;0)</f>
        <v>0</v>
      </c>
      <c r="U124" s="96" t="n">
        <f aca="false">IF(IFERROR(INDEX(tsk_Name,GanttView[[#This Row],[_Row]])="",TRUE()),0,N(INDEX(tsk_Deadline,GanttView[[#This Row],[_Row]])))</f>
        <v>0</v>
      </c>
      <c r="V124" s="95" t="b">
        <f aca="false">IF(IFERROR(INDEX(tsk_Name,GanttView[[#This Row],[_Row]])="",TRUE()),FALSE(),INDEX(tsk_Critical,GanttView[[#This Row],[_Row]])="Yes")</f>
        <v>0</v>
      </c>
    </row>
    <row r="125" customFormat="false" ht="15" hidden="false" customHeight="false" outlineLevel="0" collapsed="false">
      <c r="A125" s="89" t="str">
        <f aca="false">IF(IFERROR(INDEX(tsk_Name,GanttView[[#This Row],[_Row]])="",TRUE()),"",INDEX(tsk_ID,GanttView[[#This Row],[_Row]]))</f>
        <v/>
      </c>
      <c r="B125" s="90" t="str">
        <f aca="false">IF(IFERROR(INDEX(tsk_Name,GanttView[[#This Row],[_Row]])="",TRUE()),"",REPT("    ",INDEX(tsk_Level,GanttView[[#This Row],[_Row]])-1)&amp;INDEX(tsk_Name,GanttView[[#This Row],[_Row]]))</f>
        <v/>
      </c>
      <c r="C125" s="91" t="str">
        <f aca="false">IF(IFERROR(INDEX(tsk_Name,GanttView[[#This Row],[_Row]])="",TRUE()),"",INDEX(tsk_FcStart,GanttView[[#This Row],[_Row]]))</f>
        <v/>
      </c>
      <c r="D125" s="91" t="str">
        <f aca="false">IF(IFERROR(INDEX(tsk_Name,GanttView[[#This Row],[_Row]])="",TRUE()),"",INDEX(tsk_FcFinish,GanttView[[#This Row],[_Row]]))</f>
        <v/>
      </c>
      <c r="E125" s="92" t="str">
        <f aca="false">IF(IFERROR(INDEX(tsk_Name,GanttView[[#This Row],[_Row]])="",TRUE()),"",INDEX(tsk_Progress,GanttView[[#This Row],[_Row]]))</f>
        <v/>
      </c>
      <c r="F125" s="90" t="str">
        <f aca="false">IF(IFERROR(INDEX(tsk_Name,GanttView[[#This Row],[_Row]])="",TRUE()),"",INDEX(tsk_ResourceNames,GanttView[[#This Row],[_Row]])&amp;"")</f>
        <v/>
      </c>
      <c r="G125" s="89" t="str">
        <f aca="false">IF(IFERROR(INDEX(tsk_Name,GanttView[[#This Row],[_Row]])="",TRUE()),"",INDEX(tsk_WBS,GanttView[[#This Row],[_Row]]))</f>
        <v/>
      </c>
      <c r="H125" s="89" t="str">
        <f aca="false">IF(IFERROR(INDEX(tsk_Name,GanttView[[#This Row],[_Row]])="",TRUE()),"",IF(INDEX(tsk_IsSummary,GanttView[[#This Row],[_Row]]),NETWORKDAYS.INTL(INDEX(tsk_FcStart,GanttView[[#This Row],[_Row]]),INDEX(tsk_FcFinish,GanttView[[#This Row],[_Row]]),WorkWeek,Holidays),N(INDEX(tsk_Duration,GanttView[[#This Row],[_Row]]))))</f>
        <v/>
      </c>
      <c r="I125" s="91" t="str">
        <f aca="false">IF(IFERROR(INDEX(tsk_Name,GanttView[[#This Row],[_Row]])="",TRUE()),"",INDEX(tsk_PlanStart,GanttView[[#This Row],[_Row]]))</f>
        <v/>
      </c>
      <c r="J125" s="91" t="str">
        <f aca="false">IF(IFERROR(INDEX(tsk_Name,GanttView[[#This Row],[_Row]])="",TRUE()),"",INDEX(tsk_PlanFinish,GanttView[[#This Row],[_Row]]))</f>
        <v/>
      </c>
      <c r="K125" s="93" t="str">
        <f aca="false">IF(IFERROR(INDEX(tsk_Name,GanttView[[#This Row],[_Row]])="",TRUE()),"",INDEX(tsk_Status,GanttView[[#This Row],[_Row]]))</f>
        <v/>
      </c>
      <c r="L125" s="93" t="str">
        <f aca="false">IF(IFERROR(INDEX(tsk_Name,GanttView[[#This Row],[_Row]])="",TRUE()),"",INDEX(tsk_Show,GanttView[[#This Row],[_Row]])&amp;"")</f>
        <v/>
      </c>
      <c r="M125" s="94" t="n">
        <f aca="false">ROW()-ROW(GanttView[[#Headers],[ID]])</f>
        <v>120</v>
      </c>
      <c r="N125" s="95" t="b">
        <f aca="false">IF(IFERROR(INDEX(tsk_Name,GanttView[[#This Row],[_Row]])="",TRUE()),FALSE(),INDEX(tsk_IsSummary,GanttView[[#This Row],[_Row]]))</f>
        <v>0</v>
      </c>
      <c r="O125" s="95" t="b">
        <f aca="false">IF(IFERROR(INDEX(tsk_Name,GanttView[[#This Row],[_Row]])="",TRUE()),FALSE(),AND(INDEX(tsk_IsLeaf,GanttView[[#This Row],[_Row]])=1,N(INDEX(tsk_Duration,GanttView[[#This Row],[_Row]]))=0))</f>
        <v>0</v>
      </c>
      <c r="P125" s="96" t="n">
        <f aca="false">IF(IFERROR(INDEX(tsk_Name,GanttView[[#This Row],[_Row]])="",TRUE()),0,IF(AND(INDEX(tsk_IsLeaf,GanttView[[#This Row],[_Row]])=1,NOT(GanttView[[#This Row],[_IsMilestone]]),N(GanttView[[#This Row],[%]])&gt;0),GanttView[[#This Row],[Start]],0))</f>
        <v>0</v>
      </c>
      <c r="Q125" s="96" t="n">
        <f aca="false">IF(GanttView[[#This Row],[_DoneFrom]]=0,0,IF(GanttView[[#This Row],[%]]&gt;=1,GanttView[[#This Row],[Finish]],MAX(GanttView[[#This Row],[_DoneFrom]],GanttView[[#This Row],[Start]]+ROUND((GanttView[[#This Row],[Finish]]-GanttView[[#This Row],[Start]]+1)*GanttView[[#This Row],[%]],0)-1)))</f>
        <v>0</v>
      </c>
      <c r="R125" s="96" t="n">
        <f aca="false">IF(IFERROR(INDEX(tsk_Name,GanttView[[#This Row],[_Row]])="",TRUE()),0,IF(OR(INDEX(tsk_IsLeaf,GanttView[[#This Row],[_Row]])&lt;&gt;1,GanttView[[#This Row],[_IsMilestone]],N(GanttView[[#This Row],[%]])&gt;=1),0,IF(GanttView[[#This Row],[_DoneTo]]&gt;0,GanttView[[#This Row],[_DoneTo]]+1,GanttView[[#This Row],[Start]])))</f>
        <v>0</v>
      </c>
      <c r="S125" s="96" t="n">
        <f aca="false">IF(GanttView[[#This Row],[_RemFrom]]=0,0,GanttView[[#This Row],[Finish]])</f>
        <v>0</v>
      </c>
      <c r="T125" s="95" t="b">
        <f aca="false">IF(IFERROR(INDEX(tsk_Name,GanttView[[#This Row],[_Row]])="",TRUE()),FALSE(),N(INDEX(tsk_Variance,GanttView[[#This Row],[_Row]]))&gt;0)</f>
        <v>0</v>
      </c>
      <c r="U125" s="96" t="n">
        <f aca="false">IF(IFERROR(INDEX(tsk_Name,GanttView[[#This Row],[_Row]])="",TRUE()),0,N(INDEX(tsk_Deadline,GanttView[[#This Row],[_Row]])))</f>
        <v>0</v>
      </c>
      <c r="V125" s="95" t="b">
        <f aca="false">IF(IFERROR(INDEX(tsk_Name,GanttView[[#This Row],[_Row]])="",TRUE()),FALSE(),INDEX(tsk_Critical,GanttView[[#This Row],[_Row]])="Yes")</f>
        <v>0</v>
      </c>
    </row>
    <row r="126" customFormat="false" ht="15" hidden="false" customHeight="false" outlineLevel="0" collapsed="false">
      <c r="A126" s="89" t="str">
        <f aca="false">IF(IFERROR(INDEX(tsk_Name,GanttView[[#This Row],[_Row]])="",TRUE()),"",INDEX(tsk_ID,GanttView[[#This Row],[_Row]]))</f>
        <v/>
      </c>
      <c r="B126" s="90" t="str">
        <f aca="false">IF(IFERROR(INDEX(tsk_Name,GanttView[[#This Row],[_Row]])="",TRUE()),"",REPT("    ",INDEX(tsk_Level,GanttView[[#This Row],[_Row]])-1)&amp;INDEX(tsk_Name,GanttView[[#This Row],[_Row]]))</f>
        <v/>
      </c>
      <c r="C126" s="91" t="str">
        <f aca="false">IF(IFERROR(INDEX(tsk_Name,GanttView[[#This Row],[_Row]])="",TRUE()),"",INDEX(tsk_FcStart,GanttView[[#This Row],[_Row]]))</f>
        <v/>
      </c>
      <c r="D126" s="91" t="str">
        <f aca="false">IF(IFERROR(INDEX(tsk_Name,GanttView[[#This Row],[_Row]])="",TRUE()),"",INDEX(tsk_FcFinish,GanttView[[#This Row],[_Row]]))</f>
        <v/>
      </c>
      <c r="E126" s="92" t="str">
        <f aca="false">IF(IFERROR(INDEX(tsk_Name,GanttView[[#This Row],[_Row]])="",TRUE()),"",INDEX(tsk_Progress,GanttView[[#This Row],[_Row]]))</f>
        <v/>
      </c>
      <c r="F126" s="90" t="str">
        <f aca="false">IF(IFERROR(INDEX(tsk_Name,GanttView[[#This Row],[_Row]])="",TRUE()),"",INDEX(tsk_ResourceNames,GanttView[[#This Row],[_Row]])&amp;"")</f>
        <v/>
      </c>
      <c r="G126" s="89" t="str">
        <f aca="false">IF(IFERROR(INDEX(tsk_Name,GanttView[[#This Row],[_Row]])="",TRUE()),"",INDEX(tsk_WBS,GanttView[[#This Row],[_Row]]))</f>
        <v/>
      </c>
      <c r="H126" s="89" t="str">
        <f aca="false">IF(IFERROR(INDEX(tsk_Name,GanttView[[#This Row],[_Row]])="",TRUE()),"",IF(INDEX(tsk_IsSummary,GanttView[[#This Row],[_Row]]),NETWORKDAYS.INTL(INDEX(tsk_FcStart,GanttView[[#This Row],[_Row]]),INDEX(tsk_FcFinish,GanttView[[#This Row],[_Row]]),WorkWeek,Holidays),N(INDEX(tsk_Duration,GanttView[[#This Row],[_Row]]))))</f>
        <v/>
      </c>
      <c r="I126" s="91" t="str">
        <f aca="false">IF(IFERROR(INDEX(tsk_Name,GanttView[[#This Row],[_Row]])="",TRUE()),"",INDEX(tsk_PlanStart,GanttView[[#This Row],[_Row]]))</f>
        <v/>
      </c>
      <c r="J126" s="91" t="str">
        <f aca="false">IF(IFERROR(INDEX(tsk_Name,GanttView[[#This Row],[_Row]])="",TRUE()),"",INDEX(tsk_PlanFinish,GanttView[[#This Row],[_Row]]))</f>
        <v/>
      </c>
      <c r="K126" s="93" t="str">
        <f aca="false">IF(IFERROR(INDEX(tsk_Name,GanttView[[#This Row],[_Row]])="",TRUE()),"",INDEX(tsk_Status,GanttView[[#This Row],[_Row]]))</f>
        <v/>
      </c>
      <c r="L126" s="93" t="str">
        <f aca="false">IF(IFERROR(INDEX(tsk_Name,GanttView[[#This Row],[_Row]])="",TRUE()),"",INDEX(tsk_Show,GanttView[[#This Row],[_Row]])&amp;"")</f>
        <v/>
      </c>
      <c r="M126" s="94" t="n">
        <f aca="false">ROW()-ROW(GanttView[[#Headers],[ID]])</f>
        <v>121</v>
      </c>
      <c r="N126" s="95" t="b">
        <f aca="false">IF(IFERROR(INDEX(tsk_Name,GanttView[[#This Row],[_Row]])="",TRUE()),FALSE(),INDEX(tsk_IsSummary,GanttView[[#This Row],[_Row]]))</f>
        <v>0</v>
      </c>
      <c r="O126" s="95" t="b">
        <f aca="false">IF(IFERROR(INDEX(tsk_Name,GanttView[[#This Row],[_Row]])="",TRUE()),FALSE(),AND(INDEX(tsk_IsLeaf,GanttView[[#This Row],[_Row]])=1,N(INDEX(tsk_Duration,GanttView[[#This Row],[_Row]]))=0))</f>
        <v>0</v>
      </c>
      <c r="P126" s="96" t="n">
        <f aca="false">IF(IFERROR(INDEX(tsk_Name,GanttView[[#This Row],[_Row]])="",TRUE()),0,IF(AND(INDEX(tsk_IsLeaf,GanttView[[#This Row],[_Row]])=1,NOT(GanttView[[#This Row],[_IsMilestone]]),N(GanttView[[#This Row],[%]])&gt;0),GanttView[[#This Row],[Start]],0))</f>
        <v>0</v>
      </c>
      <c r="Q126" s="96" t="n">
        <f aca="false">IF(GanttView[[#This Row],[_DoneFrom]]=0,0,IF(GanttView[[#This Row],[%]]&gt;=1,GanttView[[#This Row],[Finish]],MAX(GanttView[[#This Row],[_DoneFrom]],GanttView[[#This Row],[Start]]+ROUND((GanttView[[#This Row],[Finish]]-GanttView[[#This Row],[Start]]+1)*GanttView[[#This Row],[%]],0)-1)))</f>
        <v>0</v>
      </c>
      <c r="R126" s="96" t="n">
        <f aca="false">IF(IFERROR(INDEX(tsk_Name,GanttView[[#This Row],[_Row]])="",TRUE()),0,IF(OR(INDEX(tsk_IsLeaf,GanttView[[#This Row],[_Row]])&lt;&gt;1,GanttView[[#This Row],[_IsMilestone]],N(GanttView[[#This Row],[%]])&gt;=1),0,IF(GanttView[[#This Row],[_DoneTo]]&gt;0,GanttView[[#This Row],[_DoneTo]]+1,GanttView[[#This Row],[Start]])))</f>
        <v>0</v>
      </c>
      <c r="S126" s="96" t="n">
        <f aca="false">IF(GanttView[[#This Row],[_RemFrom]]=0,0,GanttView[[#This Row],[Finish]])</f>
        <v>0</v>
      </c>
      <c r="T126" s="95" t="b">
        <f aca="false">IF(IFERROR(INDEX(tsk_Name,GanttView[[#This Row],[_Row]])="",TRUE()),FALSE(),N(INDEX(tsk_Variance,GanttView[[#This Row],[_Row]]))&gt;0)</f>
        <v>0</v>
      </c>
      <c r="U126" s="96" t="n">
        <f aca="false">IF(IFERROR(INDEX(tsk_Name,GanttView[[#This Row],[_Row]])="",TRUE()),0,N(INDEX(tsk_Deadline,GanttView[[#This Row],[_Row]])))</f>
        <v>0</v>
      </c>
      <c r="V126" s="95" t="b">
        <f aca="false">IF(IFERROR(INDEX(tsk_Name,GanttView[[#This Row],[_Row]])="",TRUE()),FALSE(),INDEX(tsk_Critical,GanttView[[#This Row],[_Row]])="Yes")</f>
        <v>0</v>
      </c>
    </row>
    <row r="127" customFormat="false" ht="15" hidden="false" customHeight="false" outlineLevel="0" collapsed="false">
      <c r="A127" s="89" t="str">
        <f aca="false">IF(IFERROR(INDEX(tsk_Name,GanttView[[#This Row],[_Row]])="",TRUE()),"",INDEX(tsk_ID,GanttView[[#This Row],[_Row]]))</f>
        <v/>
      </c>
      <c r="B127" s="90" t="str">
        <f aca="false">IF(IFERROR(INDEX(tsk_Name,GanttView[[#This Row],[_Row]])="",TRUE()),"",REPT("    ",INDEX(tsk_Level,GanttView[[#This Row],[_Row]])-1)&amp;INDEX(tsk_Name,GanttView[[#This Row],[_Row]]))</f>
        <v/>
      </c>
      <c r="C127" s="91" t="str">
        <f aca="false">IF(IFERROR(INDEX(tsk_Name,GanttView[[#This Row],[_Row]])="",TRUE()),"",INDEX(tsk_FcStart,GanttView[[#This Row],[_Row]]))</f>
        <v/>
      </c>
      <c r="D127" s="91" t="str">
        <f aca="false">IF(IFERROR(INDEX(tsk_Name,GanttView[[#This Row],[_Row]])="",TRUE()),"",INDEX(tsk_FcFinish,GanttView[[#This Row],[_Row]]))</f>
        <v/>
      </c>
      <c r="E127" s="92" t="str">
        <f aca="false">IF(IFERROR(INDEX(tsk_Name,GanttView[[#This Row],[_Row]])="",TRUE()),"",INDEX(tsk_Progress,GanttView[[#This Row],[_Row]]))</f>
        <v/>
      </c>
      <c r="F127" s="90" t="str">
        <f aca="false">IF(IFERROR(INDEX(tsk_Name,GanttView[[#This Row],[_Row]])="",TRUE()),"",INDEX(tsk_ResourceNames,GanttView[[#This Row],[_Row]])&amp;"")</f>
        <v/>
      </c>
      <c r="G127" s="89" t="str">
        <f aca="false">IF(IFERROR(INDEX(tsk_Name,GanttView[[#This Row],[_Row]])="",TRUE()),"",INDEX(tsk_WBS,GanttView[[#This Row],[_Row]]))</f>
        <v/>
      </c>
      <c r="H127" s="89" t="str">
        <f aca="false">IF(IFERROR(INDEX(tsk_Name,GanttView[[#This Row],[_Row]])="",TRUE()),"",IF(INDEX(tsk_IsSummary,GanttView[[#This Row],[_Row]]),NETWORKDAYS.INTL(INDEX(tsk_FcStart,GanttView[[#This Row],[_Row]]),INDEX(tsk_FcFinish,GanttView[[#This Row],[_Row]]),WorkWeek,Holidays),N(INDEX(tsk_Duration,GanttView[[#This Row],[_Row]]))))</f>
        <v/>
      </c>
      <c r="I127" s="91" t="str">
        <f aca="false">IF(IFERROR(INDEX(tsk_Name,GanttView[[#This Row],[_Row]])="",TRUE()),"",INDEX(tsk_PlanStart,GanttView[[#This Row],[_Row]]))</f>
        <v/>
      </c>
      <c r="J127" s="91" t="str">
        <f aca="false">IF(IFERROR(INDEX(tsk_Name,GanttView[[#This Row],[_Row]])="",TRUE()),"",INDEX(tsk_PlanFinish,GanttView[[#This Row],[_Row]]))</f>
        <v/>
      </c>
      <c r="K127" s="93" t="str">
        <f aca="false">IF(IFERROR(INDEX(tsk_Name,GanttView[[#This Row],[_Row]])="",TRUE()),"",INDEX(tsk_Status,GanttView[[#This Row],[_Row]]))</f>
        <v/>
      </c>
      <c r="L127" s="93" t="str">
        <f aca="false">IF(IFERROR(INDEX(tsk_Name,GanttView[[#This Row],[_Row]])="",TRUE()),"",INDEX(tsk_Show,GanttView[[#This Row],[_Row]])&amp;"")</f>
        <v/>
      </c>
      <c r="M127" s="94" t="n">
        <f aca="false">ROW()-ROW(GanttView[[#Headers],[ID]])</f>
        <v>122</v>
      </c>
      <c r="N127" s="95" t="b">
        <f aca="false">IF(IFERROR(INDEX(tsk_Name,GanttView[[#This Row],[_Row]])="",TRUE()),FALSE(),INDEX(tsk_IsSummary,GanttView[[#This Row],[_Row]]))</f>
        <v>0</v>
      </c>
      <c r="O127" s="95" t="b">
        <f aca="false">IF(IFERROR(INDEX(tsk_Name,GanttView[[#This Row],[_Row]])="",TRUE()),FALSE(),AND(INDEX(tsk_IsLeaf,GanttView[[#This Row],[_Row]])=1,N(INDEX(tsk_Duration,GanttView[[#This Row],[_Row]]))=0))</f>
        <v>0</v>
      </c>
      <c r="P127" s="96" t="n">
        <f aca="false">IF(IFERROR(INDEX(tsk_Name,GanttView[[#This Row],[_Row]])="",TRUE()),0,IF(AND(INDEX(tsk_IsLeaf,GanttView[[#This Row],[_Row]])=1,NOT(GanttView[[#This Row],[_IsMilestone]]),N(GanttView[[#This Row],[%]])&gt;0),GanttView[[#This Row],[Start]],0))</f>
        <v>0</v>
      </c>
      <c r="Q127" s="96" t="n">
        <f aca="false">IF(GanttView[[#This Row],[_DoneFrom]]=0,0,IF(GanttView[[#This Row],[%]]&gt;=1,GanttView[[#This Row],[Finish]],MAX(GanttView[[#This Row],[_DoneFrom]],GanttView[[#This Row],[Start]]+ROUND((GanttView[[#This Row],[Finish]]-GanttView[[#This Row],[Start]]+1)*GanttView[[#This Row],[%]],0)-1)))</f>
        <v>0</v>
      </c>
      <c r="R127" s="96" t="n">
        <f aca="false">IF(IFERROR(INDEX(tsk_Name,GanttView[[#This Row],[_Row]])="",TRUE()),0,IF(OR(INDEX(tsk_IsLeaf,GanttView[[#This Row],[_Row]])&lt;&gt;1,GanttView[[#This Row],[_IsMilestone]],N(GanttView[[#This Row],[%]])&gt;=1),0,IF(GanttView[[#This Row],[_DoneTo]]&gt;0,GanttView[[#This Row],[_DoneTo]]+1,GanttView[[#This Row],[Start]])))</f>
        <v>0</v>
      </c>
      <c r="S127" s="96" t="n">
        <f aca="false">IF(GanttView[[#This Row],[_RemFrom]]=0,0,GanttView[[#This Row],[Finish]])</f>
        <v>0</v>
      </c>
      <c r="T127" s="95" t="b">
        <f aca="false">IF(IFERROR(INDEX(tsk_Name,GanttView[[#This Row],[_Row]])="",TRUE()),FALSE(),N(INDEX(tsk_Variance,GanttView[[#This Row],[_Row]]))&gt;0)</f>
        <v>0</v>
      </c>
      <c r="U127" s="96" t="n">
        <f aca="false">IF(IFERROR(INDEX(tsk_Name,GanttView[[#This Row],[_Row]])="",TRUE()),0,N(INDEX(tsk_Deadline,GanttView[[#This Row],[_Row]])))</f>
        <v>0</v>
      </c>
      <c r="V127" s="95" t="b">
        <f aca="false">IF(IFERROR(INDEX(tsk_Name,GanttView[[#This Row],[_Row]])="",TRUE()),FALSE(),INDEX(tsk_Critical,GanttView[[#This Row],[_Row]])="Yes")</f>
        <v>0</v>
      </c>
    </row>
    <row r="128" customFormat="false" ht="15" hidden="false" customHeight="false" outlineLevel="0" collapsed="false">
      <c r="A128" s="89" t="str">
        <f aca="false">IF(IFERROR(INDEX(tsk_Name,GanttView[[#This Row],[_Row]])="",TRUE()),"",INDEX(tsk_ID,GanttView[[#This Row],[_Row]]))</f>
        <v/>
      </c>
      <c r="B128" s="90" t="str">
        <f aca="false">IF(IFERROR(INDEX(tsk_Name,GanttView[[#This Row],[_Row]])="",TRUE()),"",REPT("    ",INDEX(tsk_Level,GanttView[[#This Row],[_Row]])-1)&amp;INDEX(tsk_Name,GanttView[[#This Row],[_Row]]))</f>
        <v/>
      </c>
      <c r="C128" s="91" t="str">
        <f aca="false">IF(IFERROR(INDEX(tsk_Name,GanttView[[#This Row],[_Row]])="",TRUE()),"",INDEX(tsk_FcStart,GanttView[[#This Row],[_Row]]))</f>
        <v/>
      </c>
      <c r="D128" s="91" t="str">
        <f aca="false">IF(IFERROR(INDEX(tsk_Name,GanttView[[#This Row],[_Row]])="",TRUE()),"",INDEX(tsk_FcFinish,GanttView[[#This Row],[_Row]]))</f>
        <v/>
      </c>
      <c r="E128" s="92" t="str">
        <f aca="false">IF(IFERROR(INDEX(tsk_Name,GanttView[[#This Row],[_Row]])="",TRUE()),"",INDEX(tsk_Progress,GanttView[[#This Row],[_Row]]))</f>
        <v/>
      </c>
      <c r="F128" s="90" t="str">
        <f aca="false">IF(IFERROR(INDEX(tsk_Name,GanttView[[#This Row],[_Row]])="",TRUE()),"",INDEX(tsk_ResourceNames,GanttView[[#This Row],[_Row]])&amp;"")</f>
        <v/>
      </c>
      <c r="G128" s="89" t="str">
        <f aca="false">IF(IFERROR(INDEX(tsk_Name,GanttView[[#This Row],[_Row]])="",TRUE()),"",INDEX(tsk_WBS,GanttView[[#This Row],[_Row]]))</f>
        <v/>
      </c>
      <c r="H128" s="89" t="str">
        <f aca="false">IF(IFERROR(INDEX(tsk_Name,GanttView[[#This Row],[_Row]])="",TRUE()),"",IF(INDEX(tsk_IsSummary,GanttView[[#This Row],[_Row]]),NETWORKDAYS.INTL(INDEX(tsk_FcStart,GanttView[[#This Row],[_Row]]),INDEX(tsk_FcFinish,GanttView[[#This Row],[_Row]]),WorkWeek,Holidays),N(INDEX(tsk_Duration,GanttView[[#This Row],[_Row]]))))</f>
        <v/>
      </c>
      <c r="I128" s="91" t="str">
        <f aca="false">IF(IFERROR(INDEX(tsk_Name,GanttView[[#This Row],[_Row]])="",TRUE()),"",INDEX(tsk_PlanStart,GanttView[[#This Row],[_Row]]))</f>
        <v/>
      </c>
      <c r="J128" s="91" t="str">
        <f aca="false">IF(IFERROR(INDEX(tsk_Name,GanttView[[#This Row],[_Row]])="",TRUE()),"",INDEX(tsk_PlanFinish,GanttView[[#This Row],[_Row]]))</f>
        <v/>
      </c>
      <c r="K128" s="93" t="str">
        <f aca="false">IF(IFERROR(INDEX(tsk_Name,GanttView[[#This Row],[_Row]])="",TRUE()),"",INDEX(tsk_Status,GanttView[[#This Row],[_Row]]))</f>
        <v/>
      </c>
      <c r="L128" s="93" t="str">
        <f aca="false">IF(IFERROR(INDEX(tsk_Name,GanttView[[#This Row],[_Row]])="",TRUE()),"",INDEX(tsk_Show,GanttView[[#This Row],[_Row]])&amp;"")</f>
        <v/>
      </c>
      <c r="M128" s="94" t="n">
        <f aca="false">ROW()-ROW(GanttView[[#Headers],[ID]])</f>
        <v>123</v>
      </c>
      <c r="N128" s="95" t="b">
        <f aca="false">IF(IFERROR(INDEX(tsk_Name,GanttView[[#This Row],[_Row]])="",TRUE()),FALSE(),INDEX(tsk_IsSummary,GanttView[[#This Row],[_Row]]))</f>
        <v>0</v>
      </c>
      <c r="O128" s="95" t="b">
        <f aca="false">IF(IFERROR(INDEX(tsk_Name,GanttView[[#This Row],[_Row]])="",TRUE()),FALSE(),AND(INDEX(tsk_IsLeaf,GanttView[[#This Row],[_Row]])=1,N(INDEX(tsk_Duration,GanttView[[#This Row],[_Row]]))=0))</f>
        <v>0</v>
      </c>
      <c r="P128" s="96" t="n">
        <f aca="false">IF(IFERROR(INDEX(tsk_Name,GanttView[[#This Row],[_Row]])="",TRUE()),0,IF(AND(INDEX(tsk_IsLeaf,GanttView[[#This Row],[_Row]])=1,NOT(GanttView[[#This Row],[_IsMilestone]]),N(GanttView[[#This Row],[%]])&gt;0),GanttView[[#This Row],[Start]],0))</f>
        <v>0</v>
      </c>
      <c r="Q128" s="96" t="n">
        <f aca="false">IF(GanttView[[#This Row],[_DoneFrom]]=0,0,IF(GanttView[[#This Row],[%]]&gt;=1,GanttView[[#This Row],[Finish]],MAX(GanttView[[#This Row],[_DoneFrom]],GanttView[[#This Row],[Start]]+ROUND((GanttView[[#This Row],[Finish]]-GanttView[[#This Row],[Start]]+1)*GanttView[[#This Row],[%]],0)-1)))</f>
        <v>0</v>
      </c>
      <c r="R128" s="96" t="n">
        <f aca="false">IF(IFERROR(INDEX(tsk_Name,GanttView[[#This Row],[_Row]])="",TRUE()),0,IF(OR(INDEX(tsk_IsLeaf,GanttView[[#This Row],[_Row]])&lt;&gt;1,GanttView[[#This Row],[_IsMilestone]],N(GanttView[[#This Row],[%]])&gt;=1),0,IF(GanttView[[#This Row],[_DoneTo]]&gt;0,GanttView[[#This Row],[_DoneTo]]+1,GanttView[[#This Row],[Start]])))</f>
        <v>0</v>
      </c>
      <c r="S128" s="96" t="n">
        <f aca="false">IF(GanttView[[#This Row],[_RemFrom]]=0,0,GanttView[[#This Row],[Finish]])</f>
        <v>0</v>
      </c>
      <c r="T128" s="95" t="b">
        <f aca="false">IF(IFERROR(INDEX(tsk_Name,GanttView[[#This Row],[_Row]])="",TRUE()),FALSE(),N(INDEX(tsk_Variance,GanttView[[#This Row],[_Row]]))&gt;0)</f>
        <v>0</v>
      </c>
      <c r="U128" s="96" t="n">
        <f aca="false">IF(IFERROR(INDEX(tsk_Name,GanttView[[#This Row],[_Row]])="",TRUE()),0,N(INDEX(tsk_Deadline,GanttView[[#This Row],[_Row]])))</f>
        <v>0</v>
      </c>
      <c r="V128" s="95" t="b">
        <f aca="false">IF(IFERROR(INDEX(tsk_Name,GanttView[[#This Row],[_Row]])="",TRUE()),FALSE(),INDEX(tsk_Critical,GanttView[[#This Row],[_Row]])="Yes")</f>
        <v>0</v>
      </c>
    </row>
    <row r="129" customFormat="false" ht="15" hidden="false" customHeight="false" outlineLevel="0" collapsed="false">
      <c r="A129" s="89" t="str">
        <f aca="false">IF(IFERROR(INDEX(tsk_Name,GanttView[[#This Row],[_Row]])="",TRUE()),"",INDEX(tsk_ID,GanttView[[#This Row],[_Row]]))</f>
        <v/>
      </c>
      <c r="B129" s="90" t="str">
        <f aca="false">IF(IFERROR(INDEX(tsk_Name,GanttView[[#This Row],[_Row]])="",TRUE()),"",REPT("    ",INDEX(tsk_Level,GanttView[[#This Row],[_Row]])-1)&amp;INDEX(tsk_Name,GanttView[[#This Row],[_Row]]))</f>
        <v/>
      </c>
      <c r="C129" s="91" t="str">
        <f aca="false">IF(IFERROR(INDEX(tsk_Name,GanttView[[#This Row],[_Row]])="",TRUE()),"",INDEX(tsk_FcStart,GanttView[[#This Row],[_Row]]))</f>
        <v/>
      </c>
      <c r="D129" s="91" t="str">
        <f aca="false">IF(IFERROR(INDEX(tsk_Name,GanttView[[#This Row],[_Row]])="",TRUE()),"",INDEX(tsk_FcFinish,GanttView[[#This Row],[_Row]]))</f>
        <v/>
      </c>
      <c r="E129" s="92" t="str">
        <f aca="false">IF(IFERROR(INDEX(tsk_Name,GanttView[[#This Row],[_Row]])="",TRUE()),"",INDEX(tsk_Progress,GanttView[[#This Row],[_Row]]))</f>
        <v/>
      </c>
      <c r="F129" s="90" t="str">
        <f aca="false">IF(IFERROR(INDEX(tsk_Name,GanttView[[#This Row],[_Row]])="",TRUE()),"",INDEX(tsk_ResourceNames,GanttView[[#This Row],[_Row]])&amp;"")</f>
        <v/>
      </c>
      <c r="G129" s="89" t="str">
        <f aca="false">IF(IFERROR(INDEX(tsk_Name,GanttView[[#This Row],[_Row]])="",TRUE()),"",INDEX(tsk_WBS,GanttView[[#This Row],[_Row]]))</f>
        <v/>
      </c>
      <c r="H129" s="89" t="str">
        <f aca="false">IF(IFERROR(INDEX(tsk_Name,GanttView[[#This Row],[_Row]])="",TRUE()),"",IF(INDEX(tsk_IsSummary,GanttView[[#This Row],[_Row]]),NETWORKDAYS.INTL(INDEX(tsk_FcStart,GanttView[[#This Row],[_Row]]),INDEX(tsk_FcFinish,GanttView[[#This Row],[_Row]]),WorkWeek,Holidays),N(INDEX(tsk_Duration,GanttView[[#This Row],[_Row]]))))</f>
        <v/>
      </c>
      <c r="I129" s="91" t="str">
        <f aca="false">IF(IFERROR(INDEX(tsk_Name,GanttView[[#This Row],[_Row]])="",TRUE()),"",INDEX(tsk_PlanStart,GanttView[[#This Row],[_Row]]))</f>
        <v/>
      </c>
      <c r="J129" s="91" t="str">
        <f aca="false">IF(IFERROR(INDEX(tsk_Name,GanttView[[#This Row],[_Row]])="",TRUE()),"",INDEX(tsk_PlanFinish,GanttView[[#This Row],[_Row]]))</f>
        <v/>
      </c>
      <c r="K129" s="93" t="str">
        <f aca="false">IF(IFERROR(INDEX(tsk_Name,GanttView[[#This Row],[_Row]])="",TRUE()),"",INDEX(tsk_Status,GanttView[[#This Row],[_Row]]))</f>
        <v/>
      </c>
      <c r="L129" s="93" t="str">
        <f aca="false">IF(IFERROR(INDEX(tsk_Name,GanttView[[#This Row],[_Row]])="",TRUE()),"",INDEX(tsk_Show,GanttView[[#This Row],[_Row]])&amp;"")</f>
        <v/>
      </c>
      <c r="M129" s="94" t="n">
        <f aca="false">ROW()-ROW(GanttView[[#Headers],[ID]])</f>
        <v>124</v>
      </c>
      <c r="N129" s="95" t="b">
        <f aca="false">IF(IFERROR(INDEX(tsk_Name,GanttView[[#This Row],[_Row]])="",TRUE()),FALSE(),INDEX(tsk_IsSummary,GanttView[[#This Row],[_Row]]))</f>
        <v>0</v>
      </c>
      <c r="O129" s="95" t="b">
        <f aca="false">IF(IFERROR(INDEX(tsk_Name,GanttView[[#This Row],[_Row]])="",TRUE()),FALSE(),AND(INDEX(tsk_IsLeaf,GanttView[[#This Row],[_Row]])=1,N(INDEX(tsk_Duration,GanttView[[#This Row],[_Row]]))=0))</f>
        <v>0</v>
      </c>
      <c r="P129" s="96" t="n">
        <f aca="false">IF(IFERROR(INDEX(tsk_Name,GanttView[[#This Row],[_Row]])="",TRUE()),0,IF(AND(INDEX(tsk_IsLeaf,GanttView[[#This Row],[_Row]])=1,NOT(GanttView[[#This Row],[_IsMilestone]]),N(GanttView[[#This Row],[%]])&gt;0),GanttView[[#This Row],[Start]],0))</f>
        <v>0</v>
      </c>
      <c r="Q129" s="96" t="n">
        <f aca="false">IF(GanttView[[#This Row],[_DoneFrom]]=0,0,IF(GanttView[[#This Row],[%]]&gt;=1,GanttView[[#This Row],[Finish]],MAX(GanttView[[#This Row],[_DoneFrom]],GanttView[[#This Row],[Start]]+ROUND((GanttView[[#This Row],[Finish]]-GanttView[[#This Row],[Start]]+1)*GanttView[[#This Row],[%]],0)-1)))</f>
        <v>0</v>
      </c>
      <c r="R129" s="96" t="n">
        <f aca="false">IF(IFERROR(INDEX(tsk_Name,GanttView[[#This Row],[_Row]])="",TRUE()),0,IF(OR(INDEX(tsk_IsLeaf,GanttView[[#This Row],[_Row]])&lt;&gt;1,GanttView[[#This Row],[_IsMilestone]],N(GanttView[[#This Row],[%]])&gt;=1),0,IF(GanttView[[#This Row],[_DoneTo]]&gt;0,GanttView[[#This Row],[_DoneTo]]+1,GanttView[[#This Row],[Start]])))</f>
        <v>0</v>
      </c>
      <c r="S129" s="96" t="n">
        <f aca="false">IF(GanttView[[#This Row],[_RemFrom]]=0,0,GanttView[[#This Row],[Finish]])</f>
        <v>0</v>
      </c>
      <c r="T129" s="95" t="b">
        <f aca="false">IF(IFERROR(INDEX(tsk_Name,GanttView[[#This Row],[_Row]])="",TRUE()),FALSE(),N(INDEX(tsk_Variance,GanttView[[#This Row],[_Row]]))&gt;0)</f>
        <v>0</v>
      </c>
      <c r="U129" s="96" t="n">
        <f aca="false">IF(IFERROR(INDEX(tsk_Name,GanttView[[#This Row],[_Row]])="",TRUE()),0,N(INDEX(tsk_Deadline,GanttView[[#This Row],[_Row]])))</f>
        <v>0</v>
      </c>
      <c r="V129" s="95" t="b">
        <f aca="false">IF(IFERROR(INDEX(tsk_Name,GanttView[[#This Row],[_Row]])="",TRUE()),FALSE(),INDEX(tsk_Critical,GanttView[[#This Row],[_Row]])="Yes")</f>
        <v>0</v>
      </c>
    </row>
    <row r="130" customFormat="false" ht="15" hidden="false" customHeight="false" outlineLevel="0" collapsed="false">
      <c r="A130" s="89" t="str">
        <f aca="false">IF(IFERROR(INDEX(tsk_Name,GanttView[[#This Row],[_Row]])="",TRUE()),"",INDEX(tsk_ID,GanttView[[#This Row],[_Row]]))</f>
        <v/>
      </c>
      <c r="B130" s="90" t="str">
        <f aca="false">IF(IFERROR(INDEX(tsk_Name,GanttView[[#This Row],[_Row]])="",TRUE()),"",REPT("    ",INDEX(tsk_Level,GanttView[[#This Row],[_Row]])-1)&amp;INDEX(tsk_Name,GanttView[[#This Row],[_Row]]))</f>
        <v/>
      </c>
      <c r="C130" s="91" t="str">
        <f aca="false">IF(IFERROR(INDEX(tsk_Name,GanttView[[#This Row],[_Row]])="",TRUE()),"",INDEX(tsk_FcStart,GanttView[[#This Row],[_Row]]))</f>
        <v/>
      </c>
      <c r="D130" s="91" t="str">
        <f aca="false">IF(IFERROR(INDEX(tsk_Name,GanttView[[#This Row],[_Row]])="",TRUE()),"",INDEX(tsk_FcFinish,GanttView[[#This Row],[_Row]]))</f>
        <v/>
      </c>
      <c r="E130" s="92" t="str">
        <f aca="false">IF(IFERROR(INDEX(tsk_Name,GanttView[[#This Row],[_Row]])="",TRUE()),"",INDEX(tsk_Progress,GanttView[[#This Row],[_Row]]))</f>
        <v/>
      </c>
      <c r="F130" s="90" t="str">
        <f aca="false">IF(IFERROR(INDEX(tsk_Name,GanttView[[#This Row],[_Row]])="",TRUE()),"",INDEX(tsk_ResourceNames,GanttView[[#This Row],[_Row]])&amp;"")</f>
        <v/>
      </c>
      <c r="G130" s="89" t="str">
        <f aca="false">IF(IFERROR(INDEX(tsk_Name,GanttView[[#This Row],[_Row]])="",TRUE()),"",INDEX(tsk_WBS,GanttView[[#This Row],[_Row]]))</f>
        <v/>
      </c>
      <c r="H130" s="89" t="str">
        <f aca="false">IF(IFERROR(INDEX(tsk_Name,GanttView[[#This Row],[_Row]])="",TRUE()),"",IF(INDEX(tsk_IsSummary,GanttView[[#This Row],[_Row]]),NETWORKDAYS.INTL(INDEX(tsk_FcStart,GanttView[[#This Row],[_Row]]),INDEX(tsk_FcFinish,GanttView[[#This Row],[_Row]]),WorkWeek,Holidays),N(INDEX(tsk_Duration,GanttView[[#This Row],[_Row]]))))</f>
        <v/>
      </c>
      <c r="I130" s="91" t="str">
        <f aca="false">IF(IFERROR(INDEX(tsk_Name,GanttView[[#This Row],[_Row]])="",TRUE()),"",INDEX(tsk_PlanStart,GanttView[[#This Row],[_Row]]))</f>
        <v/>
      </c>
      <c r="J130" s="91" t="str">
        <f aca="false">IF(IFERROR(INDEX(tsk_Name,GanttView[[#This Row],[_Row]])="",TRUE()),"",INDEX(tsk_PlanFinish,GanttView[[#This Row],[_Row]]))</f>
        <v/>
      </c>
      <c r="K130" s="93" t="str">
        <f aca="false">IF(IFERROR(INDEX(tsk_Name,GanttView[[#This Row],[_Row]])="",TRUE()),"",INDEX(tsk_Status,GanttView[[#This Row],[_Row]]))</f>
        <v/>
      </c>
      <c r="L130" s="93" t="str">
        <f aca="false">IF(IFERROR(INDEX(tsk_Name,GanttView[[#This Row],[_Row]])="",TRUE()),"",INDEX(tsk_Show,GanttView[[#This Row],[_Row]])&amp;"")</f>
        <v/>
      </c>
      <c r="M130" s="94" t="n">
        <f aca="false">ROW()-ROW(GanttView[[#Headers],[ID]])</f>
        <v>125</v>
      </c>
      <c r="N130" s="95" t="b">
        <f aca="false">IF(IFERROR(INDEX(tsk_Name,GanttView[[#This Row],[_Row]])="",TRUE()),FALSE(),INDEX(tsk_IsSummary,GanttView[[#This Row],[_Row]]))</f>
        <v>0</v>
      </c>
      <c r="O130" s="95" t="b">
        <f aca="false">IF(IFERROR(INDEX(tsk_Name,GanttView[[#This Row],[_Row]])="",TRUE()),FALSE(),AND(INDEX(tsk_IsLeaf,GanttView[[#This Row],[_Row]])=1,N(INDEX(tsk_Duration,GanttView[[#This Row],[_Row]]))=0))</f>
        <v>0</v>
      </c>
      <c r="P130" s="96" t="n">
        <f aca="false">IF(IFERROR(INDEX(tsk_Name,GanttView[[#This Row],[_Row]])="",TRUE()),0,IF(AND(INDEX(tsk_IsLeaf,GanttView[[#This Row],[_Row]])=1,NOT(GanttView[[#This Row],[_IsMilestone]]),N(GanttView[[#This Row],[%]])&gt;0),GanttView[[#This Row],[Start]],0))</f>
        <v>0</v>
      </c>
      <c r="Q130" s="96" t="n">
        <f aca="false">IF(GanttView[[#This Row],[_DoneFrom]]=0,0,IF(GanttView[[#This Row],[%]]&gt;=1,GanttView[[#This Row],[Finish]],MAX(GanttView[[#This Row],[_DoneFrom]],GanttView[[#This Row],[Start]]+ROUND((GanttView[[#This Row],[Finish]]-GanttView[[#This Row],[Start]]+1)*GanttView[[#This Row],[%]],0)-1)))</f>
        <v>0</v>
      </c>
      <c r="R130" s="96" t="n">
        <f aca="false">IF(IFERROR(INDEX(tsk_Name,GanttView[[#This Row],[_Row]])="",TRUE()),0,IF(OR(INDEX(tsk_IsLeaf,GanttView[[#This Row],[_Row]])&lt;&gt;1,GanttView[[#This Row],[_IsMilestone]],N(GanttView[[#This Row],[%]])&gt;=1),0,IF(GanttView[[#This Row],[_DoneTo]]&gt;0,GanttView[[#This Row],[_DoneTo]]+1,GanttView[[#This Row],[Start]])))</f>
        <v>0</v>
      </c>
      <c r="S130" s="96" t="n">
        <f aca="false">IF(GanttView[[#This Row],[_RemFrom]]=0,0,GanttView[[#This Row],[Finish]])</f>
        <v>0</v>
      </c>
      <c r="T130" s="95" t="b">
        <f aca="false">IF(IFERROR(INDEX(tsk_Name,GanttView[[#This Row],[_Row]])="",TRUE()),FALSE(),N(INDEX(tsk_Variance,GanttView[[#This Row],[_Row]]))&gt;0)</f>
        <v>0</v>
      </c>
      <c r="U130" s="96" t="n">
        <f aca="false">IF(IFERROR(INDEX(tsk_Name,GanttView[[#This Row],[_Row]])="",TRUE()),0,N(INDEX(tsk_Deadline,GanttView[[#This Row],[_Row]])))</f>
        <v>0</v>
      </c>
      <c r="V130" s="95" t="b">
        <f aca="false">IF(IFERROR(INDEX(tsk_Name,GanttView[[#This Row],[_Row]])="",TRUE()),FALSE(),INDEX(tsk_Critical,GanttView[[#This Row],[_Row]])="Yes")</f>
        <v>0</v>
      </c>
    </row>
    <row r="131" customFormat="false" ht="15" hidden="false" customHeight="false" outlineLevel="0" collapsed="false">
      <c r="A131" s="89" t="str">
        <f aca="false">IF(IFERROR(INDEX(tsk_Name,GanttView[[#This Row],[_Row]])="",TRUE()),"",INDEX(tsk_ID,GanttView[[#This Row],[_Row]]))</f>
        <v/>
      </c>
      <c r="B131" s="90" t="str">
        <f aca="false">IF(IFERROR(INDEX(tsk_Name,GanttView[[#This Row],[_Row]])="",TRUE()),"",REPT("    ",INDEX(tsk_Level,GanttView[[#This Row],[_Row]])-1)&amp;INDEX(tsk_Name,GanttView[[#This Row],[_Row]]))</f>
        <v/>
      </c>
      <c r="C131" s="91" t="str">
        <f aca="false">IF(IFERROR(INDEX(tsk_Name,GanttView[[#This Row],[_Row]])="",TRUE()),"",INDEX(tsk_FcStart,GanttView[[#This Row],[_Row]]))</f>
        <v/>
      </c>
      <c r="D131" s="91" t="str">
        <f aca="false">IF(IFERROR(INDEX(tsk_Name,GanttView[[#This Row],[_Row]])="",TRUE()),"",INDEX(tsk_FcFinish,GanttView[[#This Row],[_Row]]))</f>
        <v/>
      </c>
      <c r="E131" s="92" t="str">
        <f aca="false">IF(IFERROR(INDEX(tsk_Name,GanttView[[#This Row],[_Row]])="",TRUE()),"",INDEX(tsk_Progress,GanttView[[#This Row],[_Row]]))</f>
        <v/>
      </c>
      <c r="F131" s="90" t="str">
        <f aca="false">IF(IFERROR(INDEX(tsk_Name,GanttView[[#This Row],[_Row]])="",TRUE()),"",INDEX(tsk_ResourceNames,GanttView[[#This Row],[_Row]])&amp;"")</f>
        <v/>
      </c>
      <c r="G131" s="89" t="str">
        <f aca="false">IF(IFERROR(INDEX(tsk_Name,GanttView[[#This Row],[_Row]])="",TRUE()),"",INDEX(tsk_WBS,GanttView[[#This Row],[_Row]]))</f>
        <v/>
      </c>
      <c r="H131" s="89" t="str">
        <f aca="false">IF(IFERROR(INDEX(tsk_Name,GanttView[[#This Row],[_Row]])="",TRUE()),"",IF(INDEX(tsk_IsSummary,GanttView[[#This Row],[_Row]]),NETWORKDAYS.INTL(INDEX(tsk_FcStart,GanttView[[#This Row],[_Row]]),INDEX(tsk_FcFinish,GanttView[[#This Row],[_Row]]),WorkWeek,Holidays),N(INDEX(tsk_Duration,GanttView[[#This Row],[_Row]]))))</f>
        <v/>
      </c>
      <c r="I131" s="91" t="str">
        <f aca="false">IF(IFERROR(INDEX(tsk_Name,GanttView[[#This Row],[_Row]])="",TRUE()),"",INDEX(tsk_PlanStart,GanttView[[#This Row],[_Row]]))</f>
        <v/>
      </c>
      <c r="J131" s="91" t="str">
        <f aca="false">IF(IFERROR(INDEX(tsk_Name,GanttView[[#This Row],[_Row]])="",TRUE()),"",INDEX(tsk_PlanFinish,GanttView[[#This Row],[_Row]]))</f>
        <v/>
      </c>
      <c r="K131" s="93" t="str">
        <f aca="false">IF(IFERROR(INDEX(tsk_Name,GanttView[[#This Row],[_Row]])="",TRUE()),"",INDEX(tsk_Status,GanttView[[#This Row],[_Row]]))</f>
        <v/>
      </c>
      <c r="L131" s="93" t="str">
        <f aca="false">IF(IFERROR(INDEX(tsk_Name,GanttView[[#This Row],[_Row]])="",TRUE()),"",INDEX(tsk_Show,GanttView[[#This Row],[_Row]])&amp;"")</f>
        <v/>
      </c>
      <c r="M131" s="94" t="n">
        <f aca="false">ROW()-ROW(GanttView[[#Headers],[ID]])</f>
        <v>126</v>
      </c>
      <c r="N131" s="95" t="b">
        <f aca="false">IF(IFERROR(INDEX(tsk_Name,GanttView[[#This Row],[_Row]])="",TRUE()),FALSE(),INDEX(tsk_IsSummary,GanttView[[#This Row],[_Row]]))</f>
        <v>0</v>
      </c>
      <c r="O131" s="95" t="b">
        <f aca="false">IF(IFERROR(INDEX(tsk_Name,GanttView[[#This Row],[_Row]])="",TRUE()),FALSE(),AND(INDEX(tsk_IsLeaf,GanttView[[#This Row],[_Row]])=1,N(INDEX(tsk_Duration,GanttView[[#This Row],[_Row]]))=0))</f>
        <v>0</v>
      </c>
      <c r="P131" s="96" t="n">
        <f aca="false">IF(IFERROR(INDEX(tsk_Name,GanttView[[#This Row],[_Row]])="",TRUE()),0,IF(AND(INDEX(tsk_IsLeaf,GanttView[[#This Row],[_Row]])=1,NOT(GanttView[[#This Row],[_IsMilestone]]),N(GanttView[[#This Row],[%]])&gt;0),GanttView[[#This Row],[Start]],0))</f>
        <v>0</v>
      </c>
      <c r="Q131" s="96" t="n">
        <f aca="false">IF(GanttView[[#This Row],[_DoneFrom]]=0,0,IF(GanttView[[#This Row],[%]]&gt;=1,GanttView[[#This Row],[Finish]],MAX(GanttView[[#This Row],[_DoneFrom]],GanttView[[#This Row],[Start]]+ROUND((GanttView[[#This Row],[Finish]]-GanttView[[#This Row],[Start]]+1)*GanttView[[#This Row],[%]],0)-1)))</f>
        <v>0</v>
      </c>
      <c r="R131" s="96" t="n">
        <f aca="false">IF(IFERROR(INDEX(tsk_Name,GanttView[[#This Row],[_Row]])="",TRUE()),0,IF(OR(INDEX(tsk_IsLeaf,GanttView[[#This Row],[_Row]])&lt;&gt;1,GanttView[[#This Row],[_IsMilestone]],N(GanttView[[#This Row],[%]])&gt;=1),0,IF(GanttView[[#This Row],[_DoneTo]]&gt;0,GanttView[[#This Row],[_DoneTo]]+1,GanttView[[#This Row],[Start]])))</f>
        <v>0</v>
      </c>
      <c r="S131" s="96" t="n">
        <f aca="false">IF(GanttView[[#This Row],[_RemFrom]]=0,0,GanttView[[#This Row],[Finish]])</f>
        <v>0</v>
      </c>
      <c r="T131" s="95" t="b">
        <f aca="false">IF(IFERROR(INDEX(tsk_Name,GanttView[[#This Row],[_Row]])="",TRUE()),FALSE(),N(INDEX(tsk_Variance,GanttView[[#This Row],[_Row]]))&gt;0)</f>
        <v>0</v>
      </c>
      <c r="U131" s="96" t="n">
        <f aca="false">IF(IFERROR(INDEX(tsk_Name,GanttView[[#This Row],[_Row]])="",TRUE()),0,N(INDEX(tsk_Deadline,GanttView[[#This Row],[_Row]])))</f>
        <v>0</v>
      </c>
      <c r="V131" s="95" t="b">
        <f aca="false">IF(IFERROR(INDEX(tsk_Name,GanttView[[#This Row],[_Row]])="",TRUE()),FALSE(),INDEX(tsk_Critical,GanttView[[#This Row],[_Row]])="Yes")</f>
        <v>0</v>
      </c>
    </row>
    <row r="132" customFormat="false" ht="15" hidden="false" customHeight="false" outlineLevel="0" collapsed="false">
      <c r="A132" s="89" t="str">
        <f aca="false">IF(IFERROR(INDEX(tsk_Name,GanttView[[#This Row],[_Row]])="",TRUE()),"",INDEX(tsk_ID,GanttView[[#This Row],[_Row]]))</f>
        <v/>
      </c>
      <c r="B132" s="90" t="str">
        <f aca="false">IF(IFERROR(INDEX(tsk_Name,GanttView[[#This Row],[_Row]])="",TRUE()),"",REPT("    ",INDEX(tsk_Level,GanttView[[#This Row],[_Row]])-1)&amp;INDEX(tsk_Name,GanttView[[#This Row],[_Row]]))</f>
        <v/>
      </c>
      <c r="C132" s="91" t="str">
        <f aca="false">IF(IFERROR(INDEX(tsk_Name,GanttView[[#This Row],[_Row]])="",TRUE()),"",INDEX(tsk_FcStart,GanttView[[#This Row],[_Row]]))</f>
        <v/>
      </c>
      <c r="D132" s="91" t="str">
        <f aca="false">IF(IFERROR(INDEX(tsk_Name,GanttView[[#This Row],[_Row]])="",TRUE()),"",INDEX(tsk_FcFinish,GanttView[[#This Row],[_Row]]))</f>
        <v/>
      </c>
      <c r="E132" s="92" t="str">
        <f aca="false">IF(IFERROR(INDEX(tsk_Name,GanttView[[#This Row],[_Row]])="",TRUE()),"",INDEX(tsk_Progress,GanttView[[#This Row],[_Row]]))</f>
        <v/>
      </c>
      <c r="F132" s="90" t="str">
        <f aca="false">IF(IFERROR(INDEX(tsk_Name,GanttView[[#This Row],[_Row]])="",TRUE()),"",INDEX(tsk_ResourceNames,GanttView[[#This Row],[_Row]])&amp;"")</f>
        <v/>
      </c>
      <c r="G132" s="89" t="str">
        <f aca="false">IF(IFERROR(INDEX(tsk_Name,GanttView[[#This Row],[_Row]])="",TRUE()),"",INDEX(tsk_WBS,GanttView[[#This Row],[_Row]]))</f>
        <v/>
      </c>
      <c r="H132" s="89" t="str">
        <f aca="false">IF(IFERROR(INDEX(tsk_Name,GanttView[[#This Row],[_Row]])="",TRUE()),"",IF(INDEX(tsk_IsSummary,GanttView[[#This Row],[_Row]]),NETWORKDAYS.INTL(INDEX(tsk_FcStart,GanttView[[#This Row],[_Row]]),INDEX(tsk_FcFinish,GanttView[[#This Row],[_Row]]),WorkWeek,Holidays),N(INDEX(tsk_Duration,GanttView[[#This Row],[_Row]]))))</f>
        <v/>
      </c>
      <c r="I132" s="91" t="str">
        <f aca="false">IF(IFERROR(INDEX(tsk_Name,GanttView[[#This Row],[_Row]])="",TRUE()),"",INDEX(tsk_PlanStart,GanttView[[#This Row],[_Row]]))</f>
        <v/>
      </c>
      <c r="J132" s="91" t="str">
        <f aca="false">IF(IFERROR(INDEX(tsk_Name,GanttView[[#This Row],[_Row]])="",TRUE()),"",INDEX(tsk_PlanFinish,GanttView[[#This Row],[_Row]]))</f>
        <v/>
      </c>
      <c r="K132" s="93" t="str">
        <f aca="false">IF(IFERROR(INDEX(tsk_Name,GanttView[[#This Row],[_Row]])="",TRUE()),"",INDEX(tsk_Status,GanttView[[#This Row],[_Row]]))</f>
        <v/>
      </c>
      <c r="L132" s="93" t="str">
        <f aca="false">IF(IFERROR(INDEX(tsk_Name,GanttView[[#This Row],[_Row]])="",TRUE()),"",INDEX(tsk_Show,GanttView[[#This Row],[_Row]])&amp;"")</f>
        <v/>
      </c>
      <c r="M132" s="94" t="n">
        <f aca="false">ROW()-ROW(GanttView[[#Headers],[ID]])</f>
        <v>127</v>
      </c>
      <c r="N132" s="95" t="b">
        <f aca="false">IF(IFERROR(INDEX(tsk_Name,GanttView[[#This Row],[_Row]])="",TRUE()),FALSE(),INDEX(tsk_IsSummary,GanttView[[#This Row],[_Row]]))</f>
        <v>0</v>
      </c>
      <c r="O132" s="95" t="b">
        <f aca="false">IF(IFERROR(INDEX(tsk_Name,GanttView[[#This Row],[_Row]])="",TRUE()),FALSE(),AND(INDEX(tsk_IsLeaf,GanttView[[#This Row],[_Row]])=1,N(INDEX(tsk_Duration,GanttView[[#This Row],[_Row]]))=0))</f>
        <v>0</v>
      </c>
      <c r="P132" s="96" t="n">
        <f aca="false">IF(IFERROR(INDEX(tsk_Name,GanttView[[#This Row],[_Row]])="",TRUE()),0,IF(AND(INDEX(tsk_IsLeaf,GanttView[[#This Row],[_Row]])=1,NOT(GanttView[[#This Row],[_IsMilestone]]),N(GanttView[[#This Row],[%]])&gt;0),GanttView[[#This Row],[Start]],0))</f>
        <v>0</v>
      </c>
      <c r="Q132" s="96" t="n">
        <f aca="false">IF(GanttView[[#This Row],[_DoneFrom]]=0,0,IF(GanttView[[#This Row],[%]]&gt;=1,GanttView[[#This Row],[Finish]],MAX(GanttView[[#This Row],[_DoneFrom]],GanttView[[#This Row],[Start]]+ROUND((GanttView[[#This Row],[Finish]]-GanttView[[#This Row],[Start]]+1)*GanttView[[#This Row],[%]],0)-1)))</f>
        <v>0</v>
      </c>
      <c r="R132" s="96" t="n">
        <f aca="false">IF(IFERROR(INDEX(tsk_Name,GanttView[[#This Row],[_Row]])="",TRUE()),0,IF(OR(INDEX(tsk_IsLeaf,GanttView[[#This Row],[_Row]])&lt;&gt;1,GanttView[[#This Row],[_IsMilestone]],N(GanttView[[#This Row],[%]])&gt;=1),0,IF(GanttView[[#This Row],[_DoneTo]]&gt;0,GanttView[[#This Row],[_DoneTo]]+1,GanttView[[#This Row],[Start]])))</f>
        <v>0</v>
      </c>
      <c r="S132" s="96" t="n">
        <f aca="false">IF(GanttView[[#This Row],[_RemFrom]]=0,0,GanttView[[#This Row],[Finish]])</f>
        <v>0</v>
      </c>
      <c r="T132" s="95" t="b">
        <f aca="false">IF(IFERROR(INDEX(tsk_Name,GanttView[[#This Row],[_Row]])="",TRUE()),FALSE(),N(INDEX(tsk_Variance,GanttView[[#This Row],[_Row]]))&gt;0)</f>
        <v>0</v>
      </c>
      <c r="U132" s="96" t="n">
        <f aca="false">IF(IFERROR(INDEX(tsk_Name,GanttView[[#This Row],[_Row]])="",TRUE()),0,N(INDEX(tsk_Deadline,GanttView[[#This Row],[_Row]])))</f>
        <v>0</v>
      </c>
      <c r="V132" s="95" t="b">
        <f aca="false">IF(IFERROR(INDEX(tsk_Name,GanttView[[#This Row],[_Row]])="",TRUE()),FALSE(),INDEX(tsk_Critical,GanttView[[#This Row],[_Row]])="Yes")</f>
        <v>0</v>
      </c>
    </row>
    <row r="133" customFormat="false" ht="15" hidden="false" customHeight="false" outlineLevel="0" collapsed="false">
      <c r="A133" s="89" t="str">
        <f aca="false">IF(IFERROR(INDEX(tsk_Name,GanttView[[#This Row],[_Row]])="",TRUE()),"",INDEX(tsk_ID,GanttView[[#This Row],[_Row]]))</f>
        <v/>
      </c>
      <c r="B133" s="90" t="str">
        <f aca="false">IF(IFERROR(INDEX(tsk_Name,GanttView[[#This Row],[_Row]])="",TRUE()),"",REPT("    ",INDEX(tsk_Level,GanttView[[#This Row],[_Row]])-1)&amp;INDEX(tsk_Name,GanttView[[#This Row],[_Row]]))</f>
        <v/>
      </c>
      <c r="C133" s="91" t="str">
        <f aca="false">IF(IFERROR(INDEX(tsk_Name,GanttView[[#This Row],[_Row]])="",TRUE()),"",INDEX(tsk_FcStart,GanttView[[#This Row],[_Row]]))</f>
        <v/>
      </c>
      <c r="D133" s="91" t="str">
        <f aca="false">IF(IFERROR(INDEX(tsk_Name,GanttView[[#This Row],[_Row]])="",TRUE()),"",INDEX(tsk_FcFinish,GanttView[[#This Row],[_Row]]))</f>
        <v/>
      </c>
      <c r="E133" s="92" t="str">
        <f aca="false">IF(IFERROR(INDEX(tsk_Name,GanttView[[#This Row],[_Row]])="",TRUE()),"",INDEX(tsk_Progress,GanttView[[#This Row],[_Row]]))</f>
        <v/>
      </c>
      <c r="F133" s="90" t="str">
        <f aca="false">IF(IFERROR(INDEX(tsk_Name,GanttView[[#This Row],[_Row]])="",TRUE()),"",INDEX(tsk_ResourceNames,GanttView[[#This Row],[_Row]])&amp;"")</f>
        <v/>
      </c>
      <c r="G133" s="89" t="str">
        <f aca="false">IF(IFERROR(INDEX(tsk_Name,GanttView[[#This Row],[_Row]])="",TRUE()),"",INDEX(tsk_WBS,GanttView[[#This Row],[_Row]]))</f>
        <v/>
      </c>
      <c r="H133" s="89" t="str">
        <f aca="false">IF(IFERROR(INDEX(tsk_Name,GanttView[[#This Row],[_Row]])="",TRUE()),"",IF(INDEX(tsk_IsSummary,GanttView[[#This Row],[_Row]]),NETWORKDAYS.INTL(INDEX(tsk_FcStart,GanttView[[#This Row],[_Row]]),INDEX(tsk_FcFinish,GanttView[[#This Row],[_Row]]),WorkWeek,Holidays),N(INDEX(tsk_Duration,GanttView[[#This Row],[_Row]]))))</f>
        <v/>
      </c>
      <c r="I133" s="91" t="str">
        <f aca="false">IF(IFERROR(INDEX(tsk_Name,GanttView[[#This Row],[_Row]])="",TRUE()),"",INDEX(tsk_PlanStart,GanttView[[#This Row],[_Row]]))</f>
        <v/>
      </c>
      <c r="J133" s="91" t="str">
        <f aca="false">IF(IFERROR(INDEX(tsk_Name,GanttView[[#This Row],[_Row]])="",TRUE()),"",INDEX(tsk_PlanFinish,GanttView[[#This Row],[_Row]]))</f>
        <v/>
      </c>
      <c r="K133" s="93" t="str">
        <f aca="false">IF(IFERROR(INDEX(tsk_Name,GanttView[[#This Row],[_Row]])="",TRUE()),"",INDEX(tsk_Status,GanttView[[#This Row],[_Row]]))</f>
        <v/>
      </c>
      <c r="L133" s="93" t="str">
        <f aca="false">IF(IFERROR(INDEX(tsk_Name,GanttView[[#This Row],[_Row]])="",TRUE()),"",INDEX(tsk_Show,GanttView[[#This Row],[_Row]])&amp;"")</f>
        <v/>
      </c>
      <c r="M133" s="94" t="n">
        <f aca="false">ROW()-ROW(GanttView[[#Headers],[ID]])</f>
        <v>128</v>
      </c>
      <c r="N133" s="95" t="b">
        <f aca="false">IF(IFERROR(INDEX(tsk_Name,GanttView[[#This Row],[_Row]])="",TRUE()),FALSE(),INDEX(tsk_IsSummary,GanttView[[#This Row],[_Row]]))</f>
        <v>0</v>
      </c>
      <c r="O133" s="95" t="b">
        <f aca="false">IF(IFERROR(INDEX(tsk_Name,GanttView[[#This Row],[_Row]])="",TRUE()),FALSE(),AND(INDEX(tsk_IsLeaf,GanttView[[#This Row],[_Row]])=1,N(INDEX(tsk_Duration,GanttView[[#This Row],[_Row]]))=0))</f>
        <v>0</v>
      </c>
      <c r="P133" s="96" t="n">
        <f aca="false">IF(IFERROR(INDEX(tsk_Name,GanttView[[#This Row],[_Row]])="",TRUE()),0,IF(AND(INDEX(tsk_IsLeaf,GanttView[[#This Row],[_Row]])=1,NOT(GanttView[[#This Row],[_IsMilestone]]),N(GanttView[[#This Row],[%]])&gt;0),GanttView[[#This Row],[Start]],0))</f>
        <v>0</v>
      </c>
      <c r="Q133" s="96" t="n">
        <f aca="false">IF(GanttView[[#This Row],[_DoneFrom]]=0,0,IF(GanttView[[#This Row],[%]]&gt;=1,GanttView[[#This Row],[Finish]],MAX(GanttView[[#This Row],[_DoneFrom]],GanttView[[#This Row],[Start]]+ROUND((GanttView[[#This Row],[Finish]]-GanttView[[#This Row],[Start]]+1)*GanttView[[#This Row],[%]],0)-1)))</f>
        <v>0</v>
      </c>
      <c r="R133" s="96" t="n">
        <f aca="false">IF(IFERROR(INDEX(tsk_Name,GanttView[[#This Row],[_Row]])="",TRUE()),0,IF(OR(INDEX(tsk_IsLeaf,GanttView[[#This Row],[_Row]])&lt;&gt;1,GanttView[[#This Row],[_IsMilestone]],N(GanttView[[#This Row],[%]])&gt;=1),0,IF(GanttView[[#This Row],[_DoneTo]]&gt;0,GanttView[[#This Row],[_DoneTo]]+1,GanttView[[#This Row],[Start]])))</f>
        <v>0</v>
      </c>
      <c r="S133" s="96" t="n">
        <f aca="false">IF(GanttView[[#This Row],[_RemFrom]]=0,0,GanttView[[#This Row],[Finish]])</f>
        <v>0</v>
      </c>
      <c r="T133" s="95" t="b">
        <f aca="false">IF(IFERROR(INDEX(tsk_Name,GanttView[[#This Row],[_Row]])="",TRUE()),FALSE(),N(INDEX(tsk_Variance,GanttView[[#This Row],[_Row]]))&gt;0)</f>
        <v>0</v>
      </c>
      <c r="U133" s="96" t="n">
        <f aca="false">IF(IFERROR(INDEX(tsk_Name,GanttView[[#This Row],[_Row]])="",TRUE()),0,N(INDEX(tsk_Deadline,GanttView[[#This Row],[_Row]])))</f>
        <v>0</v>
      </c>
      <c r="V133" s="95" t="b">
        <f aca="false">IF(IFERROR(INDEX(tsk_Name,GanttView[[#This Row],[_Row]])="",TRUE()),FALSE(),INDEX(tsk_Critical,GanttView[[#This Row],[_Row]])="Yes")</f>
        <v>0</v>
      </c>
    </row>
    <row r="134" customFormat="false" ht="15" hidden="false" customHeight="false" outlineLevel="0" collapsed="false">
      <c r="A134" s="89" t="str">
        <f aca="false">IF(IFERROR(INDEX(tsk_Name,GanttView[[#This Row],[_Row]])="",TRUE()),"",INDEX(tsk_ID,GanttView[[#This Row],[_Row]]))</f>
        <v/>
      </c>
      <c r="B134" s="90" t="str">
        <f aca="false">IF(IFERROR(INDEX(tsk_Name,GanttView[[#This Row],[_Row]])="",TRUE()),"",REPT("    ",INDEX(tsk_Level,GanttView[[#This Row],[_Row]])-1)&amp;INDEX(tsk_Name,GanttView[[#This Row],[_Row]]))</f>
        <v/>
      </c>
      <c r="C134" s="91" t="str">
        <f aca="false">IF(IFERROR(INDEX(tsk_Name,GanttView[[#This Row],[_Row]])="",TRUE()),"",INDEX(tsk_FcStart,GanttView[[#This Row],[_Row]]))</f>
        <v/>
      </c>
      <c r="D134" s="91" t="str">
        <f aca="false">IF(IFERROR(INDEX(tsk_Name,GanttView[[#This Row],[_Row]])="",TRUE()),"",INDEX(tsk_FcFinish,GanttView[[#This Row],[_Row]]))</f>
        <v/>
      </c>
      <c r="E134" s="92" t="str">
        <f aca="false">IF(IFERROR(INDEX(tsk_Name,GanttView[[#This Row],[_Row]])="",TRUE()),"",INDEX(tsk_Progress,GanttView[[#This Row],[_Row]]))</f>
        <v/>
      </c>
      <c r="F134" s="90" t="str">
        <f aca="false">IF(IFERROR(INDEX(tsk_Name,GanttView[[#This Row],[_Row]])="",TRUE()),"",INDEX(tsk_ResourceNames,GanttView[[#This Row],[_Row]])&amp;"")</f>
        <v/>
      </c>
      <c r="G134" s="89" t="str">
        <f aca="false">IF(IFERROR(INDEX(tsk_Name,GanttView[[#This Row],[_Row]])="",TRUE()),"",INDEX(tsk_WBS,GanttView[[#This Row],[_Row]]))</f>
        <v/>
      </c>
      <c r="H134" s="89" t="str">
        <f aca="false">IF(IFERROR(INDEX(tsk_Name,GanttView[[#This Row],[_Row]])="",TRUE()),"",IF(INDEX(tsk_IsSummary,GanttView[[#This Row],[_Row]]),NETWORKDAYS.INTL(INDEX(tsk_FcStart,GanttView[[#This Row],[_Row]]),INDEX(tsk_FcFinish,GanttView[[#This Row],[_Row]]),WorkWeek,Holidays),N(INDEX(tsk_Duration,GanttView[[#This Row],[_Row]]))))</f>
        <v/>
      </c>
      <c r="I134" s="91" t="str">
        <f aca="false">IF(IFERROR(INDEX(tsk_Name,GanttView[[#This Row],[_Row]])="",TRUE()),"",INDEX(tsk_PlanStart,GanttView[[#This Row],[_Row]]))</f>
        <v/>
      </c>
      <c r="J134" s="91" t="str">
        <f aca="false">IF(IFERROR(INDEX(tsk_Name,GanttView[[#This Row],[_Row]])="",TRUE()),"",INDEX(tsk_PlanFinish,GanttView[[#This Row],[_Row]]))</f>
        <v/>
      </c>
      <c r="K134" s="93" t="str">
        <f aca="false">IF(IFERROR(INDEX(tsk_Name,GanttView[[#This Row],[_Row]])="",TRUE()),"",INDEX(tsk_Status,GanttView[[#This Row],[_Row]]))</f>
        <v/>
      </c>
      <c r="L134" s="93" t="str">
        <f aca="false">IF(IFERROR(INDEX(tsk_Name,GanttView[[#This Row],[_Row]])="",TRUE()),"",INDEX(tsk_Show,GanttView[[#This Row],[_Row]])&amp;"")</f>
        <v/>
      </c>
      <c r="M134" s="94" t="n">
        <f aca="false">ROW()-ROW(GanttView[[#Headers],[ID]])</f>
        <v>129</v>
      </c>
      <c r="N134" s="95" t="b">
        <f aca="false">IF(IFERROR(INDEX(tsk_Name,GanttView[[#This Row],[_Row]])="",TRUE()),FALSE(),INDEX(tsk_IsSummary,GanttView[[#This Row],[_Row]]))</f>
        <v>0</v>
      </c>
      <c r="O134" s="95" t="b">
        <f aca="false">IF(IFERROR(INDEX(tsk_Name,GanttView[[#This Row],[_Row]])="",TRUE()),FALSE(),AND(INDEX(tsk_IsLeaf,GanttView[[#This Row],[_Row]])=1,N(INDEX(tsk_Duration,GanttView[[#This Row],[_Row]]))=0))</f>
        <v>0</v>
      </c>
      <c r="P134" s="96" t="n">
        <f aca="false">IF(IFERROR(INDEX(tsk_Name,GanttView[[#This Row],[_Row]])="",TRUE()),0,IF(AND(INDEX(tsk_IsLeaf,GanttView[[#This Row],[_Row]])=1,NOT(GanttView[[#This Row],[_IsMilestone]]),N(GanttView[[#This Row],[%]])&gt;0),GanttView[[#This Row],[Start]],0))</f>
        <v>0</v>
      </c>
      <c r="Q134" s="96" t="n">
        <f aca="false">IF(GanttView[[#This Row],[_DoneFrom]]=0,0,IF(GanttView[[#This Row],[%]]&gt;=1,GanttView[[#This Row],[Finish]],MAX(GanttView[[#This Row],[_DoneFrom]],GanttView[[#This Row],[Start]]+ROUND((GanttView[[#This Row],[Finish]]-GanttView[[#This Row],[Start]]+1)*GanttView[[#This Row],[%]],0)-1)))</f>
        <v>0</v>
      </c>
      <c r="R134" s="96" t="n">
        <f aca="false">IF(IFERROR(INDEX(tsk_Name,GanttView[[#This Row],[_Row]])="",TRUE()),0,IF(OR(INDEX(tsk_IsLeaf,GanttView[[#This Row],[_Row]])&lt;&gt;1,GanttView[[#This Row],[_IsMilestone]],N(GanttView[[#This Row],[%]])&gt;=1),0,IF(GanttView[[#This Row],[_DoneTo]]&gt;0,GanttView[[#This Row],[_DoneTo]]+1,GanttView[[#This Row],[Start]])))</f>
        <v>0</v>
      </c>
      <c r="S134" s="96" t="n">
        <f aca="false">IF(GanttView[[#This Row],[_RemFrom]]=0,0,GanttView[[#This Row],[Finish]])</f>
        <v>0</v>
      </c>
      <c r="T134" s="95" t="b">
        <f aca="false">IF(IFERROR(INDEX(tsk_Name,GanttView[[#This Row],[_Row]])="",TRUE()),FALSE(),N(INDEX(tsk_Variance,GanttView[[#This Row],[_Row]]))&gt;0)</f>
        <v>0</v>
      </c>
      <c r="U134" s="96" t="n">
        <f aca="false">IF(IFERROR(INDEX(tsk_Name,GanttView[[#This Row],[_Row]])="",TRUE()),0,N(INDEX(tsk_Deadline,GanttView[[#This Row],[_Row]])))</f>
        <v>0</v>
      </c>
      <c r="V134" s="95" t="b">
        <f aca="false">IF(IFERROR(INDEX(tsk_Name,GanttView[[#This Row],[_Row]])="",TRUE()),FALSE(),INDEX(tsk_Critical,GanttView[[#This Row],[_Row]])="Yes")</f>
        <v>0</v>
      </c>
    </row>
    <row r="135" customFormat="false" ht="15" hidden="false" customHeight="false" outlineLevel="0" collapsed="false">
      <c r="A135" s="89" t="str">
        <f aca="false">IF(IFERROR(INDEX(tsk_Name,GanttView[[#This Row],[_Row]])="",TRUE()),"",INDEX(tsk_ID,GanttView[[#This Row],[_Row]]))</f>
        <v/>
      </c>
      <c r="B135" s="90" t="str">
        <f aca="false">IF(IFERROR(INDEX(tsk_Name,GanttView[[#This Row],[_Row]])="",TRUE()),"",REPT("    ",INDEX(tsk_Level,GanttView[[#This Row],[_Row]])-1)&amp;INDEX(tsk_Name,GanttView[[#This Row],[_Row]]))</f>
        <v/>
      </c>
      <c r="C135" s="91" t="str">
        <f aca="false">IF(IFERROR(INDEX(tsk_Name,GanttView[[#This Row],[_Row]])="",TRUE()),"",INDEX(tsk_FcStart,GanttView[[#This Row],[_Row]]))</f>
        <v/>
      </c>
      <c r="D135" s="91" t="str">
        <f aca="false">IF(IFERROR(INDEX(tsk_Name,GanttView[[#This Row],[_Row]])="",TRUE()),"",INDEX(tsk_FcFinish,GanttView[[#This Row],[_Row]]))</f>
        <v/>
      </c>
      <c r="E135" s="92" t="str">
        <f aca="false">IF(IFERROR(INDEX(tsk_Name,GanttView[[#This Row],[_Row]])="",TRUE()),"",INDEX(tsk_Progress,GanttView[[#This Row],[_Row]]))</f>
        <v/>
      </c>
      <c r="F135" s="90" t="str">
        <f aca="false">IF(IFERROR(INDEX(tsk_Name,GanttView[[#This Row],[_Row]])="",TRUE()),"",INDEX(tsk_ResourceNames,GanttView[[#This Row],[_Row]])&amp;"")</f>
        <v/>
      </c>
      <c r="G135" s="89" t="str">
        <f aca="false">IF(IFERROR(INDEX(tsk_Name,GanttView[[#This Row],[_Row]])="",TRUE()),"",INDEX(tsk_WBS,GanttView[[#This Row],[_Row]]))</f>
        <v/>
      </c>
      <c r="H135" s="89" t="str">
        <f aca="false">IF(IFERROR(INDEX(tsk_Name,GanttView[[#This Row],[_Row]])="",TRUE()),"",IF(INDEX(tsk_IsSummary,GanttView[[#This Row],[_Row]]),NETWORKDAYS.INTL(INDEX(tsk_FcStart,GanttView[[#This Row],[_Row]]),INDEX(tsk_FcFinish,GanttView[[#This Row],[_Row]]),WorkWeek,Holidays),N(INDEX(tsk_Duration,GanttView[[#This Row],[_Row]]))))</f>
        <v/>
      </c>
      <c r="I135" s="91" t="str">
        <f aca="false">IF(IFERROR(INDEX(tsk_Name,GanttView[[#This Row],[_Row]])="",TRUE()),"",INDEX(tsk_PlanStart,GanttView[[#This Row],[_Row]]))</f>
        <v/>
      </c>
      <c r="J135" s="91" t="str">
        <f aca="false">IF(IFERROR(INDEX(tsk_Name,GanttView[[#This Row],[_Row]])="",TRUE()),"",INDEX(tsk_PlanFinish,GanttView[[#This Row],[_Row]]))</f>
        <v/>
      </c>
      <c r="K135" s="93" t="str">
        <f aca="false">IF(IFERROR(INDEX(tsk_Name,GanttView[[#This Row],[_Row]])="",TRUE()),"",INDEX(tsk_Status,GanttView[[#This Row],[_Row]]))</f>
        <v/>
      </c>
      <c r="L135" s="93" t="str">
        <f aca="false">IF(IFERROR(INDEX(tsk_Name,GanttView[[#This Row],[_Row]])="",TRUE()),"",INDEX(tsk_Show,GanttView[[#This Row],[_Row]])&amp;"")</f>
        <v/>
      </c>
      <c r="M135" s="94" t="n">
        <f aca="false">ROW()-ROW(GanttView[[#Headers],[ID]])</f>
        <v>130</v>
      </c>
      <c r="N135" s="95" t="b">
        <f aca="false">IF(IFERROR(INDEX(tsk_Name,GanttView[[#This Row],[_Row]])="",TRUE()),FALSE(),INDEX(tsk_IsSummary,GanttView[[#This Row],[_Row]]))</f>
        <v>0</v>
      </c>
      <c r="O135" s="95" t="b">
        <f aca="false">IF(IFERROR(INDEX(tsk_Name,GanttView[[#This Row],[_Row]])="",TRUE()),FALSE(),AND(INDEX(tsk_IsLeaf,GanttView[[#This Row],[_Row]])=1,N(INDEX(tsk_Duration,GanttView[[#This Row],[_Row]]))=0))</f>
        <v>0</v>
      </c>
      <c r="P135" s="96" t="n">
        <f aca="false">IF(IFERROR(INDEX(tsk_Name,GanttView[[#This Row],[_Row]])="",TRUE()),0,IF(AND(INDEX(tsk_IsLeaf,GanttView[[#This Row],[_Row]])=1,NOT(GanttView[[#This Row],[_IsMilestone]]),N(GanttView[[#This Row],[%]])&gt;0),GanttView[[#This Row],[Start]],0))</f>
        <v>0</v>
      </c>
      <c r="Q135" s="96" t="n">
        <f aca="false">IF(GanttView[[#This Row],[_DoneFrom]]=0,0,IF(GanttView[[#This Row],[%]]&gt;=1,GanttView[[#This Row],[Finish]],MAX(GanttView[[#This Row],[_DoneFrom]],GanttView[[#This Row],[Start]]+ROUND((GanttView[[#This Row],[Finish]]-GanttView[[#This Row],[Start]]+1)*GanttView[[#This Row],[%]],0)-1)))</f>
        <v>0</v>
      </c>
      <c r="R135" s="96" t="n">
        <f aca="false">IF(IFERROR(INDEX(tsk_Name,GanttView[[#This Row],[_Row]])="",TRUE()),0,IF(OR(INDEX(tsk_IsLeaf,GanttView[[#This Row],[_Row]])&lt;&gt;1,GanttView[[#This Row],[_IsMilestone]],N(GanttView[[#This Row],[%]])&gt;=1),0,IF(GanttView[[#This Row],[_DoneTo]]&gt;0,GanttView[[#This Row],[_DoneTo]]+1,GanttView[[#This Row],[Start]])))</f>
        <v>0</v>
      </c>
      <c r="S135" s="96" t="n">
        <f aca="false">IF(GanttView[[#This Row],[_RemFrom]]=0,0,GanttView[[#This Row],[Finish]])</f>
        <v>0</v>
      </c>
      <c r="T135" s="95" t="b">
        <f aca="false">IF(IFERROR(INDEX(tsk_Name,GanttView[[#This Row],[_Row]])="",TRUE()),FALSE(),N(INDEX(tsk_Variance,GanttView[[#This Row],[_Row]]))&gt;0)</f>
        <v>0</v>
      </c>
      <c r="U135" s="96" t="n">
        <f aca="false">IF(IFERROR(INDEX(tsk_Name,GanttView[[#This Row],[_Row]])="",TRUE()),0,N(INDEX(tsk_Deadline,GanttView[[#This Row],[_Row]])))</f>
        <v>0</v>
      </c>
      <c r="V135" s="95" t="b">
        <f aca="false">IF(IFERROR(INDEX(tsk_Name,GanttView[[#This Row],[_Row]])="",TRUE()),FALSE(),INDEX(tsk_Critical,GanttView[[#This Row],[_Row]])="Yes")</f>
        <v>0</v>
      </c>
    </row>
    <row r="136" customFormat="false" ht="15" hidden="false" customHeight="false" outlineLevel="0" collapsed="false">
      <c r="A136" s="89" t="str">
        <f aca="false">IF(IFERROR(INDEX(tsk_Name,GanttView[[#This Row],[_Row]])="",TRUE()),"",INDEX(tsk_ID,GanttView[[#This Row],[_Row]]))</f>
        <v/>
      </c>
      <c r="B136" s="90" t="str">
        <f aca="false">IF(IFERROR(INDEX(tsk_Name,GanttView[[#This Row],[_Row]])="",TRUE()),"",REPT("    ",INDEX(tsk_Level,GanttView[[#This Row],[_Row]])-1)&amp;INDEX(tsk_Name,GanttView[[#This Row],[_Row]]))</f>
        <v/>
      </c>
      <c r="C136" s="91" t="str">
        <f aca="false">IF(IFERROR(INDEX(tsk_Name,GanttView[[#This Row],[_Row]])="",TRUE()),"",INDEX(tsk_FcStart,GanttView[[#This Row],[_Row]]))</f>
        <v/>
      </c>
      <c r="D136" s="91" t="str">
        <f aca="false">IF(IFERROR(INDEX(tsk_Name,GanttView[[#This Row],[_Row]])="",TRUE()),"",INDEX(tsk_FcFinish,GanttView[[#This Row],[_Row]]))</f>
        <v/>
      </c>
      <c r="E136" s="92" t="str">
        <f aca="false">IF(IFERROR(INDEX(tsk_Name,GanttView[[#This Row],[_Row]])="",TRUE()),"",INDEX(tsk_Progress,GanttView[[#This Row],[_Row]]))</f>
        <v/>
      </c>
      <c r="F136" s="90" t="str">
        <f aca="false">IF(IFERROR(INDEX(tsk_Name,GanttView[[#This Row],[_Row]])="",TRUE()),"",INDEX(tsk_ResourceNames,GanttView[[#This Row],[_Row]])&amp;"")</f>
        <v/>
      </c>
      <c r="G136" s="89" t="str">
        <f aca="false">IF(IFERROR(INDEX(tsk_Name,GanttView[[#This Row],[_Row]])="",TRUE()),"",INDEX(tsk_WBS,GanttView[[#This Row],[_Row]]))</f>
        <v/>
      </c>
      <c r="H136" s="89" t="str">
        <f aca="false">IF(IFERROR(INDEX(tsk_Name,GanttView[[#This Row],[_Row]])="",TRUE()),"",IF(INDEX(tsk_IsSummary,GanttView[[#This Row],[_Row]]),NETWORKDAYS.INTL(INDEX(tsk_FcStart,GanttView[[#This Row],[_Row]]),INDEX(tsk_FcFinish,GanttView[[#This Row],[_Row]]),WorkWeek,Holidays),N(INDEX(tsk_Duration,GanttView[[#This Row],[_Row]]))))</f>
        <v/>
      </c>
      <c r="I136" s="91" t="str">
        <f aca="false">IF(IFERROR(INDEX(tsk_Name,GanttView[[#This Row],[_Row]])="",TRUE()),"",INDEX(tsk_PlanStart,GanttView[[#This Row],[_Row]]))</f>
        <v/>
      </c>
      <c r="J136" s="91" t="str">
        <f aca="false">IF(IFERROR(INDEX(tsk_Name,GanttView[[#This Row],[_Row]])="",TRUE()),"",INDEX(tsk_PlanFinish,GanttView[[#This Row],[_Row]]))</f>
        <v/>
      </c>
      <c r="K136" s="93" t="str">
        <f aca="false">IF(IFERROR(INDEX(tsk_Name,GanttView[[#This Row],[_Row]])="",TRUE()),"",INDEX(tsk_Status,GanttView[[#This Row],[_Row]]))</f>
        <v/>
      </c>
      <c r="L136" s="93" t="str">
        <f aca="false">IF(IFERROR(INDEX(tsk_Name,GanttView[[#This Row],[_Row]])="",TRUE()),"",INDEX(tsk_Show,GanttView[[#This Row],[_Row]])&amp;"")</f>
        <v/>
      </c>
      <c r="M136" s="94" t="n">
        <f aca="false">ROW()-ROW(GanttView[[#Headers],[ID]])</f>
        <v>131</v>
      </c>
      <c r="N136" s="95" t="b">
        <f aca="false">IF(IFERROR(INDEX(tsk_Name,GanttView[[#This Row],[_Row]])="",TRUE()),FALSE(),INDEX(tsk_IsSummary,GanttView[[#This Row],[_Row]]))</f>
        <v>0</v>
      </c>
      <c r="O136" s="95" t="b">
        <f aca="false">IF(IFERROR(INDEX(tsk_Name,GanttView[[#This Row],[_Row]])="",TRUE()),FALSE(),AND(INDEX(tsk_IsLeaf,GanttView[[#This Row],[_Row]])=1,N(INDEX(tsk_Duration,GanttView[[#This Row],[_Row]]))=0))</f>
        <v>0</v>
      </c>
      <c r="P136" s="96" t="n">
        <f aca="false">IF(IFERROR(INDEX(tsk_Name,GanttView[[#This Row],[_Row]])="",TRUE()),0,IF(AND(INDEX(tsk_IsLeaf,GanttView[[#This Row],[_Row]])=1,NOT(GanttView[[#This Row],[_IsMilestone]]),N(GanttView[[#This Row],[%]])&gt;0),GanttView[[#This Row],[Start]],0))</f>
        <v>0</v>
      </c>
      <c r="Q136" s="96" t="n">
        <f aca="false">IF(GanttView[[#This Row],[_DoneFrom]]=0,0,IF(GanttView[[#This Row],[%]]&gt;=1,GanttView[[#This Row],[Finish]],MAX(GanttView[[#This Row],[_DoneFrom]],GanttView[[#This Row],[Start]]+ROUND((GanttView[[#This Row],[Finish]]-GanttView[[#This Row],[Start]]+1)*GanttView[[#This Row],[%]],0)-1)))</f>
        <v>0</v>
      </c>
      <c r="R136" s="96" t="n">
        <f aca="false">IF(IFERROR(INDEX(tsk_Name,GanttView[[#This Row],[_Row]])="",TRUE()),0,IF(OR(INDEX(tsk_IsLeaf,GanttView[[#This Row],[_Row]])&lt;&gt;1,GanttView[[#This Row],[_IsMilestone]],N(GanttView[[#This Row],[%]])&gt;=1),0,IF(GanttView[[#This Row],[_DoneTo]]&gt;0,GanttView[[#This Row],[_DoneTo]]+1,GanttView[[#This Row],[Start]])))</f>
        <v>0</v>
      </c>
      <c r="S136" s="96" t="n">
        <f aca="false">IF(GanttView[[#This Row],[_RemFrom]]=0,0,GanttView[[#This Row],[Finish]])</f>
        <v>0</v>
      </c>
      <c r="T136" s="95" t="b">
        <f aca="false">IF(IFERROR(INDEX(tsk_Name,GanttView[[#This Row],[_Row]])="",TRUE()),FALSE(),N(INDEX(tsk_Variance,GanttView[[#This Row],[_Row]]))&gt;0)</f>
        <v>0</v>
      </c>
      <c r="U136" s="96" t="n">
        <f aca="false">IF(IFERROR(INDEX(tsk_Name,GanttView[[#This Row],[_Row]])="",TRUE()),0,N(INDEX(tsk_Deadline,GanttView[[#This Row],[_Row]])))</f>
        <v>0</v>
      </c>
      <c r="V136" s="95" t="b">
        <f aca="false">IF(IFERROR(INDEX(tsk_Name,GanttView[[#This Row],[_Row]])="",TRUE()),FALSE(),INDEX(tsk_Critical,GanttView[[#This Row],[_Row]])="Yes")</f>
        <v>0</v>
      </c>
    </row>
    <row r="137" customFormat="false" ht="15" hidden="false" customHeight="false" outlineLevel="0" collapsed="false">
      <c r="A137" s="89" t="str">
        <f aca="false">IF(IFERROR(INDEX(tsk_Name,GanttView[[#This Row],[_Row]])="",TRUE()),"",INDEX(tsk_ID,GanttView[[#This Row],[_Row]]))</f>
        <v/>
      </c>
      <c r="B137" s="90" t="str">
        <f aca="false">IF(IFERROR(INDEX(tsk_Name,GanttView[[#This Row],[_Row]])="",TRUE()),"",REPT("    ",INDEX(tsk_Level,GanttView[[#This Row],[_Row]])-1)&amp;INDEX(tsk_Name,GanttView[[#This Row],[_Row]]))</f>
        <v/>
      </c>
      <c r="C137" s="91" t="str">
        <f aca="false">IF(IFERROR(INDEX(tsk_Name,GanttView[[#This Row],[_Row]])="",TRUE()),"",INDEX(tsk_FcStart,GanttView[[#This Row],[_Row]]))</f>
        <v/>
      </c>
      <c r="D137" s="91" t="str">
        <f aca="false">IF(IFERROR(INDEX(tsk_Name,GanttView[[#This Row],[_Row]])="",TRUE()),"",INDEX(tsk_FcFinish,GanttView[[#This Row],[_Row]]))</f>
        <v/>
      </c>
      <c r="E137" s="92" t="str">
        <f aca="false">IF(IFERROR(INDEX(tsk_Name,GanttView[[#This Row],[_Row]])="",TRUE()),"",INDEX(tsk_Progress,GanttView[[#This Row],[_Row]]))</f>
        <v/>
      </c>
      <c r="F137" s="90" t="str">
        <f aca="false">IF(IFERROR(INDEX(tsk_Name,GanttView[[#This Row],[_Row]])="",TRUE()),"",INDEX(tsk_ResourceNames,GanttView[[#This Row],[_Row]])&amp;"")</f>
        <v/>
      </c>
      <c r="G137" s="89" t="str">
        <f aca="false">IF(IFERROR(INDEX(tsk_Name,GanttView[[#This Row],[_Row]])="",TRUE()),"",INDEX(tsk_WBS,GanttView[[#This Row],[_Row]]))</f>
        <v/>
      </c>
      <c r="H137" s="89" t="str">
        <f aca="false">IF(IFERROR(INDEX(tsk_Name,GanttView[[#This Row],[_Row]])="",TRUE()),"",IF(INDEX(tsk_IsSummary,GanttView[[#This Row],[_Row]]),NETWORKDAYS.INTL(INDEX(tsk_FcStart,GanttView[[#This Row],[_Row]]),INDEX(tsk_FcFinish,GanttView[[#This Row],[_Row]]),WorkWeek,Holidays),N(INDEX(tsk_Duration,GanttView[[#This Row],[_Row]]))))</f>
        <v/>
      </c>
      <c r="I137" s="91" t="str">
        <f aca="false">IF(IFERROR(INDEX(tsk_Name,GanttView[[#This Row],[_Row]])="",TRUE()),"",INDEX(tsk_PlanStart,GanttView[[#This Row],[_Row]]))</f>
        <v/>
      </c>
      <c r="J137" s="91" t="str">
        <f aca="false">IF(IFERROR(INDEX(tsk_Name,GanttView[[#This Row],[_Row]])="",TRUE()),"",INDEX(tsk_PlanFinish,GanttView[[#This Row],[_Row]]))</f>
        <v/>
      </c>
      <c r="K137" s="93" t="str">
        <f aca="false">IF(IFERROR(INDEX(tsk_Name,GanttView[[#This Row],[_Row]])="",TRUE()),"",INDEX(tsk_Status,GanttView[[#This Row],[_Row]]))</f>
        <v/>
      </c>
      <c r="L137" s="93" t="str">
        <f aca="false">IF(IFERROR(INDEX(tsk_Name,GanttView[[#This Row],[_Row]])="",TRUE()),"",INDEX(tsk_Show,GanttView[[#This Row],[_Row]])&amp;"")</f>
        <v/>
      </c>
      <c r="M137" s="94" t="n">
        <f aca="false">ROW()-ROW(GanttView[[#Headers],[ID]])</f>
        <v>132</v>
      </c>
      <c r="N137" s="95" t="b">
        <f aca="false">IF(IFERROR(INDEX(tsk_Name,GanttView[[#This Row],[_Row]])="",TRUE()),FALSE(),INDEX(tsk_IsSummary,GanttView[[#This Row],[_Row]]))</f>
        <v>0</v>
      </c>
      <c r="O137" s="95" t="b">
        <f aca="false">IF(IFERROR(INDEX(tsk_Name,GanttView[[#This Row],[_Row]])="",TRUE()),FALSE(),AND(INDEX(tsk_IsLeaf,GanttView[[#This Row],[_Row]])=1,N(INDEX(tsk_Duration,GanttView[[#This Row],[_Row]]))=0))</f>
        <v>0</v>
      </c>
      <c r="P137" s="96" t="n">
        <f aca="false">IF(IFERROR(INDEX(tsk_Name,GanttView[[#This Row],[_Row]])="",TRUE()),0,IF(AND(INDEX(tsk_IsLeaf,GanttView[[#This Row],[_Row]])=1,NOT(GanttView[[#This Row],[_IsMilestone]]),N(GanttView[[#This Row],[%]])&gt;0),GanttView[[#This Row],[Start]],0))</f>
        <v>0</v>
      </c>
      <c r="Q137" s="96" t="n">
        <f aca="false">IF(GanttView[[#This Row],[_DoneFrom]]=0,0,IF(GanttView[[#This Row],[%]]&gt;=1,GanttView[[#This Row],[Finish]],MAX(GanttView[[#This Row],[_DoneFrom]],GanttView[[#This Row],[Start]]+ROUND((GanttView[[#This Row],[Finish]]-GanttView[[#This Row],[Start]]+1)*GanttView[[#This Row],[%]],0)-1)))</f>
        <v>0</v>
      </c>
      <c r="R137" s="96" t="n">
        <f aca="false">IF(IFERROR(INDEX(tsk_Name,GanttView[[#This Row],[_Row]])="",TRUE()),0,IF(OR(INDEX(tsk_IsLeaf,GanttView[[#This Row],[_Row]])&lt;&gt;1,GanttView[[#This Row],[_IsMilestone]],N(GanttView[[#This Row],[%]])&gt;=1),0,IF(GanttView[[#This Row],[_DoneTo]]&gt;0,GanttView[[#This Row],[_DoneTo]]+1,GanttView[[#This Row],[Start]])))</f>
        <v>0</v>
      </c>
      <c r="S137" s="96" t="n">
        <f aca="false">IF(GanttView[[#This Row],[_RemFrom]]=0,0,GanttView[[#This Row],[Finish]])</f>
        <v>0</v>
      </c>
      <c r="T137" s="95" t="b">
        <f aca="false">IF(IFERROR(INDEX(tsk_Name,GanttView[[#This Row],[_Row]])="",TRUE()),FALSE(),N(INDEX(tsk_Variance,GanttView[[#This Row],[_Row]]))&gt;0)</f>
        <v>0</v>
      </c>
      <c r="U137" s="96" t="n">
        <f aca="false">IF(IFERROR(INDEX(tsk_Name,GanttView[[#This Row],[_Row]])="",TRUE()),0,N(INDEX(tsk_Deadline,GanttView[[#This Row],[_Row]])))</f>
        <v>0</v>
      </c>
      <c r="V137" s="95" t="b">
        <f aca="false">IF(IFERROR(INDEX(tsk_Name,GanttView[[#This Row],[_Row]])="",TRUE()),FALSE(),INDEX(tsk_Critical,GanttView[[#This Row],[_Row]])="Yes")</f>
        <v>0</v>
      </c>
    </row>
    <row r="138" customFormat="false" ht="15" hidden="false" customHeight="false" outlineLevel="0" collapsed="false">
      <c r="A138" s="89" t="str">
        <f aca="false">IF(IFERROR(INDEX(tsk_Name,GanttView[[#This Row],[_Row]])="",TRUE()),"",INDEX(tsk_ID,GanttView[[#This Row],[_Row]]))</f>
        <v/>
      </c>
      <c r="B138" s="90" t="str">
        <f aca="false">IF(IFERROR(INDEX(tsk_Name,GanttView[[#This Row],[_Row]])="",TRUE()),"",REPT("    ",INDEX(tsk_Level,GanttView[[#This Row],[_Row]])-1)&amp;INDEX(tsk_Name,GanttView[[#This Row],[_Row]]))</f>
        <v/>
      </c>
      <c r="C138" s="91" t="str">
        <f aca="false">IF(IFERROR(INDEX(tsk_Name,GanttView[[#This Row],[_Row]])="",TRUE()),"",INDEX(tsk_FcStart,GanttView[[#This Row],[_Row]]))</f>
        <v/>
      </c>
      <c r="D138" s="91" t="str">
        <f aca="false">IF(IFERROR(INDEX(tsk_Name,GanttView[[#This Row],[_Row]])="",TRUE()),"",INDEX(tsk_FcFinish,GanttView[[#This Row],[_Row]]))</f>
        <v/>
      </c>
      <c r="E138" s="92" t="str">
        <f aca="false">IF(IFERROR(INDEX(tsk_Name,GanttView[[#This Row],[_Row]])="",TRUE()),"",INDEX(tsk_Progress,GanttView[[#This Row],[_Row]]))</f>
        <v/>
      </c>
      <c r="F138" s="90" t="str">
        <f aca="false">IF(IFERROR(INDEX(tsk_Name,GanttView[[#This Row],[_Row]])="",TRUE()),"",INDEX(tsk_ResourceNames,GanttView[[#This Row],[_Row]])&amp;"")</f>
        <v/>
      </c>
      <c r="G138" s="89" t="str">
        <f aca="false">IF(IFERROR(INDEX(tsk_Name,GanttView[[#This Row],[_Row]])="",TRUE()),"",INDEX(tsk_WBS,GanttView[[#This Row],[_Row]]))</f>
        <v/>
      </c>
      <c r="H138" s="89" t="str">
        <f aca="false">IF(IFERROR(INDEX(tsk_Name,GanttView[[#This Row],[_Row]])="",TRUE()),"",IF(INDEX(tsk_IsSummary,GanttView[[#This Row],[_Row]]),NETWORKDAYS.INTL(INDEX(tsk_FcStart,GanttView[[#This Row],[_Row]]),INDEX(tsk_FcFinish,GanttView[[#This Row],[_Row]]),WorkWeek,Holidays),N(INDEX(tsk_Duration,GanttView[[#This Row],[_Row]]))))</f>
        <v/>
      </c>
      <c r="I138" s="91" t="str">
        <f aca="false">IF(IFERROR(INDEX(tsk_Name,GanttView[[#This Row],[_Row]])="",TRUE()),"",INDEX(tsk_PlanStart,GanttView[[#This Row],[_Row]]))</f>
        <v/>
      </c>
      <c r="J138" s="91" t="str">
        <f aca="false">IF(IFERROR(INDEX(tsk_Name,GanttView[[#This Row],[_Row]])="",TRUE()),"",INDEX(tsk_PlanFinish,GanttView[[#This Row],[_Row]]))</f>
        <v/>
      </c>
      <c r="K138" s="93" t="str">
        <f aca="false">IF(IFERROR(INDEX(tsk_Name,GanttView[[#This Row],[_Row]])="",TRUE()),"",INDEX(tsk_Status,GanttView[[#This Row],[_Row]]))</f>
        <v/>
      </c>
      <c r="L138" s="93" t="str">
        <f aca="false">IF(IFERROR(INDEX(tsk_Name,GanttView[[#This Row],[_Row]])="",TRUE()),"",INDEX(tsk_Show,GanttView[[#This Row],[_Row]])&amp;"")</f>
        <v/>
      </c>
      <c r="M138" s="94" t="n">
        <f aca="false">ROW()-ROW(GanttView[[#Headers],[ID]])</f>
        <v>133</v>
      </c>
      <c r="N138" s="95" t="b">
        <f aca="false">IF(IFERROR(INDEX(tsk_Name,GanttView[[#This Row],[_Row]])="",TRUE()),FALSE(),INDEX(tsk_IsSummary,GanttView[[#This Row],[_Row]]))</f>
        <v>0</v>
      </c>
      <c r="O138" s="95" t="b">
        <f aca="false">IF(IFERROR(INDEX(tsk_Name,GanttView[[#This Row],[_Row]])="",TRUE()),FALSE(),AND(INDEX(tsk_IsLeaf,GanttView[[#This Row],[_Row]])=1,N(INDEX(tsk_Duration,GanttView[[#This Row],[_Row]]))=0))</f>
        <v>0</v>
      </c>
      <c r="P138" s="96" t="n">
        <f aca="false">IF(IFERROR(INDEX(tsk_Name,GanttView[[#This Row],[_Row]])="",TRUE()),0,IF(AND(INDEX(tsk_IsLeaf,GanttView[[#This Row],[_Row]])=1,NOT(GanttView[[#This Row],[_IsMilestone]]),N(GanttView[[#This Row],[%]])&gt;0),GanttView[[#This Row],[Start]],0))</f>
        <v>0</v>
      </c>
      <c r="Q138" s="96" t="n">
        <f aca="false">IF(GanttView[[#This Row],[_DoneFrom]]=0,0,IF(GanttView[[#This Row],[%]]&gt;=1,GanttView[[#This Row],[Finish]],MAX(GanttView[[#This Row],[_DoneFrom]],GanttView[[#This Row],[Start]]+ROUND((GanttView[[#This Row],[Finish]]-GanttView[[#This Row],[Start]]+1)*GanttView[[#This Row],[%]],0)-1)))</f>
        <v>0</v>
      </c>
      <c r="R138" s="96" t="n">
        <f aca="false">IF(IFERROR(INDEX(tsk_Name,GanttView[[#This Row],[_Row]])="",TRUE()),0,IF(OR(INDEX(tsk_IsLeaf,GanttView[[#This Row],[_Row]])&lt;&gt;1,GanttView[[#This Row],[_IsMilestone]],N(GanttView[[#This Row],[%]])&gt;=1),0,IF(GanttView[[#This Row],[_DoneTo]]&gt;0,GanttView[[#This Row],[_DoneTo]]+1,GanttView[[#This Row],[Start]])))</f>
        <v>0</v>
      </c>
      <c r="S138" s="96" t="n">
        <f aca="false">IF(GanttView[[#This Row],[_RemFrom]]=0,0,GanttView[[#This Row],[Finish]])</f>
        <v>0</v>
      </c>
      <c r="T138" s="95" t="b">
        <f aca="false">IF(IFERROR(INDEX(tsk_Name,GanttView[[#This Row],[_Row]])="",TRUE()),FALSE(),N(INDEX(tsk_Variance,GanttView[[#This Row],[_Row]]))&gt;0)</f>
        <v>0</v>
      </c>
      <c r="U138" s="96" t="n">
        <f aca="false">IF(IFERROR(INDEX(tsk_Name,GanttView[[#This Row],[_Row]])="",TRUE()),0,N(INDEX(tsk_Deadline,GanttView[[#This Row],[_Row]])))</f>
        <v>0</v>
      </c>
      <c r="V138" s="95" t="b">
        <f aca="false">IF(IFERROR(INDEX(tsk_Name,GanttView[[#This Row],[_Row]])="",TRUE()),FALSE(),INDEX(tsk_Critical,GanttView[[#This Row],[_Row]])="Yes")</f>
        <v>0</v>
      </c>
    </row>
    <row r="139" customFormat="false" ht="15" hidden="false" customHeight="false" outlineLevel="0" collapsed="false">
      <c r="A139" s="89" t="str">
        <f aca="false">IF(IFERROR(INDEX(tsk_Name,GanttView[[#This Row],[_Row]])="",TRUE()),"",INDEX(tsk_ID,GanttView[[#This Row],[_Row]]))</f>
        <v/>
      </c>
      <c r="B139" s="90" t="str">
        <f aca="false">IF(IFERROR(INDEX(tsk_Name,GanttView[[#This Row],[_Row]])="",TRUE()),"",REPT("    ",INDEX(tsk_Level,GanttView[[#This Row],[_Row]])-1)&amp;INDEX(tsk_Name,GanttView[[#This Row],[_Row]]))</f>
        <v/>
      </c>
      <c r="C139" s="91" t="str">
        <f aca="false">IF(IFERROR(INDEX(tsk_Name,GanttView[[#This Row],[_Row]])="",TRUE()),"",INDEX(tsk_FcStart,GanttView[[#This Row],[_Row]]))</f>
        <v/>
      </c>
      <c r="D139" s="91" t="str">
        <f aca="false">IF(IFERROR(INDEX(tsk_Name,GanttView[[#This Row],[_Row]])="",TRUE()),"",INDEX(tsk_FcFinish,GanttView[[#This Row],[_Row]]))</f>
        <v/>
      </c>
      <c r="E139" s="92" t="str">
        <f aca="false">IF(IFERROR(INDEX(tsk_Name,GanttView[[#This Row],[_Row]])="",TRUE()),"",INDEX(tsk_Progress,GanttView[[#This Row],[_Row]]))</f>
        <v/>
      </c>
      <c r="F139" s="90" t="str">
        <f aca="false">IF(IFERROR(INDEX(tsk_Name,GanttView[[#This Row],[_Row]])="",TRUE()),"",INDEX(tsk_ResourceNames,GanttView[[#This Row],[_Row]])&amp;"")</f>
        <v/>
      </c>
      <c r="G139" s="89" t="str">
        <f aca="false">IF(IFERROR(INDEX(tsk_Name,GanttView[[#This Row],[_Row]])="",TRUE()),"",INDEX(tsk_WBS,GanttView[[#This Row],[_Row]]))</f>
        <v/>
      </c>
      <c r="H139" s="89" t="str">
        <f aca="false">IF(IFERROR(INDEX(tsk_Name,GanttView[[#This Row],[_Row]])="",TRUE()),"",IF(INDEX(tsk_IsSummary,GanttView[[#This Row],[_Row]]),NETWORKDAYS.INTL(INDEX(tsk_FcStart,GanttView[[#This Row],[_Row]]),INDEX(tsk_FcFinish,GanttView[[#This Row],[_Row]]),WorkWeek,Holidays),N(INDEX(tsk_Duration,GanttView[[#This Row],[_Row]]))))</f>
        <v/>
      </c>
      <c r="I139" s="91" t="str">
        <f aca="false">IF(IFERROR(INDEX(tsk_Name,GanttView[[#This Row],[_Row]])="",TRUE()),"",INDEX(tsk_PlanStart,GanttView[[#This Row],[_Row]]))</f>
        <v/>
      </c>
      <c r="J139" s="91" t="str">
        <f aca="false">IF(IFERROR(INDEX(tsk_Name,GanttView[[#This Row],[_Row]])="",TRUE()),"",INDEX(tsk_PlanFinish,GanttView[[#This Row],[_Row]]))</f>
        <v/>
      </c>
      <c r="K139" s="93" t="str">
        <f aca="false">IF(IFERROR(INDEX(tsk_Name,GanttView[[#This Row],[_Row]])="",TRUE()),"",INDEX(tsk_Status,GanttView[[#This Row],[_Row]]))</f>
        <v/>
      </c>
      <c r="L139" s="93" t="str">
        <f aca="false">IF(IFERROR(INDEX(tsk_Name,GanttView[[#This Row],[_Row]])="",TRUE()),"",INDEX(tsk_Show,GanttView[[#This Row],[_Row]])&amp;"")</f>
        <v/>
      </c>
      <c r="M139" s="94" t="n">
        <f aca="false">ROW()-ROW(GanttView[[#Headers],[ID]])</f>
        <v>134</v>
      </c>
      <c r="N139" s="95" t="b">
        <f aca="false">IF(IFERROR(INDEX(tsk_Name,GanttView[[#This Row],[_Row]])="",TRUE()),FALSE(),INDEX(tsk_IsSummary,GanttView[[#This Row],[_Row]]))</f>
        <v>0</v>
      </c>
      <c r="O139" s="95" t="b">
        <f aca="false">IF(IFERROR(INDEX(tsk_Name,GanttView[[#This Row],[_Row]])="",TRUE()),FALSE(),AND(INDEX(tsk_IsLeaf,GanttView[[#This Row],[_Row]])=1,N(INDEX(tsk_Duration,GanttView[[#This Row],[_Row]]))=0))</f>
        <v>0</v>
      </c>
      <c r="P139" s="96" t="n">
        <f aca="false">IF(IFERROR(INDEX(tsk_Name,GanttView[[#This Row],[_Row]])="",TRUE()),0,IF(AND(INDEX(tsk_IsLeaf,GanttView[[#This Row],[_Row]])=1,NOT(GanttView[[#This Row],[_IsMilestone]]),N(GanttView[[#This Row],[%]])&gt;0),GanttView[[#This Row],[Start]],0))</f>
        <v>0</v>
      </c>
      <c r="Q139" s="96" t="n">
        <f aca="false">IF(GanttView[[#This Row],[_DoneFrom]]=0,0,IF(GanttView[[#This Row],[%]]&gt;=1,GanttView[[#This Row],[Finish]],MAX(GanttView[[#This Row],[_DoneFrom]],GanttView[[#This Row],[Start]]+ROUND((GanttView[[#This Row],[Finish]]-GanttView[[#This Row],[Start]]+1)*GanttView[[#This Row],[%]],0)-1)))</f>
        <v>0</v>
      </c>
      <c r="R139" s="96" t="n">
        <f aca="false">IF(IFERROR(INDEX(tsk_Name,GanttView[[#This Row],[_Row]])="",TRUE()),0,IF(OR(INDEX(tsk_IsLeaf,GanttView[[#This Row],[_Row]])&lt;&gt;1,GanttView[[#This Row],[_IsMilestone]],N(GanttView[[#This Row],[%]])&gt;=1),0,IF(GanttView[[#This Row],[_DoneTo]]&gt;0,GanttView[[#This Row],[_DoneTo]]+1,GanttView[[#This Row],[Start]])))</f>
        <v>0</v>
      </c>
      <c r="S139" s="96" t="n">
        <f aca="false">IF(GanttView[[#This Row],[_RemFrom]]=0,0,GanttView[[#This Row],[Finish]])</f>
        <v>0</v>
      </c>
      <c r="T139" s="95" t="b">
        <f aca="false">IF(IFERROR(INDEX(tsk_Name,GanttView[[#This Row],[_Row]])="",TRUE()),FALSE(),N(INDEX(tsk_Variance,GanttView[[#This Row],[_Row]]))&gt;0)</f>
        <v>0</v>
      </c>
      <c r="U139" s="96" t="n">
        <f aca="false">IF(IFERROR(INDEX(tsk_Name,GanttView[[#This Row],[_Row]])="",TRUE()),0,N(INDEX(tsk_Deadline,GanttView[[#This Row],[_Row]])))</f>
        <v>0</v>
      </c>
      <c r="V139" s="95" t="b">
        <f aca="false">IF(IFERROR(INDEX(tsk_Name,GanttView[[#This Row],[_Row]])="",TRUE()),FALSE(),INDEX(tsk_Critical,GanttView[[#This Row],[_Row]])="Yes")</f>
        <v>0</v>
      </c>
    </row>
    <row r="140" customFormat="false" ht="15" hidden="false" customHeight="false" outlineLevel="0" collapsed="false">
      <c r="A140" s="89" t="str">
        <f aca="false">IF(IFERROR(INDEX(tsk_Name,GanttView[[#This Row],[_Row]])="",TRUE()),"",INDEX(tsk_ID,GanttView[[#This Row],[_Row]]))</f>
        <v/>
      </c>
      <c r="B140" s="90" t="str">
        <f aca="false">IF(IFERROR(INDEX(tsk_Name,GanttView[[#This Row],[_Row]])="",TRUE()),"",REPT("    ",INDEX(tsk_Level,GanttView[[#This Row],[_Row]])-1)&amp;INDEX(tsk_Name,GanttView[[#This Row],[_Row]]))</f>
        <v/>
      </c>
      <c r="C140" s="91" t="str">
        <f aca="false">IF(IFERROR(INDEX(tsk_Name,GanttView[[#This Row],[_Row]])="",TRUE()),"",INDEX(tsk_FcStart,GanttView[[#This Row],[_Row]]))</f>
        <v/>
      </c>
      <c r="D140" s="91" t="str">
        <f aca="false">IF(IFERROR(INDEX(tsk_Name,GanttView[[#This Row],[_Row]])="",TRUE()),"",INDEX(tsk_FcFinish,GanttView[[#This Row],[_Row]]))</f>
        <v/>
      </c>
      <c r="E140" s="92" t="str">
        <f aca="false">IF(IFERROR(INDEX(tsk_Name,GanttView[[#This Row],[_Row]])="",TRUE()),"",INDEX(tsk_Progress,GanttView[[#This Row],[_Row]]))</f>
        <v/>
      </c>
      <c r="F140" s="90" t="str">
        <f aca="false">IF(IFERROR(INDEX(tsk_Name,GanttView[[#This Row],[_Row]])="",TRUE()),"",INDEX(tsk_ResourceNames,GanttView[[#This Row],[_Row]])&amp;"")</f>
        <v/>
      </c>
      <c r="G140" s="89" t="str">
        <f aca="false">IF(IFERROR(INDEX(tsk_Name,GanttView[[#This Row],[_Row]])="",TRUE()),"",INDEX(tsk_WBS,GanttView[[#This Row],[_Row]]))</f>
        <v/>
      </c>
      <c r="H140" s="89" t="str">
        <f aca="false">IF(IFERROR(INDEX(tsk_Name,GanttView[[#This Row],[_Row]])="",TRUE()),"",IF(INDEX(tsk_IsSummary,GanttView[[#This Row],[_Row]]),NETWORKDAYS.INTL(INDEX(tsk_FcStart,GanttView[[#This Row],[_Row]]),INDEX(tsk_FcFinish,GanttView[[#This Row],[_Row]]),WorkWeek,Holidays),N(INDEX(tsk_Duration,GanttView[[#This Row],[_Row]]))))</f>
        <v/>
      </c>
      <c r="I140" s="91" t="str">
        <f aca="false">IF(IFERROR(INDEX(tsk_Name,GanttView[[#This Row],[_Row]])="",TRUE()),"",INDEX(tsk_PlanStart,GanttView[[#This Row],[_Row]]))</f>
        <v/>
      </c>
      <c r="J140" s="91" t="str">
        <f aca="false">IF(IFERROR(INDEX(tsk_Name,GanttView[[#This Row],[_Row]])="",TRUE()),"",INDEX(tsk_PlanFinish,GanttView[[#This Row],[_Row]]))</f>
        <v/>
      </c>
      <c r="K140" s="93" t="str">
        <f aca="false">IF(IFERROR(INDEX(tsk_Name,GanttView[[#This Row],[_Row]])="",TRUE()),"",INDEX(tsk_Status,GanttView[[#This Row],[_Row]]))</f>
        <v/>
      </c>
      <c r="L140" s="93" t="str">
        <f aca="false">IF(IFERROR(INDEX(tsk_Name,GanttView[[#This Row],[_Row]])="",TRUE()),"",INDEX(tsk_Show,GanttView[[#This Row],[_Row]])&amp;"")</f>
        <v/>
      </c>
      <c r="M140" s="94" t="n">
        <f aca="false">ROW()-ROW(GanttView[[#Headers],[ID]])</f>
        <v>135</v>
      </c>
      <c r="N140" s="95" t="b">
        <f aca="false">IF(IFERROR(INDEX(tsk_Name,GanttView[[#This Row],[_Row]])="",TRUE()),FALSE(),INDEX(tsk_IsSummary,GanttView[[#This Row],[_Row]]))</f>
        <v>0</v>
      </c>
      <c r="O140" s="95" t="b">
        <f aca="false">IF(IFERROR(INDEX(tsk_Name,GanttView[[#This Row],[_Row]])="",TRUE()),FALSE(),AND(INDEX(tsk_IsLeaf,GanttView[[#This Row],[_Row]])=1,N(INDEX(tsk_Duration,GanttView[[#This Row],[_Row]]))=0))</f>
        <v>0</v>
      </c>
      <c r="P140" s="96" t="n">
        <f aca="false">IF(IFERROR(INDEX(tsk_Name,GanttView[[#This Row],[_Row]])="",TRUE()),0,IF(AND(INDEX(tsk_IsLeaf,GanttView[[#This Row],[_Row]])=1,NOT(GanttView[[#This Row],[_IsMilestone]]),N(GanttView[[#This Row],[%]])&gt;0),GanttView[[#This Row],[Start]],0))</f>
        <v>0</v>
      </c>
      <c r="Q140" s="96" t="n">
        <f aca="false">IF(GanttView[[#This Row],[_DoneFrom]]=0,0,IF(GanttView[[#This Row],[%]]&gt;=1,GanttView[[#This Row],[Finish]],MAX(GanttView[[#This Row],[_DoneFrom]],GanttView[[#This Row],[Start]]+ROUND((GanttView[[#This Row],[Finish]]-GanttView[[#This Row],[Start]]+1)*GanttView[[#This Row],[%]],0)-1)))</f>
        <v>0</v>
      </c>
      <c r="R140" s="96" t="n">
        <f aca="false">IF(IFERROR(INDEX(tsk_Name,GanttView[[#This Row],[_Row]])="",TRUE()),0,IF(OR(INDEX(tsk_IsLeaf,GanttView[[#This Row],[_Row]])&lt;&gt;1,GanttView[[#This Row],[_IsMilestone]],N(GanttView[[#This Row],[%]])&gt;=1),0,IF(GanttView[[#This Row],[_DoneTo]]&gt;0,GanttView[[#This Row],[_DoneTo]]+1,GanttView[[#This Row],[Start]])))</f>
        <v>0</v>
      </c>
      <c r="S140" s="96" t="n">
        <f aca="false">IF(GanttView[[#This Row],[_RemFrom]]=0,0,GanttView[[#This Row],[Finish]])</f>
        <v>0</v>
      </c>
      <c r="T140" s="95" t="b">
        <f aca="false">IF(IFERROR(INDEX(tsk_Name,GanttView[[#This Row],[_Row]])="",TRUE()),FALSE(),N(INDEX(tsk_Variance,GanttView[[#This Row],[_Row]]))&gt;0)</f>
        <v>0</v>
      </c>
      <c r="U140" s="96" t="n">
        <f aca="false">IF(IFERROR(INDEX(tsk_Name,GanttView[[#This Row],[_Row]])="",TRUE()),0,N(INDEX(tsk_Deadline,GanttView[[#This Row],[_Row]])))</f>
        <v>0</v>
      </c>
      <c r="V140" s="95" t="b">
        <f aca="false">IF(IFERROR(INDEX(tsk_Name,GanttView[[#This Row],[_Row]])="",TRUE()),FALSE(),INDEX(tsk_Critical,GanttView[[#This Row],[_Row]])="Yes")</f>
        <v>0</v>
      </c>
    </row>
    <row r="141" customFormat="false" ht="15" hidden="false" customHeight="false" outlineLevel="0" collapsed="false">
      <c r="A141" s="89" t="str">
        <f aca="false">IF(IFERROR(INDEX(tsk_Name,GanttView[[#This Row],[_Row]])="",TRUE()),"",INDEX(tsk_ID,GanttView[[#This Row],[_Row]]))</f>
        <v/>
      </c>
      <c r="B141" s="90" t="str">
        <f aca="false">IF(IFERROR(INDEX(tsk_Name,GanttView[[#This Row],[_Row]])="",TRUE()),"",REPT("    ",INDEX(tsk_Level,GanttView[[#This Row],[_Row]])-1)&amp;INDEX(tsk_Name,GanttView[[#This Row],[_Row]]))</f>
        <v/>
      </c>
      <c r="C141" s="91" t="str">
        <f aca="false">IF(IFERROR(INDEX(tsk_Name,GanttView[[#This Row],[_Row]])="",TRUE()),"",INDEX(tsk_FcStart,GanttView[[#This Row],[_Row]]))</f>
        <v/>
      </c>
      <c r="D141" s="91" t="str">
        <f aca="false">IF(IFERROR(INDEX(tsk_Name,GanttView[[#This Row],[_Row]])="",TRUE()),"",INDEX(tsk_FcFinish,GanttView[[#This Row],[_Row]]))</f>
        <v/>
      </c>
      <c r="E141" s="92" t="str">
        <f aca="false">IF(IFERROR(INDEX(tsk_Name,GanttView[[#This Row],[_Row]])="",TRUE()),"",INDEX(tsk_Progress,GanttView[[#This Row],[_Row]]))</f>
        <v/>
      </c>
      <c r="F141" s="90" t="str">
        <f aca="false">IF(IFERROR(INDEX(tsk_Name,GanttView[[#This Row],[_Row]])="",TRUE()),"",INDEX(tsk_ResourceNames,GanttView[[#This Row],[_Row]])&amp;"")</f>
        <v/>
      </c>
      <c r="G141" s="89" t="str">
        <f aca="false">IF(IFERROR(INDEX(tsk_Name,GanttView[[#This Row],[_Row]])="",TRUE()),"",INDEX(tsk_WBS,GanttView[[#This Row],[_Row]]))</f>
        <v/>
      </c>
      <c r="H141" s="89" t="str">
        <f aca="false">IF(IFERROR(INDEX(tsk_Name,GanttView[[#This Row],[_Row]])="",TRUE()),"",IF(INDEX(tsk_IsSummary,GanttView[[#This Row],[_Row]]),NETWORKDAYS.INTL(INDEX(tsk_FcStart,GanttView[[#This Row],[_Row]]),INDEX(tsk_FcFinish,GanttView[[#This Row],[_Row]]),WorkWeek,Holidays),N(INDEX(tsk_Duration,GanttView[[#This Row],[_Row]]))))</f>
        <v/>
      </c>
      <c r="I141" s="91" t="str">
        <f aca="false">IF(IFERROR(INDEX(tsk_Name,GanttView[[#This Row],[_Row]])="",TRUE()),"",INDEX(tsk_PlanStart,GanttView[[#This Row],[_Row]]))</f>
        <v/>
      </c>
      <c r="J141" s="91" t="str">
        <f aca="false">IF(IFERROR(INDEX(tsk_Name,GanttView[[#This Row],[_Row]])="",TRUE()),"",INDEX(tsk_PlanFinish,GanttView[[#This Row],[_Row]]))</f>
        <v/>
      </c>
      <c r="K141" s="93" t="str">
        <f aca="false">IF(IFERROR(INDEX(tsk_Name,GanttView[[#This Row],[_Row]])="",TRUE()),"",INDEX(tsk_Status,GanttView[[#This Row],[_Row]]))</f>
        <v/>
      </c>
      <c r="L141" s="93" t="str">
        <f aca="false">IF(IFERROR(INDEX(tsk_Name,GanttView[[#This Row],[_Row]])="",TRUE()),"",INDEX(tsk_Show,GanttView[[#This Row],[_Row]])&amp;"")</f>
        <v/>
      </c>
      <c r="M141" s="94" t="n">
        <f aca="false">ROW()-ROW(GanttView[[#Headers],[ID]])</f>
        <v>136</v>
      </c>
      <c r="N141" s="95" t="b">
        <f aca="false">IF(IFERROR(INDEX(tsk_Name,GanttView[[#This Row],[_Row]])="",TRUE()),FALSE(),INDEX(tsk_IsSummary,GanttView[[#This Row],[_Row]]))</f>
        <v>0</v>
      </c>
      <c r="O141" s="95" t="b">
        <f aca="false">IF(IFERROR(INDEX(tsk_Name,GanttView[[#This Row],[_Row]])="",TRUE()),FALSE(),AND(INDEX(tsk_IsLeaf,GanttView[[#This Row],[_Row]])=1,N(INDEX(tsk_Duration,GanttView[[#This Row],[_Row]]))=0))</f>
        <v>0</v>
      </c>
      <c r="P141" s="96" t="n">
        <f aca="false">IF(IFERROR(INDEX(tsk_Name,GanttView[[#This Row],[_Row]])="",TRUE()),0,IF(AND(INDEX(tsk_IsLeaf,GanttView[[#This Row],[_Row]])=1,NOT(GanttView[[#This Row],[_IsMilestone]]),N(GanttView[[#This Row],[%]])&gt;0),GanttView[[#This Row],[Start]],0))</f>
        <v>0</v>
      </c>
      <c r="Q141" s="96" t="n">
        <f aca="false">IF(GanttView[[#This Row],[_DoneFrom]]=0,0,IF(GanttView[[#This Row],[%]]&gt;=1,GanttView[[#This Row],[Finish]],MAX(GanttView[[#This Row],[_DoneFrom]],GanttView[[#This Row],[Start]]+ROUND((GanttView[[#This Row],[Finish]]-GanttView[[#This Row],[Start]]+1)*GanttView[[#This Row],[%]],0)-1)))</f>
        <v>0</v>
      </c>
      <c r="R141" s="96" t="n">
        <f aca="false">IF(IFERROR(INDEX(tsk_Name,GanttView[[#This Row],[_Row]])="",TRUE()),0,IF(OR(INDEX(tsk_IsLeaf,GanttView[[#This Row],[_Row]])&lt;&gt;1,GanttView[[#This Row],[_IsMilestone]],N(GanttView[[#This Row],[%]])&gt;=1),0,IF(GanttView[[#This Row],[_DoneTo]]&gt;0,GanttView[[#This Row],[_DoneTo]]+1,GanttView[[#This Row],[Start]])))</f>
        <v>0</v>
      </c>
      <c r="S141" s="96" t="n">
        <f aca="false">IF(GanttView[[#This Row],[_RemFrom]]=0,0,GanttView[[#This Row],[Finish]])</f>
        <v>0</v>
      </c>
      <c r="T141" s="95" t="b">
        <f aca="false">IF(IFERROR(INDEX(tsk_Name,GanttView[[#This Row],[_Row]])="",TRUE()),FALSE(),N(INDEX(tsk_Variance,GanttView[[#This Row],[_Row]]))&gt;0)</f>
        <v>0</v>
      </c>
      <c r="U141" s="96" t="n">
        <f aca="false">IF(IFERROR(INDEX(tsk_Name,GanttView[[#This Row],[_Row]])="",TRUE()),0,N(INDEX(tsk_Deadline,GanttView[[#This Row],[_Row]])))</f>
        <v>0</v>
      </c>
      <c r="V141" s="95" t="b">
        <f aca="false">IF(IFERROR(INDEX(tsk_Name,GanttView[[#This Row],[_Row]])="",TRUE()),FALSE(),INDEX(tsk_Critical,GanttView[[#This Row],[_Row]])="Yes")</f>
        <v>0</v>
      </c>
    </row>
    <row r="142" customFormat="false" ht="15" hidden="false" customHeight="false" outlineLevel="0" collapsed="false">
      <c r="A142" s="89" t="str">
        <f aca="false">IF(IFERROR(INDEX(tsk_Name,GanttView[[#This Row],[_Row]])="",TRUE()),"",INDEX(tsk_ID,GanttView[[#This Row],[_Row]]))</f>
        <v/>
      </c>
      <c r="B142" s="90" t="str">
        <f aca="false">IF(IFERROR(INDEX(tsk_Name,GanttView[[#This Row],[_Row]])="",TRUE()),"",REPT("    ",INDEX(tsk_Level,GanttView[[#This Row],[_Row]])-1)&amp;INDEX(tsk_Name,GanttView[[#This Row],[_Row]]))</f>
        <v/>
      </c>
      <c r="C142" s="91" t="str">
        <f aca="false">IF(IFERROR(INDEX(tsk_Name,GanttView[[#This Row],[_Row]])="",TRUE()),"",INDEX(tsk_FcStart,GanttView[[#This Row],[_Row]]))</f>
        <v/>
      </c>
      <c r="D142" s="91" t="str">
        <f aca="false">IF(IFERROR(INDEX(tsk_Name,GanttView[[#This Row],[_Row]])="",TRUE()),"",INDEX(tsk_FcFinish,GanttView[[#This Row],[_Row]]))</f>
        <v/>
      </c>
      <c r="E142" s="92" t="str">
        <f aca="false">IF(IFERROR(INDEX(tsk_Name,GanttView[[#This Row],[_Row]])="",TRUE()),"",INDEX(tsk_Progress,GanttView[[#This Row],[_Row]]))</f>
        <v/>
      </c>
      <c r="F142" s="90" t="str">
        <f aca="false">IF(IFERROR(INDEX(tsk_Name,GanttView[[#This Row],[_Row]])="",TRUE()),"",INDEX(tsk_ResourceNames,GanttView[[#This Row],[_Row]])&amp;"")</f>
        <v/>
      </c>
      <c r="G142" s="89" t="str">
        <f aca="false">IF(IFERROR(INDEX(tsk_Name,GanttView[[#This Row],[_Row]])="",TRUE()),"",INDEX(tsk_WBS,GanttView[[#This Row],[_Row]]))</f>
        <v/>
      </c>
      <c r="H142" s="89" t="str">
        <f aca="false">IF(IFERROR(INDEX(tsk_Name,GanttView[[#This Row],[_Row]])="",TRUE()),"",IF(INDEX(tsk_IsSummary,GanttView[[#This Row],[_Row]]),NETWORKDAYS.INTL(INDEX(tsk_FcStart,GanttView[[#This Row],[_Row]]),INDEX(tsk_FcFinish,GanttView[[#This Row],[_Row]]),WorkWeek,Holidays),N(INDEX(tsk_Duration,GanttView[[#This Row],[_Row]]))))</f>
        <v/>
      </c>
      <c r="I142" s="91" t="str">
        <f aca="false">IF(IFERROR(INDEX(tsk_Name,GanttView[[#This Row],[_Row]])="",TRUE()),"",INDEX(tsk_PlanStart,GanttView[[#This Row],[_Row]]))</f>
        <v/>
      </c>
      <c r="J142" s="91" t="str">
        <f aca="false">IF(IFERROR(INDEX(tsk_Name,GanttView[[#This Row],[_Row]])="",TRUE()),"",INDEX(tsk_PlanFinish,GanttView[[#This Row],[_Row]]))</f>
        <v/>
      </c>
      <c r="K142" s="93" t="str">
        <f aca="false">IF(IFERROR(INDEX(tsk_Name,GanttView[[#This Row],[_Row]])="",TRUE()),"",INDEX(tsk_Status,GanttView[[#This Row],[_Row]]))</f>
        <v/>
      </c>
      <c r="L142" s="93" t="str">
        <f aca="false">IF(IFERROR(INDEX(tsk_Name,GanttView[[#This Row],[_Row]])="",TRUE()),"",INDEX(tsk_Show,GanttView[[#This Row],[_Row]])&amp;"")</f>
        <v/>
      </c>
      <c r="M142" s="94" t="n">
        <f aca="false">ROW()-ROW(GanttView[[#Headers],[ID]])</f>
        <v>137</v>
      </c>
      <c r="N142" s="95" t="b">
        <f aca="false">IF(IFERROR(INDEX(tsk_Name,GanttView[[#This Row],[_Row]])="",TRUE()),FALSE(),INDEX(tsk_IsSummary,GanttView[[#This Row],[_Row]]))</f>
        <v>0</v>
      </c>
      <c r="O142" s="95" t="b">
        <f aca="false">IF(IFERROR(INDEX(tsk_Name,GanttView[[#This Row],[_Row]])="",TRUE()),FALSE(),AND(INDEX(tsk_IsLeaf,GanttView[[#This Row],[_Row]])=1,N(INDEX(tsk_Duration,GanttView[[#This Row],[_Row]]))=0))</f>
        <v>0</v>
      </c>
      <c r="P142" s="96" t="n">
        <f aca="false">IF(IFERROR(INDEX(tsk_Name,GanttView[[#This Row],[_Row]])="",TRUE()),0,IF(AND(INDEX(tsk_IsLeaf,GanttView[[#This Row],[_Row]])=1,NOT(GanttView[[#This Row],[_IsMilestone]]),N(GanttView[[#This Row],[%]])&gt;0),GanttView[[#This Row],[Start]],0))</f>
        <v>0</v>
      </c>
      <c r="Q142" s="96" t="n">
        <f aca="false">IF(GanttView[[#This Row],[_DoneFrom]]=0,0,IF(GanttView[[#This Row],[%]]&gt;=1,GanttView[[#This Row],[Finish]],MAX(GanttView[[#This Row],[_DoneFrom]],GanttView[[#This Row],[Start]]+ROUND((GanttView[[#This Row],[Finish]]-GanttView[[#This Row],[Start]]+1)*GanttView[[#This Row],[%]],0)-1)))</f>
        <v>0</v>
      </c>
      <c r="R142" s="96" t="n">
        <f aca="false">IF(IFERROR(INDEX(tsk_Name,GanttView[[#This Row],[_Row]])="",TRUE()),0,IF(OR(INDEX(tsk_IsLeaf,GanttView[[#This Row],[_Row]])&lt;&gt;1,GanttView[[#This Row],[_IsMilestone]],N(GanttView[[#This Row],[%]])&gt;=1),0,IF(GanttView[[#This Row],[_DoneTo]]&gt;0,GanttView[[#This Row],[_DoneTo]]+1,GanttView[[#This Row],[Start]])))</f>
        <v>0</v>
      </c>
      <c r="S142" s="96" t="n">
        <f aca="false">IF(GanttView[[#This Row],[_RemFrom]]=0,0,GanttView[[#This Row],[Finish]])</f>
        <v>0</v>
      </c>
      <c r="T142" s="95" t="b">
        <f aca="false">IF(IFERROR(INDEX(tsk_Name,GanttView[[#This Row],[_Row]])="",TRUE()),FALSE(),N(INDEX(tsk_Variance,GanttView[[#This Row],[_Row]]))&gt;0)</f>
        <v>0</v>
      </c>
      <c r="U142" s="96" t="n">
        <f aca="false">IF(IFERROR(INDEX(tsk_Name,GanttView[[#This Row],[_Row]])="",TRUE()),0,N(INDEX(tsk_Deadline,GanttView[[#This Row],[_Row]])))</f>
        <v>0</v>
      </c>
      <c r="V142" s="95" t="b">
        <f aca="false">IF(IFERROR(INDEX(tsk_Name,GanttView[[#This Row],[_Row]])="",TRUE()),FALSE(),INDEX(tsk_Critical,GanttView[[#This Row],[_Row]])="Yes")</f>
        <v>0</v>
      </c>
    </row>
    <row r="143" customFormat="false" ht="15" hidden="false" customHeight="false" outlineLevel="0" collapsed="false">
      <c r="A143" s="89" t="str">
        <f aca="false">IF(IFERROR(INDEX(tsk_Name,GanttView[[#This Row],[_Row]])="",TRUE()),"",INDEX(tsk_ID,GanttView[[#This Row],[_Row]]))</f>
        <v/>
      </c>
      <c r="B143" s="90" t="str">
        <f aca="false">IF(IFERROR(INDEX(tsk_Name,GanttView[[#This Row],[_Row]])="",TRUE()),"",REPT("    ",INDEX(tsk_Level,GanttView[[#This Row],[_Row]])-1)&amp;INDEX(tsk_Name,GanttView[[#This Row],[_Row]]))</f>
        <v/>
      </c>
      <c r="C143" s="91" t="str">
        <f aca="false">IF(IFERROR(INDEX(tsk_Name,GanttView[[#This Row],[_Row]])="",TRUE()),"",INDEX(tsk_FcStart,GanttView[[#This Row],[_Row]]))</f>
        <v/>
      </c>
      <c r="D143" s="91" t="str">
        <f aca="false">IF(IFERROR(INDEX(tsk_Name,GanttView[[#This Row],[_Row]])="",TRUE()),"",INDEX(tsk_FcFinish,GanttView[[#This Row],[_Row]]))</f>
        <v/>
      </c>
      <c r="E143" s="92" t="str">
        <f aca="false">IF(IFERROR(INDEX(tsk_Name,GanttView[[#This Row],[_Row]])="",TRUE()),"",INDEX(tsk_Progress,GanttView[[#This Row],[_Row]]))</f>
        <v/>
      </c>
      <c r="F143" s="90" t="str">
        <f aca="false">IF(IFERROR(INDEX(tsk_Name,GanttView[[#This Row],[_Row]])="",TRUE()),"",INDEX(tsk_ResourceNames,GanttView[[#This Row],[_Row]])&amp;"")</f>
        <v/>
      </c>
      <c r="G143" s="89" t="str">
        <f aca="false">IF(IFERROR(INDEX(tsk_Name,GanttView[[#This Row],[_Row]])="",TRUE()),"",INDEX(tsk_WBS,GanttView[[#This Row],[_Row]]))</f>
        <v/>
      </c>
      <c r="H143" s="89" t="str">
        <f aca="false">IF(IFERROR(INDEX(tsk_Name,GanttView[[#This Row],[_Row]])="",TRUE()),"",IF(INDEX(tsk_IsSummary,GanttView[[#This Row],[_Row]]),NETWORKDAYS.INTL(INDEX(tsk_FcStart,GanttView[[#This Row],[_Row]]),INDEX(tsk_FcFinish,GanttView[[#This Row],[_Row]]),WorkWeek,Holidays),N(INDEX(tsk_Duration,GanttView[[#This Row],[_Row]]))))</f>
        <v/>
      </c>
      <c r="I143" s="91" t="str">
        <f aca="false">IF(IFERROR(INDEX(tsk_Name,GanttView[[#This Row],[_Row]])="",TRUE()),"",INDEX(tsk_PlanStart,GanttView[[#This Row],[_Row]]))</f>
        <v/>
      </c>
      <c r="J143" s="91" t="str">
        <f aca="false">IF(IFERROR(INDEX(tsk_Name,GanttView[[#This Row],[_Row]])="",TRUE()),"",INDEX(tsk_PlanFinish,GanttView[[#This Row],[_Row]]))</f>
        <v/>
      </c>
      <c r="K143" s="93" t="str">
        <f aca="false">IF(IFERROR(INDEX(tsk_Name,GanttView[[#This Row],[_Row]])="",TRUE()),"",INDEX(tsk_Status,GanttView[[#This Row],[_Row]]))</f>
        <v/>
      </c>
      <c r="L143" s="93" t="str">
        <f aca="false">IF(IFERROR(INDEX(tsk_Name,GanttView[[#This Row],[_Row]])="",TRUE()),"",INDEX(tsk_Show,GanttView[[#This Row],[_Row]])&amp;"")</f>
        <v/>
      </c>
      <c r="M143" s="94" t="n">
        <f aca="false">ROW()-ROW(GanttView[[#Headers],[ID]])</f>
        <v>138</v>
      </c>
      <c r="N143" s="95" t="b">
        <f aca="false">IF(IFERROR(INDEX(tsk_Name,GanttView[[#This Row],[_Row]])="",TRUE()),FALSE(),INDEX(tsk_IsSummary,GanttView[[#This Row],[_Row]]))</f>
        <v>0</v>
      </c>
      <c r="O143" s="95" t="b">
        <f aca="false">IF(IFERROR(INDEX(tsk_Name,GanttView[[#This Row],[_Row]])="",TRUE()),FALSE(),AND(INDEX(tsk_IsLeaf,GanttView[[#This Row],[_Row]])=1,N(INDEX(tsk_Duration,GanttView[[#This Row],[_Row]]))=0))</f>
        <v>0</v>
      </c>
      <c r="P143" s="96" t="n">
        <f aca="false">IF(IFERROR(INDEX(tsk_Name,GanttView[[#This Row],[_Row]])="",TRUE()),0,IF(AND(INDEX(tsk_IsLeaf,GanttView[[#This Row],[_Row]])=1,NOT(GanttView[[#This Row],[_IsMilestone]]),N(GanttView[[#This Row],[%]])&gt;0),GanttView[[#This Row],[Start]],0))</f>
        <v>0</v>
      </c>
      <c r="Q143" s="96" t="n">
        <f aca="false">IF(GanttView[[#This Row],[_DoneFrom]]=0,0,IF(GanttView[[#This Row],[%]]&gt;=1,GanttView[[#This Row],[Finish]],MAX(GanttView[[#This Row],[_DoneFrom]],GanttView[[#This Row],[Start]]+ROUND((GanttView[[#This Row],[Finish]]-GanttView[[#This Row],[Start]]+1)*GanttView[[#This Row],[%]],0)-1)))</f>
        <v>0</v>
      </c>
      <c r="R143" s="96" t="n">
        <f aca="false">IF(IFERROR(INDEX(tsk_Name,GanttView[[#This Row],[_Row]])="",TRUE()),0,IF(OR(INDEX(tsk_IsLeaf,GanttView[[#This Row],[_Row]])&lt;&gt;1,GanttView[[#This Row],[_IsMilestone]],N(GanttView[[#This Row],[%]])&gt;=1),0,IF(GanttView[[#This Row],[_DoneTo]]&gt;0,GanttView[[#This Row],[_DoneTo]]+1,GanttView[[#This Row],[Start]])))</f>
        <v>0</v>
      </c>
      <c r="S143" s="96" t="n">
        <f aca="false">IF(GanttView[[#This Row],[_RemFrom]]=0,0,GanttView[[#This Row],[Finish]])</f>
        <v>0</v>
      </c>
      <c r="T143" s="95" t="b">
        <f aca="false">IF(IFERROR(INDEX(tsk_Name,GanttView[[#This Row],[_Row]])="",TRUE()),FALSE(),N(INDEX(tsk_Variance,GanttView[[#This Row],[_Row]]))&gt;0)</f>
        <v>0</v>
      </c>
      <c r="U143" s="96" t="n">
        <f aca="false">IF(IFERROR(INDEX(tsk_Name,GanttView[[#This Row],[_Row]])="",TRUE()),0,N(INDEX(tsk_Deadline,GanttView[[#This Row],[_Row]])))</f>
        <v>0</v>
      </c>
      <c r="V143" s="95" t="b">
        <f aca="false">IF(IFERROR(INDEX(tsk_Name,GanttView[[#This Row],[_Row]])="",TRUE()),FALSE(),INDEX(tsk_Critical,GanttView[[#This Row],[_Row]])="Yes")</f>
        <v>0</v>
      </c>
    </row>
    <row r="144" customFormat="false" ht="15" hidden="false" customHeight="false" outlineLevel="0" collapsed="false">
      <c r="A144" s="89" t="str">
        <f aca="false">IF(IFERROR(INDEX(tsk_Name,GanttView[[#This Row],[_Row]])="",TRUE()),"",INDEX(tsk_ID,GanttView[[#This Row],[_Row]]))</f>
        <v/>
      </c>
      <c r="B144" s="90" t="str">
        <f aca="false">IF(IFERROR(INDEX(tsk_Name,GanttView[[#This Row],[_Row]])="",TRUE()),"",REPT("    ",INDEX(tsk_Level,GanttView[[#This Row],[_Row]])-1)&amp;INDEX(tsk_Name,GanttView[[#This Row],[_Row]]))</f>
        <v/>
      </c>
      <c r="C144" s="91" t="str">
        <f aca="false">IF(IFERROR(INDEX(tsk_Name,GanttView[[#This Row],[_Row]])="",TRUE()),"",INDEX(tsk_FcStart,GanttView[[#This Row],[_Row]]))</f>
        <v/>
      </c>
      <c r="D144" s="91" t="str">
        <f aca="false">IF(IFERROR(INDEX(tsk_Name,GanttView[[#This Row],[_Row]])="",TRUE()),"",INDEX(tsk_FcFinish,GanttView[[#This Row],[_Row]]))</f>
        <v/>
      </c>
      <c r="E144" s="92" t="str">
        <f aca="false">IF(IFERROR(INDEX(tsk_Name,GanttView[[#This Row],[_Row]])="",TRUE()),"",INDEX(tsk_Progress,GanttView[[#This Row],[_Row]]))</f>
        <v/>
      </c>
      <c r="F144" s="90" t="str">
        <f aca="false">IF(IFERROR(INDEX(tsk_Name,GanttView[[#This Row],[_Row]])="",TRUE()),"",INDEX(tsk_ResourceNames,GanttView[[#This Row],[_Row]])&amp;"")</f>
        <v/>
      </c>
      <c r="G144" s="89" t="str">
        <f aca="false">IF(IFERROR(INDEX(tsk_Name,GanttView[[#This Row],[_Row]])="",TRUE()),"",INDEX(tsk_WBS,GanttView[[#This Row],[_Row]]))</f>
        <v/>
      </c>
      <c r="H144" s="89" t="str">
        <f aca="false">IF(IFERROR(INDEX(tsk_Name,GanttView[[#This Row],[_Row]])="",TRUE()),"",IF(INDEX(tsk_IsSummary,GanttView[[#This Row],[_Row]]),NETWORKDAYS.INTL(INDEX(tsk_FcStart,GanttView[[#This Row],[_Row]]),INDEX(tsk_FcFinish,GanttView[[#This Row],[_Row]]),WorkWeek,Holidays),N(INDEX(tsk_Duration,GanttView[[#This Row],[_Row]]))))</f>
        <v/>
      </c>
      <c r="I144" s="91" t="str">
        <f aca="false">IF(IFERROR(INDEX(tsk_Name,GanttView[[#This Row],[_Row]])="",TRUE()),"",INDEX(tsk_PlanStart,GanttView[[#This Row],[_Row]]))</f>
        <v/>
      </c>
      <c r="J144" s="91" t="str">
        <f aca="false">IF(IFERROR(INDEX(tsk_Name,GanttView[[#This Row],[_Row]])="",TRUE()),"",INDEX(tsk_PlanFinish,GanttView[[#This Row],[_Row]]))</f>
        <v/>
      </c>
      <c r="K144" s="93" t="str">
        <f aca="false">IF(IFERROR(INDEX(tsk_Name,GanttView[[#This Row],[_Row]])="",TRUE()),"",INDEX(tsk_Status,GanttView[[#This Row],[_Row]]))</f>
        <v/>
      </c>
      <c r="L144" s="93" t="str">
        <f aca="false">IF(IFERROR(INDEX(tsk_Name,GanttView[[#This Row],[_Row]])="",TRUE()),"",INDEX(tsk_Show,GanttView[[#This Row],[_Row]])&amp;"")</f>
        <v/>
      </c>
      <c r="M144" s="94" t="n">
        <f aca="false">ROW()-ROW(GanttView[[#Headers],[ID]])</f>
        <v>139</v>
      </c>
      <c r="N144" s="95" t="b">
        <f aca="false">IF(IFERROR(INDEX(tsk_Name,GanttView[[#This Row],[_Row]])="",TRUE()),FALSE(),INDEX(tsk_IsSummary,GanttView[[#This Row],[_Row]]))</f>
        <v>0</v>
      </c>
      <c r="O144" s="95" t="b">
        <f aca="false">IF(IFERROR(INDEX(tsk_Name,GanttView[[#This Row],[_Row]])="",TRUE()),FALSE(),AND(INDEX(tsk_IsLeaf,GanttView[[#This Row],[_Row]])=1,N(INDEX(tsk_Duration,GanttView[[#This Row],[_Row]]))=0))</f>
        <v>0</v>
      </c>
      <c r="P144" s="96" t="n">
        <f aca="false">IF(IFERROR(INDEX(tsk_Name,GanttView[[#This Row],[_Row]])="",TRUE()),0,IF(AND(INDEX(tsk_IsLeaf,GanttView[[#This Row],[_Row]])=1,NOT(GanttView[[#This Row],[_IsMilestone]]),N(GanttView[[#This Row],[%]])&gt;0),GanttView[[#This Row],[Start]],0))</f>
        <v>0</v>
      </c>
      <c r="Q144" s="96" t="n">
        <f aca="false">IF(GanttView[[#This Row],[_DoneFrom]]=0,0,IF(GanttView[[#This Row],[%]]&gt;=1,GanttView[[#This Row],[Finish]],MAX(GanttView[[#This Row],[_DoneFrom]],GanttView[[#This Row],[Start]]+ROUND((GanttView[[#This Row],[Finish]]-GanttView[[#This Row],[Start]]+1)*GanttView[[#This Row],[%]],0)-1)))</f>
        <v>0</v>
      </c>
      <c r="R144" s="96" t="n">
        <f aca="false">IF(IFERROR(INDEX(tsk_Name,GanttView[[#This Row],[_Row]])="",TRUE()),0,IF(OR(INDEX(tsk_IsLeaf,GanttView[[#This Row],[_Row]])&lt;&gt;1,GanttView[[#This Row],[_IsMilestone]],N(GanttView[[#This Row],[%]])&gt;=1),0,IF(GanttView[[#This Row],[_DoneTo]]&gt;0,GanttView[[#This Row],[_DoneTo]]+1,GanttView[[#This Row],[Start]])))</f>
        <v>0</v>
      </c>
      <c r="S144" s="96" t="n">
        <f aca="false">IF(GanttView[[#This Row],[_RemFrom]]=0,0,GanttView[[#This Row],[Finish]])</f>
        <v>0</v>
      </c>
      <c r="T144" s="95" t="b">
        <f aca="false">IF(IFERROR(INDEX(tsk_Name,GanttView[[#This Row],[_Row]])="",TRUE()),FALSE(),N(INDEX(tsk_Variance,GanttView[[#This Row],[_Row]]))&gt;0)</f>
        <v>0</v>
      </c>
      <c r="U144" s="96" t="n">
        <f aca="false">IF(IFERROR(INDEX(tsk_Name,GanttView[[#This Row],[_Row]])="",TRUE()),0,N(INDEX(tsk_Deadline,GanttView[[#This Row],[_Row]])))</f>
        <v>0</v>
      </c>
      <c r="V144" s="95" t="b">
        <f aca="false">IF(IFERROR(INDEX(tsk_Name,GanttView[[#This Row],[_Row]])="",TRUE()),FALSE(),INDEX(tsk_Critical,GanttView[[#This Row],[_Row]])="Yes")</f>
        <v>0</v>
      </c>
    </row>
    <row r="145" customFormat="false" ht="15" hidden="false" customHeight="false" outlineLevel="0" collapsed="false">
      <c r="A145" s="89" t="str">
        <f aca="false">IF(IFERROR(INDEX(tsk_Name,GanttView[[#This Row],[_Row]])="",TRUE()),"",INDEX(tsk_ID,GanttView[[#This Row],[_Row]]))</f>
        <v/>
      </c>
      <c r="B145" s="90" t="str">
        <f aca="false">IF(IFERROR(INDEX(tsk_Name,GanttView[[#This Row],[_Row]])="",TRUE()),"",REPT("    ",INDEX(tsk_Level,GanttView[[#This Row],[_Row]])-1)&amp;INDEX(tsk_Name,GanttView[[#This Row],[_Row]]))</f>
        <v/>
      </c>
      <c r="C145" s="91" t="str">
        <f aca="false">IF(IFERROR(INDEX(tsk_Name,GanttView[[#This Row],[_Row]])="",TRUE()),"",INDEX(tsk_FcStart,GanttView[[#This Row],[_Row]]))</f>
        <v/>
      </c>
      <c r="D145" s="91" t="str">
        <f aca="false">IF(IFERROR(INDEX(tsk_Name,GanttView[[#This Row],[_Row]])="",TRUE()),"",INDEX(tsk_FcFinish,GanttView[[#This Row],[_Row]]))</f>
        <v/>
      </c>
      <c r="E145" s="92" t="str">
        <f aca="false">IF(IFERROR(INDEX(tsk_Name,GanttView[[#This Row],[_Row]])="",TRUE()),"",INDEX(tsk_Progress,GanttView[[#This Row],[_Row]]))</f>
        <v/>
      </c>
      <c r="F145" s="90" t="str">
        <f aca="false">IF(IFERROR(INDEX(tsk_Name,GanttView[[#This Row],[_Row]])="",TRUE()),"",INDEX(tsk_ResourceNames,GanttView[[#This Row],[_Row]])&amp;"")</f>
        <v/>
      </c>
      <c r="G145" s="89" t="str">
        <f aca="false">IF(IFERROR(INDEX(tsk_Name,GanttView[[#This Row],[_Row]])="",TRUE()),"",INDEX(tsk_WBS,GanttView[[#This Row],[_Row]]))</f>
        <v/>
      </c>
      <c r="H145" s="89" t="str">
        <f aca="false">IF(IFERROR(INDEX(tsk_Name,GanttView[[#This Row],[_Row]])="",TRUE()),"",IF(INDEX(tsk_IsSummary,GanttView[[#This Row],[_Row]]),NETWORKDAYS.INTL(INDEX(tsk_FcStart,GanttView[[#This Row],[_Row]]),INDEX(tsk_FcFinish,GanttView[[#This Row],[_Row]]),WorkWeek,Holidays),N(INDEX(tsk_Duration,GanttView[[#This Row],[_Row]]))))</f>
        <v/>
      </c>
      <c r="I145" s="91" t="str">
        <f aca="false">IF(IFERROR(INDEX(tsk_Name,GanttView[[#This Row],[_Row]])="",TRUE()),"",INDEX(tsk_PlanStart,GanttView[[#This Row],[_Row]]))</f>
        <v/>
      </c>
      <c r="J145" s="91" t="str">
        <f aca="false">IF(IFERROR(INDEX(tsk_Name,GanttView[[#This Row],[_Row]])="",TRUE()),"",INDEX(tsk_PlanFinish,GanttView[[#This Row],[_Row]]))</f>
        <v/>
      </c>
      <c r="K145" s="93" t="str">
        <f aca="false">IF(IFERROR(INDEX(tsk_Name,GanttView[[#This Row],[_Row]])="",TRUE()),"",INDEX(tsk_Status,GanttView[[#This Row],[_Row]]))</f>
        <v/>
      </c>
      <c r="L145" s="93" t="str">
        <f aca="false">IF(IFERROR(INDEX(tsk_Name,GanttView[[#This Row],[_Row]])="",TRUE()),"",INDEX(tsk_Show,GanttView[[#This Row],[_Row]])&amp;"")</f>
        <v/>
      </c>
      <c r="M145" s="94" t="n">
        <f aca="false">ROW()-ROW(GanttView[[#Headers],[ID]])</f>
        <v>140</v>
      </c>
      <c r="N145" s="95" t="b">
        <f aca="false">IF(IFERROR(INDEX(tsk_Name,GanttView[[#This Row],[_Row]])="",TRUE()),FALSE(),INDEX(tsk_IsSummary,GanttView[[#This Row],[_Row]]))</f>
        <v>0</v>
      </c>
      <c r="O145" s="95" t="b">
        <f aca="false">IF(IFERROR(INDEX(tsk_Name,GanttView[[#This Row],[_Row]])="",TRUE()),FALSE(),AND(INDEX(tsk_IsLeaf,GanttView[[#This Row],[_Row]])=1,N(INDEX(tsk_Duration,GanttView[[#This Row],[_Row]]))=0))</f>
        <v>0</v>
      </c>
      <c r="P145" s="96" t="n">
        <f aca="false">IF(IFERROR(INDEX(tsk_Name,GanttView[[#This Row],[_Row]])="",TRUE()),0,IF(AND(INDEX(tsk_IsLeaf,GanttView[[#This Row],[_Row]])=1,NOT(GanttView[[#This Row],[_IsMilestone]]),N(GanttView[[#This Row],[%]])&gt;0),GanttView[[#This Row],[Start]],0))</f>
        <v>0</v>
      </c>
      <c r="Q145" s="96" t="n">
        <f aca="false">IF(GanttView[[#This Row],[_DoneFrom]]=0,0,IF(GanttView[[#This Row],[%]]&gt;=1,GanttView[[#This Row],[Finish]],MAX(GanttView[[#This Row],[_DoneFrom]],GanttView[[#This Row],[Start]]+ROUND((GanttView[[#This Row],[Finish]]-GanttView[[#This Row],[Start]]+1)*GanttView[[#This Row],[%]],0)-1)))</f>
        <v>0</v>
      </c>
      <c r="R145" s="96" t="n">
        <f aca="false">IF(IFERROR(INDEX(tsk_Name,GanttView[[#This Row],[_Row]])="",TRUE()),0,IF(OR(INDEX(tsk_IsLeaf,GanttView[[#This Row],[_Row]])&lt;&gt;1,GanttView[[#This Row],[_IsMilestone]],N(GanttView[[#This Row],[%]])&gt;=1),0,IF(GanttView[[#This Row],[_DoneTo]]&gt;0,GanttView[[#This Row],[_DoneTo]]+1,GanttView[[#This Row],[Start]])))</f>
        <v>0</v>
      </c>
      <c r="S145" s="96" t="n">
        <f aca="false">IF(GanttView[[#This Row],[_RemFrom]]=0,0,GanttView[[#This Row],[Finish]])</f>
        <v>0</v>
      </c>
      <c r="T145" s="95" t="b">
        <f aca="false">IF(IFERROR(INDEX(tsk_Name,GanttView[[#This Row],[_Row]])="",TRUE()),FALSE(),N(INDEX(tsk_Variance,GanttView[[#This Row],[_Row]]))&gt;0)</f>
        <v>0</v>
      </c>
      <c r="U145" s="96" t="n">
        <f aca="false">IF(IFERROR(INDEX(tsk_Name,GanttView[[#This Row],[_Row]])="",TRUE()),0,N(INDEX(tsk_Deadline,GanttView[[#This Row],[_Row]])))</f>
        <v>0</v>
      </c>
      <c r="V145" s="95" t="b">
        <f aca="false">IF(IFERROR(INDEX(tsk_Name,GanttView[[#This Row],[_Row]])="",TRUE()),FALSE(),INDEX(tsk_Critical,GanttView[[#This Row],[_Row]])="Yes")</f>
        <v>0</v>
      </c>
    </row>
    <row r="146" customFormat="false" ht="15" hidden="false" customHeight="false" outlineLevel="0" collapsed="false">
      <c r="A146" s="89" t="str">
        <f aca="false">IF(IFERROR(INDEX(tsk_Name,GanttView[[#This Row],[_Row]])="",TRUE()),"",INDEX(tsk_ID,GanttView[[#This Row],[_Row]]))</f>
        <v/>
      </c>
      <c r="B146" s="90" t="str">
        <f aca="false">IF(IFERROR(INDEX(tsk_Name,GanttView[[#This Row],[_Row]])="",TRUE()),"",REPT("    ",INDEX(tsk_Level,GanttView[[#This Row],[_Row]])-1)&amp;INDEX(tsk_Name,GanttView[[#This Row],[_Row]]))</f>
        <v/>
      </c>
      <c r="C146" s="91" t="str">
        <f aca="false">IF(IFERROR(INDEX(tsk_Name,GanttView[[#This Row],[_Row]])="",TRUE()),"",INDEX(tsk_FcStart,GanttView[[#This Row],[_Row]]))</f>
        <v/>
      </c>
      <c r="D146" s="91" t="str">
        <f aca="false">IF(IFERROR(INDEX(tsk_Name,GanttView[[#This Row],[_Row]])="",TRUE()),"",INDEX(tsk_FcFinish,GanttView[[#This Row],[_Row]]))</f>
        <v/>
      </c>
      <c r="E146" s="92" t="str">
        <f aca="false">IF(IFERROR(INDEX(tsk_Name,GanttView[[#This Row],[_Row]])="",TRUE()),"",INDEX(tsk_Progress,GanttView[[#This Row],[_Row]]))</f>
        <v/>
      </c>
      <c r="F146" s="90" t="str">
        <f aca="false">IF(IFERROR(INDEX(tsk_Name,GanttView[[#This Row],[_Row]])="",TRUE()),"",INDEX(tsk_ResourceNames,GanttView[[#This Row],[_Row]])&amp;"")</f>
        <v/>
      </c>
      <c r="G146" s="89" t="str">
        <f aca="false">IF(IFERROR(INDEX(tsk_Name,GanttView[[#This Row],[_Row]])="",TRUE()),"",INDEX(tsk_WBS,GanttView[[#This Row],[_Row]]))</f>
        <v/>
      </c>
      <c r="H146" s="89" t="str">
        <f aca="false">IF(IFERROR(INDEX(tsk_Name,GanttView[[#This Row],[_Row]])="",TRUE()),"",IF(INDEX(tsk_IsSummary,GanttView[[#This Row],[_Row]]),NETWORKDAYS.INTL(INDEX(tsk_FcStart,GanttView[[#This Row],[_Row]]),INDEX(tsk_FcFinish,GanttView[[#This Row],[_Row]]),WorkWeek,Holidays),N(INDEX(tsk_Duration,GanttView[[#This Row],[_Row]]))))</f>
        <v/>
      </c>
      <c r="I146" s="91" t="str">
        <f aca="false">IF(IFERROR(INDEX(tsk_Name,GanttView[[#This Row],[_Row]])="",TRUE()),"",INDEX(tsk_PlanStart,GanttView[[#This Row],[_Row]]))</f>
        <v/>
      </c>
      <c r="J146" s="91" t="str">
        <f aca="false">IF(IFERROR(INDEX(tsk_Name,GanttView[[#This Row],[_Row]])="",TRUE()),"",INDEX(tsk_PlanFinish,GanttView[[#This Row],[_Row]]))</f>
        <v/>
      </c>
      <c r="K146" s="93" t="str">
        <f aca="false">IF(IFERROR(INDEX(tsk_Name,GanttView[[#This Row],[_Row]])="",TRUE()),"",INDEX(tsk_Status,GanttView[[#This Row],[_Row]]))</f>
        <v/>
      </c>
      <c r="L146" s="93" t="str">
        <f aca="false">IF(IFERROR(INDEX(tsk_Name,GanttView[[#This Row],[_Row]])="",TRUE()),"",INDEX(tsk_Show,GanttView[[#This Row],[_Row]])&amp;"")</f>
        <v/>
      </c>
      <c r="M146" s="94" t="n">
        <f aca="false">ROW()-ROW(GanttView[[#Headers],[ID]])</f>
        <v>141</v>
      </c>
      <c r="N146" s="95" t="b">
        <f aca="false">IF(IFERROR(INDEX(tsk_Name,GanttView[[#This Row],[_Row]])="",TRUE()),FALSE(),INDEX(tsk_IsSummary,GanttView[[#This Row],[_Row]]))</f>
        <v>0</v>
      </c>
      <c r="O146" s="95" t="b">
        <f aca="false">IF(IFERROR(INDEX(tsk_Name,GanttView[[#This Row],[_Row]])="",TRUE()),FALSE(),AND(INDEX(tsk_IsLeaf,GanttView[[#This Row],[_Row]])=1,N(INDEX(tsk_Duration,GanttView[[#This Row],[_Row]]))=0))</f>
        <v>0</v>
      </c>
      <c r="P146" s="96" t="n">
        <f aca="false">IF(IFERROR(INDEX(tsk_Name,GanttView[[#This Row],[_Row]])="",TRUE()),0,IF(AND(INDEX(tsk_IsLeaf,GanttView[[#This Row],[_Row]])=1,NOT(GanttView[[#This Row],[_IsMilestone]]),N(GanttView[[#This Row],[%]])&gt;0),GanttView[[#This Row],[Start]],0))</f>
        <v>0</v>
      </c>
      <c r="Q146" s="96" t="n">
        <f aca="false">IF(GanttView[[#This Row],[_DoneFrom]]=0,0,IF(GanttView[[#This Row],[%]]&gt;=1,GanttView[[#This Row],[Finish]],MAX(GanttView[[#This Row],[_DoneFrom]],GanttView[[#This Row],[Start]]+ROUND((GanttView[[#This Row],[Finish]]-GanttView[[#This Row],[Start]]+1)*GanttView[[#This Row],[%]],0)-1)))</f>
        <v>0</v>
      </c>
      <c r="R146" s="96" t="n">
        <f aca="false">IF(IFERROR(INDEX(tsk_Name,GanttView[[#This Row],[_Row]])="",TRUE()),0,IF(OR(INDEX(tsk_IsLeaf,GanttView[[#This Row],[_Row]])&lt;&gt;1,GanttView[[#This Row],[_IsMilestone]],N(GanttView[[#This Row],[%]])&gt;=1),0,IF(GanttView[[#This Row],[_DoneTo]]&gt;0,GanttView[[#This Row],[_DoneTo]]+1,GanttView[[#This Row],[Start]])))</f>
        <v>0</v>
      </c>
      <c r="S146" s="96" t="n">
        <f aca="false">IF(GanttView[[#This Row],[_RemFrom]]=0,0,GanttView[[#This Row],[Finish]])</f>
        <v>0</v>
      </c>
      <c r="T146" s="95" t="b">
        <f aca="false">IF(IFERROR(INDEX(tsk_Name,GanttView[[#This Row],[_Row]])="",TRUE()),FALSE(),N(INDEX(tsk_Variance,GanttView[[#This Row],[_Row]]))&gt;0)</f>
        <v>0</v>
      </c>
      <c r="U146" s="96" t="n">
        <f aca="false">IF(IFERROR(INDEX(tsk_Name,GanttView[[#This Row],[_Row]])="",TRUE()),0,N(INDEX(tsk_Deadline,GanttView[[#This Row],[_Row]])))</f>
        <v>0</v>
      </c>
      <c r="V146" s="95" t="b">
        <f aca="false">IF(IFERROR(INDEX(tsk_Name,GanttView[[#This Row],[_Row]])="",TRUE()),FALSE(),INDEX(tsk_Critical,GanttView[[#This Row],[_Row]])="Yes")</f>
        <v>0</v>
      </c>
    </row>
    <row r="147" customFormat="false" ht="15" hidden="false" customHeight="false" outlineLevel="0" collapsed="false">
      <c r="A147" s="89" t="str">
        <f aca="false">IF(IFERROR(INDEX(tsk_Name,GanttView[[#This Row],[_Row]])="",TRUE()),"",INDEX(tsk_ID,GanttView[[#This Row],[_Row]]))</f>
        <v/>
      </c>
      <c r="B147" s="90" t="str">
        <f aca="false">IF(IFERROR(INDEX(tsk_Name,GanttView[[#This Row],[_Row]])="",TRUE()),"",REPT("    ",INDEX(tsk_Level,GanttView[[#This Row],[_Row]])-1)&amp;INDEX(tsk_Name,GanttView[[#This Row],[_Row]]))</f>
        <v/>
      </c>
      <c r="C147" s="91" t="str">
        <f aca="false">IF(IFERROR(INDEX(tsk_Name,GanttView[[#This Row],[_Row]])="",TRUE()),"",INDEX(tsk_FcStart,GanttView[[#This Row],[_Row]]))</f>
        <v/>
      </c>
      <c r="D147" s="91" t="str">
        <f aca="false">IF(IFERROR(INDEX(tsk_Name,GanttView[[#This Row],[_Row]])="",TRUE()),"",INDEX(tsk_FcFinish,GanttView[[#This Row],[_Row]]))</f>
        <v/>
      </c>
      <c r="E147" s="92" t="str">
        <f aca="false">IF(IFERROR(INDEX(tsk_Name,GanttView[[#This Row],[_Row]])="",TRUE()),"",INDEX(tsk_Progress,GanttView[[#This Row],[_Row]]))</f>
        <v/>
      </c>
      <c r="F147" s="90" t="str">
        <f aca="false">IF(IFERROR(INDEX(tsk_Name,GanttView[[#This Row],[_Row]])="",TRUE()),"",INDEX(tsk_ResourceNames,GanttView[[#This Row],[_Row]])&amp;"")</f>
        <v/>
      </c>
      <c r="G147" s="89" t="str">
        <f aca="false">IF(IFERROR(INDEX(tsk_Name,GanttView[[#This Row],[_Row]])="",TRUE()),"",INDEX(tsk_WBS,GanttView[[#This Row],[_Row]]))</f>
        <v/>
      </c>
      <c r="H147" s="89" t="str">
        <f aca="false">IF(IFERROR(INDEX(tsk_Name,GanttView[[#This Row],[_Row]])="",TRUE()),"",IF(INDEX(tsk_IsSummary,GanttView[[#This Row],[_Row]]),NETWORKDAYS.INTL(INDEX(tsk_FcStart,GanttView[[#This Row],[_Row]]),INDEX(tsk_FcFinish,GanttView[[#This Row],[_Row]]),WorkWeek,Holidays),N(INDEX(tsk_Duration,GanttView[[#This Row],[_Row]]))))</f>
        <v/>
      </c>
      <c r="I147" s="91" t="str">
        <f aca="false">IF(IFERROR(INDEX(tsk_Name,GanttView[[#This Row],[_Row]])="",TRUE()),"",INDEX(tsk_PlanStart,GanttView[[#This Row],[_Row]]))</f>
        <v/>
      </c>
      <c r="J147" s="91" t="str">
        <f aca="false">IF(IFERROR(INDEX(tsk_Name,GanttView[[#This Row],[_Row]])="",TRUE()),"",INDEX(tsk_PlanFinish,GanttView[[#This Row],[_Row]]))</f>
        <v/>
      </c>
      <c r="K147" s="93" t="str">
        <f aca="false">IF(IFERROR(INDEX(tsk_Name,GanttView[[#This Row],[_Row]])="",TRUE()),"",INDEX(tsk_Status,GanttView[[#This Row],[_Row]]))</f>
        <v/>
      </c>
      <c r="L147" s="93" t="str">
        <f aca="false">IF(IFERROR(INDEX(tsk_Name,GanttView[[#This Row],[_Row]])="",TRUE()),"",INDEX(tsk_Show,GanttView[[#This Row],[_Row]])&amp;"")</f>
        <v/>
      </c>
      <c r="M147" s="94" t="n">
        <f aca="false">ROW()-ROW(GanttView[[#Headers],[ID]])</f>
        <v>142</v>
      </c>
      <c r="N147" s="95" t="b">
        <f aca="false">IF(IFERROR(INDEX(tsk_Name,GanttView[[#This Row],[_Row]])="",TRUE()),FALSE(),INDEX(tsk_IsSummary,GanttView[[#This Row],[_Row]]))</f>
        <v>0</v>
      </c>
      <c r="O147" s="95" t="b">
        <f aca="false">IF(IFERROR(INDEX(tsk_Name,GanttView[[#This Row],[_Row]])="",TRUE()),FALSE(),AND(INDEX(tsk_IsLeaf,GanttView[[#This Row],[_Row]])=1,N(INDEX(tsk_Duration,GanttView[[#This Row],[_Row]]))=0))</f>
        <v>0</v>
      </c>
      <c r="P147" s="96" t="n">
        <f aca="false">IF(IFERROR(INDEX(tsk_Name,GanttView[[#This Row],[_Row]])="",TRUE()),0,IF(AND(INDEX(tsk_IsLeaf,GanttView[[#This Row],[_Row]])=1,NOT(GanttView[[#This Row],[_IsMilestone]]),N(GanttView[[#This Row],[%]])&gt;0),GanttView[[#This Row],[Start]],0))</f>
        <v>0</v>
      </c>
      <c r="Q147" s="96" t="n">
        <f aca="false">IF(GanttView[[#This Row],[_DoneFrom]]=0,0,IF(GanttView[[#This Row],[%]]&gt;=1,GanttView[[#This Row],[Finish]],MAX(GanttView[[#This Row],[_DoneFrom]],GanttView[[#This Row],[Start]]+ROUND((GanttView[[#This Row],[Finish]]-GanttView[[#This Row],[Start]]+1)*GanttView[[#This Row],[%]],0)-1)))</f>
        <v>0</v>
      </c>
      <c r="R147" s="96" t="n">
        <f aca="false">IF(IFERROR(INDEX(tsk_Name,GanttView[[#This Row],[_Row]])="",TRUE()),0,IF(OR(INDEX(tsk_IsLeaf,GanttView[[#This Row],[_Row]])&lt;&gt;1,GanttView[[#This Row],[_IsMilestone]],N(GanttView[[#This Row],[%]])&gt;=1),0,IF(GanttView[[#This Row],[_DoneTo]]&gt;0,GanttView[[#This Row],[_DoneTo]]+1,GanttView[[#This Row],[Start]])))</f>
        <v>0</v>
      </c>
      <c r="S147" s="96" t="n">
        <f aca="false">IF(GanttView[[#This Row],[_RemFrom]]=0,0,GanttView[[#This Row],[Finish]])</f>
        <v>0</v>
      </c>
      <c r="T147" s="95" t="b">
        <f aca="false">IF(IFERROR(INDEX(tsk_Name,GanttView[[#This Row],[_Row]])="",TRUE()),FALSE(),N(INDEX(tsk_Variance,GanttView[[#This Row],[_Row]]))&gt;0)</f>
        <v>0</v>
      </c>
      <c r="U147" s="96" t="n">
        <f aca="false">IF(IFERROR(INDEX(tsk_Name,GanttView[[#This Row],[_Row]])="",TRUE()),0,N(INDEX(tsk_Deadline,GanttView[[#This Row],[_Row]])))</f>
        <v>0</v>
      </c>
      <c r="V147" s="95" t="b">
        <f aca="false">IF(IFERROR(INDEX(tsk_Name,GanttView[[#This Row],[_Row]])="",TRUE()),FALSE(),INDEX(tsk_Critical,GanttView[[#This Row],[_Row]])="Yes")</f>
        <v>0</v>
      </c>
    </row>
    <row r="148" customFormat="false" ht="15" hidden="false" customHeight="false" outlineLevel="0" collapsed="false">
      <c r="A148" s="89" t="str">
        <f aca="false">IF(IFERROR(INDEX(tsk_Name,GanttView[[#This Row],[_Row]])="",TRUE()),"",INDEX(tsk_ID,GanttView[[#This Row],[_Row]]))</f>
        <v/>
      </c>
      <c r="B148" s="90" t="str">
        <f aca="false">IF(IFERROR(INDEX(tsk_Name,GanttView[[#This Row],[_Row]])="",TRUE()),"",REPT("    ",INDEX(tsk_Level,GanttView[[#This Row],[_Row]])-1)&amp;INDEX(tsk_Name,GanttView[[#This Row],[_Row]]))</f>
        <v/>
      </c>
      <c r="C148" s="91" t="str">
        <f aca="false">IF(IFERROR(INDEX(tsk_Name,GanttView[[#This Row],[_Row]])="",TRUE()),"",INDEX(tsk_FcStart,GanttView[[#This Row],[_Row]]))</f>
        <v/>
      </c>
      <c r="D148" s="91" t="str">
        <f aca="false">IF(IFERROR(INDEX(tsk_Name,GanttView[[#This Row],[_Row]])="",TRUE()),"",INDEX(tsk_FcFinish,GanttView[[#This Row],[_Row]]))</f>
        <v/>
      </c>
      <c r="E148" s="92" t="str">
        <f aca="false">IF(IFERROR(INDEX(tsk_Name,GanttView[[#This Row],[_Row]])="",TRUE()),"",INDEX(tsk_Progress,GanttView[[#This Row],[_Row]]))</f>
        <v/>
      </c>
      <c r="F148" s="90" t="str">
        <f aca="false">IF(IFERROR(INDEX(tsk_Name,GanttView[[#This Row],[_Row]])="",TRUE()),"",INDEX(tsk_ResourceNames,GanttView[[#This Row],[_Row]])&amp;"")</f>
        <v/>
      </c>
      <c r="G148" s="89" t="str">
        <f aca="false">IF(IFERROR(INDEX(tsk_Name,GanttView[[#This Row],[_Row]])="",TRUE()),"",INDEX(tsk_WBS,GanttView[[#This Row],[_Row]]))</f>
        <v/>
      </c>
      <c r="H148" s="89" t="str">
        <f aca="false">IF(IFERROR(INDEX(tsk_Name,GanttView[[#This Row],[_Row]])="",TRUE()),"",IF(INDEX(tsk_IsSummary,GanttView[[#This Row],[_Row]]),NETWORKDAYS.INTL(INDEX(tsk_FcStart,GanttView[[#This Row],[_Row]]),INDEX(tsk_FcFinish,GanttView[[#This Row],[_Row]]),WorkWeek,Holidays),N(INDEX(tsk_Duration,GanttView[[#This Row],[_Row]]))))</f>
        <v/>
      </c>
      <c r="I148" s="91" t="str">
        <f aca="false">IF(IFERROR(INDEX(tsk_Name,GanttView[[#This Row],[_Row]])="",TRUE()),"",INDEX(tsk_PlanStart,GanttView[[#This Row],[_Row]]))</f>
        <v/>
      </c>
      <c r="J148" s="91" t="str">
        <f aca="false">IF(IFERROR(INDEX(tsk_Name,GanttView[[#This Row],[_Row]])="",TRUE()),"",INDEX(tsk_PlanFinish,GanttView[[#This Row],[_Row]]))</f>
        <v/>
      </c>
      <c r="K148" s="93" t="str">
        <f aca="false">IF(IFERROR(INDEX(tsk_Name,GanttView[[#This Row],[_Row]])="",TRUE()),"",INDEX(tsk_Status,GanttView[[#This Row],[_Row]]))</f>
        <v/>
      </c>
      <c r="L148" s="93" t="str">
        <f aca="false">IF(IFERROR(INDEX(tsk_Name,GanttView[[#This Row],[_Row]])="",TRUE()),"",INDEX(tsk_Show,GanttView[[#This Row],[_Row]])&amp;"")</f>
        <v/>
      </c>
      <c r="M148" s="94" t="n">
        <f aca="false">ROW()-ROW(GanttView[[#Headers],[ID]])</f>
        <v>143</v>
      </c>
      <c r="N148" s="95" t="b">
        <f aca="false">IF(IFERROR(INDEX(tsk_Name,GanttView[[#This Row],[_Row]])="",TRUE()),FALSE(),INDEX(tsk_IsSummary,GanttView[[#This Row],[_Row]]))</f>
        <v>0</v>
      </c>
      <c r="O148" s="95" t="b">
        <f aca="false">IF(IFERROR(INDEX(tsk_Name,GanttView[[#This Row],[_Row]])="",TRUE()),FALSE(),AND(INDEX(tsk_IsLeaf,GanttView[[#This Row],[_Row]])=1,N(INDEX(tsk_Duration,GanttView[[#This Row],[_Row]]))=0))</f>
        <v>0</v>
      </c>
      <c r="P148" s="96" t="n">
        <f aca="false">IF(IFERROR(INDEX(tsk_Name,GanttView[[#This Row],[_Row]])="",TRUE()),0,IF(AND(INDEX(tsk_IsLeaf,GanttView[[#This Row],[_Row]])=1,NOT(GanttView[[#This Row],[_IsMilestone]]),N(GanttView[[#This Row],[%]])&gt;0),GanttView[[#This Row],[Start]],0))</f>
        <v>0</v>
      </c>
      <c r="Q148" s="96" t="n">
        <f aca="false">IF(GanttView[[#This Row],[_DoneFrom]]=0,0,IF(GanttView[[#This Row],[%]]&gt;=1,GanttView[[#This Row],[Finish]],MAX(GanttView[[#This Row],[_DoneFrom]],GanttView[[#This Row],[Start]]+ROUND((GanttView[[#This Row],[Finish]]-GanttView[[#This Row],[Start]]+1)*GanttView[[#This Row],[%]],0)-1)))</f>
        <v>0</v>
      </c>
      <c r="R148" s="96" t="n">
        <f aca="false">IF(IFERROR(INDEX(tsk_Name,GanttView[[#This Row],[_Row]])="",TRUE()),0,IF(OR(INDEX(tsk_IsLeaf,GanttView[[#This Row],[_Row]])&lt;&gt;1,GanttView[[#This Row],[_IsMilestone]],N(GanttView[[#This Row],[%]])&gt;=1),0,IF(GanttView[[#This Row],[_DoneTo]]&gt;0,GanttView[[#This Row],[_DoneTo]]+1,GanttView[[#This Row],[Start]])))</f>
        <v>0</v>
      </c>
      <c r="S148" s="96" t="n">
        <f aca="false">IF(GanttView[[#This Row],[_RemFrom]]=0,0,GanttView[[#This Row],[Finish]])</f>
        <v>0</v>
      </c>
      <c r="T148" s="95" t="b">
        <f aca="false">IF(IFERROR(INDEX(tsk_Name,GanttView[[#This Row],[_Row]])="",TRUE()),FALSE(),N(INDEX(tsk_Variance,GanttView[[#This Row],[_Row]]))&gt;0)</f>
        <v>0</v>
      </c>
      <c r="U148" s="96" t="n">
        <f aca="false">IF(IFERROR(INDEX(tsk_Name,GanttView[[#This Row],[_Row]])="",TRUE()),0,N(INDEX(tsk_Deadline,GanttView[[#This Row],[_Row]])))</f>
        <v>0</v>
      </c>
      <c r="V148" s="95" t="b">
        <f aca="false">IF(IFERROR(INDEX(tsk_Name,GanttView[[#This Row],[_Row]])="",TRUE()),FALSE(),INDEX(tsk_Critical,GanttView[[#This Row],[_Row]])="Yes")</f>
        <v>0</v>
      </c>
    </row>
    <row r="149" customFormat="false" ht="15" hidden="false" customHeight="false" outlineLevel="0" collapsed="false">
      <c r="A149" s="89" t="str">
        <f aca="false">IF(IFERROR(INDEX(tsk_Name,GanttView[[#This Row],[_Row]])="",TRUE()),"",INDEX(tsk_ID,GanttView[[#This Row],[_Row]]))</f>
        <v/>
      </c>
      <c r="B149" s="90" t="str">
        <f aca="false">IF(IFERROR(INDEX(tsk_Name,GanttView[[#This Row],[_Row]])="",TRUE()),"",REPT("    ",INDEX(tsk_Level,GanttView[[#This Row],[_Row]])-1)&amp;INDEX(tsk_Name,GanttView[[#This Row],[_Row]]))</f>
        <v/>
      </c>
      <c r="C149" s="91" t="str">
        <f aca="false">IF(IFERROR(INDEX(tsk_Name,GanttView[[#This Row],[_Row]])="",TRUE()),"",INDEX(tsk_FcStart,GanttView[[#This Row],[_Row]]))</f>
        <v/>
      </c>
      <c r="D149" s="91" t="str">
        <f aca="false">IF(IFERROR(INDEX(tsk_Name,GanttView[[#This Row],[_Row]])="",TRUE()),"",INDEX(tsk_FcFinish,GanttView[[#This Row],[_Row]]))</f>
        <v/>
      </c>
      <c r="E149" s="92" t="str">
        <f aca="false">IF(IFERROR(INDEX(tsk_Name,GanttView[[#This Row],[_Row]])="",TRUE()),"",INDEX(tsk_Progress,GanttView[[#This Row],[_Row]]))</f>
        <v/>
      </c>
      <c r="F149" s="90" t="str">
        <f aca="false">IF(IFERROR(INDEX(tsk_Name,GanttView[[#This Row],[_Row]])="",TRUE()),"",INDEX(tsk_ResourceNames,GanttView[[#This Row],[_Row]])&amp;"")</f>
        <v/>
      </c>
      <c r="G149" s="89" t="str">
        <f aca="false">IF(IFERROR(INDEX(tsk_Name,GanttView[[#This Row],[_Row]])="",TRUE()),"",INDEX(tsk_WBS,GanttView[[#This Row],[_Row]]))</f>
        <v/>
      </c>
      <c r="H149" s="89" t="str">
        <f aca="false">IF(IFERROR(INDEX(tsk_Name,GanttView[[#This Row],[_Row]])="",TRUE()),"",IF(INDEX(tsk_IsSummary,GanttView[[#This Row],[_Row]]),NETWORKDAYS.INTL(INDEX(tsk_FcStart,GanttView[[#This Row],[_Row]]),INDEX(tsk_FcFinish,GanttView[[#This Row],[_Row]]),WorkWeek,Holidays),N(INDEX(tsk_Duration,GanttView[[#This Row],[_Row]]))))</f>
        <v/>
      </c>
      <c r="I149" s="91" t="str">
        <f aca="false">IF(IFERROR(INDEX(tsk_Name,GanttView[[#This Row],[_Row]])="",TRUE()),"",INDEX(tsk_PlanStart,GanttView[[#This Row],[_Row]]))</f>
        <v/>
      </c>
      <c r="J149" s="91" t="str">
        <f aca="false">IF(IFERROR(INDEX(tsk_Name,GanttView[[#This Row],[_Row]])="",TRUE()),"",INDEX(tsk_PlanFinish,GanttView[[#This Row],[_Row]]))</f>
        <v/>
      </c>
      <c r="K149" s="93" t="str">
        <f aca="false">IF(IFERROR(INDEX(tsk_Name,GanttView[[#This Row],[_Row]])="",TRUE()),"",INDEX(tsk_Status,GanttView[[#This Row],[_Row]]))</f>
        <v/>
      </c>
      <c r="L149" s="93" t="str">
        <f aca="false">IF(IFERROR(INDEX(tsk_Name,GanttView[[#This Row],[_Row]])="",TRUE()),"",INDEX(tsk_Show,GanttView[[#This Row],[_Row]])&amp;"")</f>
        <v/>
      </c>
      <c r="M149" s="94" t="n">
        <f aca="false">ROW()-ROW(GanttView[[#Headers],[ID]])</f>
        <v>144</v>
      </c>
      <c r="N149" s="95" t="b">
        <f aca="false">IF(IFERROR(INDEX(tsk_Name,GanttView[[#This Row],[_Row]])="",TRUE()),FALSE(),INDEX(tsk_IsSummary,GanttView[[#This Row],[_Row]]))</f>
        <v>0</v>
      </c>
      <c r="O149" s="95" t="b">
        <f aca="false">IF(IFERROR(INDEX(tsk_Name,GanttView[[#This Row],[_Row]])="",TRUE()),FALSE(),AND(INDEX(tsk_IsLeaf,GanttView[[#This Row],[_Row]])=1,N(INDEX(tsk_Duration,GanttView[[#This Row],[_Row]]))=0))</f>
        <v>0</v>
      </c>
      <c r="P149" s="96" t="n">
        <f aca="false">IF(IFERROR(INDEX(tsk_Name,GanttView[[#This Row],[_Row]])="",TRUE()),0,IF(AND(INDEX(tsk_IsLeaf,GanttView[[#This Row],[_Row]])=1,NOT(GanttView[[#This Row],[_IsMilestone]]),N(GanttView[[#This Row],[%]])&gt;0),GanttView[[#This Row],[Start]],0))</f>
        <v>0</v>
      </c>
      <c r="Q149" s="96" t="n">
        <f aca="false">IF(GanttView[[#This Row],[_DoneFrom]]=0,0,IF(GanttView[[#This Row],[%]]&gt;=1,GanttView[[#This Row],[Finish]],MAX(GanttView[[#This Row],[_DoneFrom]],GanttView[[#This Row],[Start]]+ROUND((GanttView[[#This Row],[Finish]]-GanttView[[#This Row],[Start]]+1)*GanttView[[#This Row],[%]],0)-1)))</f>
        <v>0</v>
      </c>
      <c r="R149" s="96" t="n">
        <f aca="false">IF(IFERROR(INDEX(tsk_Name,GanttView[[#This Row],[_Row]])="",TRUE()),0,IF(OR(INDEX(tsk_IsLeaf,GanttView[[#This Row],[_Row]])&lt;&gt;1,GanttView[[#This Row],[_IsMilestone]],N(GanttView[[#This Row],[%]])&gt;=1),0,IF(GanttView[[#This Row],[_DoneTo]]&gt;0,GanttView[[#This Row],[_DoneTo]]+1,GanttView[[#This Row],[Start]])))</f>
        <v>0</v>
      </c>
      <c r="S149" s="96" t="n">
        <f aca="false">IF(GanttView[[#This Row],[_RemFrom]]=0,0,GanttView[[#This Row],[Finish]])</f>
        <v>0</v>
      </c>
      <c r="T149" s="95" t="b">
        <f aca="false">IF(IFERROR(INDEX(tsk_Name,GanttView[[#This Row],[_Row]])="",TRUE()),FALSE(),N(INDEX(tsk_Variance,GanttView[[#This Row],[_Row]]))&gt;0)</f>
        <v>0</v>
      </c>
      <c r="U149" s="96" t="n">
        <f aca="false">IF(IFERROR(INDEX(tsk_Name,GanttView[[#This Row],[_Row]])="",TRUE()),0,N(INDEX(tsk_Deadline,GanttView[[#This Row],[_Row]])))</f>
        <v>0</v>
      </c>
      <c r="V149" s="95" t="b">
        <f aca="false">IF(IFERROR(INDEX(tsk_Name,GanttView[[#This Row],[_Row]])="",TRUE()),FALSE(),INDEX(tsk_Critical,GanttView[[#This Row],[_Row]])="Yes")</f>
        <v>0</v>
      </c>
    </row>
    <row r="150" customFormat="false" ht="15" hidden="false" customHeight="false" outlineLevel="0" collapsed="false">
      <c r="A150" s="89" t="str">
        <f aca="false">IF(IFERROR(INDEX(tsk_Name,GanttView[[#This Row],[_Row]])="",TRUE()),"",INDEX(tsk_ID,GanttView[[#This Row],[_Row]]))</f>
        <v/>
      </c>
      <c r="B150" s="90" t="str">
        <f aca="false">IF(IFERROR(INDEX(tsk_Name,GanttView[[#This Row],[_Row]])="",TRUE()),"",REPT("    ",INDEX(tsk_Level,GanttView[[#This Row],[_Row]])-1)&amp;INDEX(tsk_Name,GanttView[[#This Row],[_Row]]))</f>
        <v/>
      </c>
      <c r="C150" s="91" t="str">
        <f aca="false">IF(IFERROR(INDEX(tsk_Name,GanttView[[#This Row],[_Row]])="",TRUE()),"",INDEX(tsk_FcStart,GanttView[[#This Row],[_Row]]))</f>
        <v/>
      </c>
      <c r="D150" s="91" t="str">
        <f aca="false">IF(IFERROR(INDEX(tsk_Name,GanttView[[#This Row],[_Row]])="",TRUE()),"",INDEX(tsk_FcFinish,GanttView[[#This Row],[_Row]]))</f>
        <v/>
      </c>
      <c r="E150" s="92" t="str">
        <f aca="false">IF(IFERROR(INDEX(tsk_Name,GanttView[[#This Row],[_Row]])="",TRUE()),"",INDEX(tsk_Progress,GanttView[[#This Row],[_Row]]))</f>
        <v/>
      </c>
      <c r="F150" s="90" t="str">
        <f aca="false">IF(IFERROR(INDEX(tsk_Name,GanttView[[#This Row],[_Row]])="",TRUE()),"",INDEX(tsk_ResourceNames,GanttView[[#This Row],[_Row]])&amp;"")</f>
        <v/>
      </c>
      <c r="G150" s="89" t="str">
        <f aca="false">IF(IFERROR(INDEX(tsk_Name,GanttView[[#This Row],[_Row]])="",TRUE()),"",INDEX(tsk_WBS,GanttView[[#This Row],[_Row]]))</f>
        <v/>
      </c>
      <c r="H150" s="89" t="str">
        <f aca="false">IF(IFERROR(INDEX(tsk_Name,GanttView[[#This Row],[_Row]])="",TRUE()),"",IF(INDEX(tsk_IsSummary,GanttView[[#This Row],[_Row]]),NETWORKDAYS.INTL(INDEX(tsk_FcStart,GanttView[[#This Row],[_Row]]),INDEX(tsk_FcFinish,GanttView[[#This Row],[_Row]]),WorkWeek,Holidays),N(INDEX(tsk_Duration,GanttView[[#This Row],[_Row]]))))</f>
        <v/>
      </c>
      <c r="I150" s="91" t="str">
        <f aca="false">IF(IFERROR(INDEX(tsk_Name,GanttView[[#This Row],[_Row]])="",TRUE()),"",INDEX(tsk_PlanStart,GanttView[[#This Row],[_Row]]))</f>
        <v/>
      </c>
      <c r="J150" s="91" t="str">
        <f aca="false">IF(IFERROR(INDEX(tsk_Name,GanttView[[#This Row],[_Row]])="",TRUE()),"",INDEX(tsk_PlanFinish,GanttView[[#This Row],[_Row]]))</f>
        <v/>
      </c>
      <c r="K150" s="93" t="str">
        <f aca="false">IF(IFERROR(INDEX(tsk_Name,GanttView[[#This Row],[_Row]])="",TRUE()),"",INDEX(tsk_Status,GanttView[[#This Row],[_Row]]))</f>
        <v/>
      </c>
      <c r="L150" s="93" t="str">
        <f aca="false">IF(IFERROR(INDEX(tsk_Name,GanttView[[#This Row],[_Row]])="",TRUE()),"",INDEX(tsk_Show,GanttView[[#This Row],[_Row]])&amp;"")</f>
        <v/>
      </c>
      <c r="M150" s="94" t="n">
        <f aca="false">ROW()-ROW(GanttView[[#Headers],[ID]])</f>
        <v>145</v>
      </c>
      <c r="N150" s="95" t="b">
        <f aca="false">IF(IFERROR(INDEX(tsk_Name,GanttView[[#This Row],[_Row]])="",TRUE()),FALSE(),INDEX(tsk_IsSummary,GanttView[[#This Row],[_Row]]))</f>
        <v>0</v>
      </c>
      <c r="O150" s="95" t="b">
        <f aca="false">IF(IFERROR(INDEX(tsk_Name,GanttView[[#This Row],[_Row]])="",TRUE()),FALSE(),AND(INDEX(tsk_IsLeaf,GanttView[[#This Row],[_Row]])=1,N(INDEX(tsk_Duration,GanttView[[#This Row],[_Row]]))=0))</f>
        <v>0</v>
      </c>
      <c r="P150" s="96" t="n">
        <f aca="false">IF(IFERROR(INDEX(tsk_Name,GanttView[[#This Row],[_Row]])="",TRUE()),0,IF(AND(INDEX(tsk_IsLeaf,GanttView[[#This Row],[_Row]])=1,NOT(GanttView[[#This Row],[_IsMilestone]]),N(GanttView[[#This Row],[%]])&gt;0),GanttView[[#This Row],[Start]],0))</f>
        <v>0</v>
      </c>
      <c r="Q150" s="96" t="n">
        <f aca="false">IF(GanttView[[#This Row],[_DoneFrom]]=0,0,IF(GanttView[[#This Row],[%]]&gt;=1,GanttView[[#This Row],[Finish]],MAX(GanttView[[#This Row],[_DoneFrom]],GanttView[[#This Row],[Start]]+ROUND((GanttView[[#This Row],[Finish]]-GanttView[[#This Row],[Start]]+1)*GanttView[[#This Row],[%]],0)-1)))</f>
        <v>0</v>
      </c>
      <c r="R150" s="96" t="n">
        <f aca="false">IF(IFERROR(INDEX(tsk_Name,GanttView[[#This Row],[_Row]])="",TRUE()),0,IF(OR(INDEX(tsk_IsLeaf,GanttView[[#This Row],[_Row]])&lt;&gt;1,GanttView[[#This Row],[_IsMilestone]],N(GanttView[[#This Row],[%]])&gt;=1),0,IF(GanttView[[#This Row],[_DoneTo]]&gt;0,GanttView[[#This Row],[_DoneTo]]+1,GanttView[[#This Row],[Start]])))</f>
        <v>0</v>
      </c>
      <c r="S150" s="96" t="n">
        <f aca="false">IF(GanttView[[#This Row],[_RemFrom]]=0,0,GanttView[[#This Row],[Finish]])</f>
        <v>0</v>
      </c>
      <c r="T150" s="95" t="b">
        <f aca="false">IF(IFERROR(INDEX(tsk_Name,GanttView[[#This Row],[_Row]])="",TRUE()),FALSE(),N(INDEX(tsk_Variance,GanttView[[#This Row],[_Row]]))&gt;0)</f>
        <v>0</v>
      </c>
      <c r="U150" s="96" t="n">
        <f aca="false">IF(IFERROR(INDEX(tsk_Name,GanttView[[#This Row],[_Row]])="",TRUE()),0,N(INDEX(tsk_Deadline,GanttView[[#This Row],[_Row]])))</f>
        <v>0</v>
      </c>
      <c r="V150" s="95" t="b">
        <f aca="false">IF(IFERROR(INDEX(tsk_Name,GanttView[[#This Row],[_Row]])="",TRUE()),FALSE(),INDEX(tsk_Critical,GanttView[[#This Row],[_Row]])="Yes")</f>
        <v>0</v>
      </c>
    </row>
    <row r="151" customFormat="false" ht="15" hidden="false" customHeight="false" outlineLevel="0" collapsed="false">
      <c r="A151" s="89" t="str">
        <f aca="false">IF(IFERROR(INDEX(tsk_Name,GanttView[[#This Row],[_Row]])="",TRUE()),"",INDEX(tsk_ID,GanttView[[#This Row],[_Row]]))</f>
        <v/>
      </c>
      <c r="B151" s="90" t="str">
        <f aca="false">IF(IFERROR(INDEX(tsk_Name,GanttView[[#This Row],[_Row]])="",TRUE()),"",REPT("    ",INDEX(tsk_Level,GanttView[[#This Row],[_Row]])-1)&amp;INDEX(tsk_Name,GanttView[[#This Row],[_Row]]))</f>
        <v/>
      </c>
      <c r="C151" s="91" t="str">
        <f aca="false">IF(IFERROR(INDEX(tsk_Name,GanttView[[#This Row],[_Row]])="",TRUE()),"",INDEX(tsk_FcStart,GanttView[[#This Row],[_Row]]))</f>
        <v/>
      </c>
      <c r="D151" s="91" t="str">
        <f aca="false">IF(IFERROR(INDEX(tsk_Name,GanttView[[#This Row],[_Row]])="",TRUE()),"",INDEX(tsk_FcFinish,GanttView[[#This Row],[_Row]]))</f>
        <v/>
      </c>
      <c r="E151" s="92" t="str">
        <f aca="false">IF(IFERROR(INDEX(tsk_Name,GanttView[[#This Row],[_Row]])="",TRUE()),"",INDEX(tsk_Progress,GanttView[[#This Row],[_Row]]))</f>
        <v/>
      </c>
      <c r="F151" s="90" t="str">
        <f aca="false">IF(IFERROR(INDEX(tsk_Name,GanttView[[#This Row],[_Row]])="",TRUE()),"",INDEX(tsk_ResourceNames,GanttView[[#This Row],[_Row]])&amp;"")</f>
        <v/>
      </c>
      <c r="G151" s="89" t="str">
        <f aca="false">IF(IFERROR(INDEX(tsk_Name,GanttView[[#This Row],[_Row]])="",TRUE()),"",INDEX(tsk_WBS,GanttView[[#This Row],[_Row]]))</f>
        <v/>
      </c>
      <c r="H151" s="89" t="str">
        <f aca="false">IF(IFERROR(INDEX(tsk_Name,GanttView[[#This Row],[_Row]])="",TRUE()),"",IF(INDEX(tsk_IsSummary,GanttView[[#This Row],[_Row]]),NETWORKDAYS.INTL(INDEX(tsk_FcStart,GanttView[[#This Row],[_Row]]),INDEX(tsk_FcFinish,GanttView[[#This Row],[_Row]]),WorkWeek,Holidays),N(INDEX(tsk_Duration,GanttView[[#This Row],[_Row]]))))</f>
        <v/>
      </c>
      <c r="I151" s="91" t="str">
        <f aca="false">IF(IFERROR(INDEX(tsk_Name,GanttView[[#This Row],[_Row]])="",TRUE()),"",INDEX(tsk_PlanStart,GanttView[[#This Row],[_Row]]))</f>
        <v/>
      </c>
      <c r="J151" s="91" t="str">
        <f aca="false">IF(IFERROR(INDEX(tsk_Name,GanttView[[#This Row],[_Row]])="",TRUE()),"",INDEX(tsk_PlanFinish,GanttView[[#This Row],[_Row]]))</f>
        <v/>
      </c>
      <c r="K151" s="93" t="str">
        <f aca="false">IF(IFERROR(INDEX(tsk_Name,GanttView[[#This Row],[_Row]])="",TRUE()),"",INDEX(tsk_Status,GanttView[[#This Row],[_Row]]))</f>
        <v/>
      </c>
      <c r="L151" s="93" t="str">
        <f aca="false">IF(IFERROR(INDEX(tsk_Name,GanttView[[#This Row],[_Row]])="",TRUE()),"",INDEX(tsk_Show,GanttView[[#This Row],[_Row]])&amp;"")</f>
        <v/>
      </c>
      <c r="M151" s="94" t="n">
        <f aca="false">ROW()-ROW(GanttView[[#Headers],[ID]])</f>
        <v>146</v>
      </c>
      <c r="N151" s="95" t="b">
        <f aca="false">IF(IFERROR(INDEX(tsk_Name,GanttView[[#This Row],[_Row]])="",TRUE()),FALSE(),INDEX(tsk_IsSummary,GanttView[[#This Row],[_Row]]))</f>
        <v>0</v>
      </c>
      <c r="O151" s="95" t="b">
        <f aca="false">IF(IFERROR(INDEX(tsk_Name,GanttView[[#This Row],[_Row]])="",TRUE()),FALSE(),AND(INDEX(tsk_IsLeaf,GanttView[[#This Row],[_Row]])=1,N(INDEX(tsk_Duration,GanttView[[#This Row],[_Row]]))=0))</f>
        <v>0</v>
      </c>
      <c r="P151" s="96" t="n">
        <f aca="false">IF(IFERROR(INDEX(tsk_Name,GanttView[[#This Row],[_Row]])="",TRUE()),0,IF(AND(INDEX(tsk_IsLeaf,GanttView[[#This Row],[_Row]])=1,NOT(GanttView[[#This Row],[_IsMilestone]]),N(GanttView[[#This Row],[%]])&gt;0),GanttView[[#This Row],[Start]],0))</f>
        <v>0</v>
      </c>
      <c r="Q151" s="96" t="n">
        <f aca="false">IF(GanttView[[#This Row],[_DoneFrom]]=0,0,IF(GanttView[[#This Row],[%]]&gt;=1,GanttView[[#This Row],[Finish]],MAX(GanttView[[#This Row],[_DoneFrom]],GanttView[[#This Row],[Start]]+ROUND((GanttView[[#This Row],[Finish]]-GanttView[[#This Row],[Start]]+1)*GanttView[[#This Row],[%]],0)-1)))</f>
        <v>0</v>
      </c>
      <c r="R151" s="96" t="n">
        <f aca="false">IF(IFERROR(INDEX(tsk_Name,GanttView[[#This Row],[_Row]])="",TRUE()),0,IF(OR(INDEX(tsk_IsLeaf,GanttView[[#This Row],[_Row]])&lt;&gt;1,GanttView[[#This Row],[_IsMilestone]],N(GanttView[[#This Row],[%]])&gt;=1),0,IF(GanttView[[#This Row],[_DoneTo]]&gt;0,GanttView[[#This Row],[_DoneTo]]+1,GanttView[[#This Row],[Start]])))</f>
        <v>0</v>
      </c>
      <c r="S151" s="96" t="n">
        <f aca="false">IF(GanttView[[#This Row],[_RemFrom]]=0,0,GanttView[[#This Row],[Finish]])</f>
        <v>0</v>
      </c>
      <c r="T151" s="95" t="b">
        <f aca="false">IF(IFERROR(INDEX(tsk_Name,GanttView[[#This Row],[_Row]])="",TRUE()),FALSE(),N(INDEX(tsk_Variance,GanttView[[#This Row],[_Row]]))&gt;0)</f>
        <v>0</v>
      </c>
      <c r="U151" s="96" t="n">
        <f aca="false">IF(IFERROR(INDEX(tsk_Name,GanttView[[#This Row],[_Row]])="",TRUE()),0,N(INDEX(tsk_Deadline,GanttView[[#This Row],[_Row]])))</f>
        <v>0</v>
      </c>
      <c r="V151" s="95" t="b">
        <f aca="false">IF(IFERROR(INDEX(tsk_Name,GanttView[[#This Row],[_Row]])="",TRUE()),FALSE(),INDEX(tsk_Critical,GanttView[[#This Row],[_Row]])="Yes")</f>
        <v>0</v>
      </c>
    </row>
    <row r="152" customFormat="false" ht="15" hidden="false" customHeight="false" outlineLevel="0" collapsed="false">
      <c r="A152" s="89" t="str">
        <f aca="false">IF(IFERROR(INDEX(tsk_Name,GanttView[[#This Row],[_Row]])="",TRUE()),"",INDEX(tsk_ID,GanttView[[#This Row],[_Row]]))</f>
        <v/>
      </c>
      <c r="B152" s="90" t="str">
        <f aca="false">IF(IFERROR(INDEX(tsk_Name,GanttView[[#This Row],[_Row]])="",TRUE()),"",REPT("    ",INDEX(tsk_Level,GanttView[[#This Row],[_Row]])-1)&amp;INDEX(tsk_Name,GanttView[[#This Row],[_Row]]))</f>
        <v/>
      </c>
      <c r="C152" s="91" t="str">
        <f aca="false">IF(IFERROR(INDEX(tsk_Name,GanttView[[#This Row],[_Row]])="",TRUE()),"",INDEX(tsk_FcStart,GanttView[[#This Row],[_Row]]))</f>
        <v/>
      </c>
      <c r="D152" s="91" t="str">
        <f aca="false">IF(IFERROR(INDEX(tsk_Name,GanttView[[#This Row],[_Row]])="",TRUE()),"",INDEX(tsk_FcFinish,GanttView[[#This Row],[_Row]]))</f>
        <v/>
      </c>
      <c r="E152" s="92" t="str">
        <f aca="false">IF(IFERROR(INDEX(tsk_Name,GanttView[[#This Row],[_Row]])="",TRUE()),"",INDEX(tsk_Progress,GanttView[[#This Row],[_Row]]))</f>
        <v/>
      </c>
      <c r="F152" s="90" t="str">
        <f aca="false">IF(IFERROR(INDEX(tsk_Name,GanttView[[#This Row],[_Row]])="",TRUE()),"",INDEX(tsk_ResourceNames,GanttView[[#This Row],[_Row]])&amp;"")</f>
        <v/>
      </c>
      <c r="G152" s="89" t="str">
        <f aca="false">IF(IFERROR(INDEX(tsk_Name,GanttView[[#This Row],[_Row]])="",TRUE()),"",INDEX(tsk_WBS,GanttView[[#This Row],[_Row]]))</f>
        <v/>
      </c>
      <c r="H152" s="89" t="str">
        <f aca="false">IF(IFERROR(INDEX(tsk_Name,GanttView[[#This Row],[_Row]])="",TRUE()),"",IF(INDEX(tsk_IsSummary,GanttView[[#This Row],[_Row]]),NETWORKDAYS.INTL(INDEX(tsk_FcStart,GanttView[[#This Row],[_Row]]),INDEX(tsk_FcFinish,GanttView[[#This Row],[_Row]]),WorkWeek,Holidays),N(INDEX(tsk_Duration,GanttView[[#This Row],[_Row]]))))</f>
        <v/>
      </c>
      <c r="I152" s="91" t="str">
        <f aca="false">IF(IFERROR(INDEX(tsk_Name,GanttView[[#This Row],[_Row]])="",TRUE()),"",INDEX(tsk_PlanStart,GanttView[[#This Row],[_Row]]))</f>
        <v/>
      </c>
      <c r="J152" s="91" t="str">
        <f aca="false">IF(IFERROR(INDEX(tsk_Name,GanttView[[#This Row],[_Row]])="",TRUE()),"",INDEX(tsk_PlanFinish,GanttView[[#This Row],[_Row]]))</f>
        <v/>
      </c>
      <c r="K152" s="93" t="str">
        <f aca="false">IF(IFERROR(INDEX(tsk_Name,GanttView[[#This Row],[_Row]])="",TRUE()),"",INDEX(tsk_Status,GanttView[[#This Row],[_Row]]))</f>
        <v/>
      </c>
      <c r="L152" s="93" t="str">
        <f aca="false">IF(IFERROR(INDEX(tsk_Name,GanttView[[#This Row],[_Row]])="",TRUE()),"",INDEX(tsk_Show,GanttView[[#This Row],[_Row]])&amp;"")</f>
        <v/>
      </c>
      <c r="M152" s="94" t="n">
        <f aca="false">ROW()-ROW(GanttView[[#Headers],[ID]])</f>
        <v>147</v>
      </c>
      <c r="N152" s="95" t="b">
        <f aca="false">IF(IFERROR(INDEX(tsk_Name,GanttView[[#This Row],[_Row]])="",TRUE()),FALSE(),INDEX(tsk_IsSummary,GanttView[[#This Row],[_Row]]))</f>
        <v>0</v>
      </c>
      <c r="O152" s="95" t="b">
        <f aca="false">IF(IFERROR(INDEX(tsk_Name,GanttView[[#This Row],[_Row]])="",TRUE()),FALSE(),AND(INDEX(tsk_IsLeaf,GanttView[[#This Row],[_Row]])=1,N(INDEX(tsk_Duration,GanttView[[#This Row],[_Row]]))=0))</f>
        <v>0</v>
      </c>
      <c r="P152" s="96" t="n">
        <f aca="false">IF(IFERROR(INDEX(tsk_Name,GanttView[[#This Row],[_Row]])="",TRUE()),0,IF(AND(INDEX(tsk_IsLeaf,GanttView[[#This Row],[_Row]])=1,NOT(GanttView[[#This Row],[_IsMilestone]]),N(GanttView[[#This Row],[%]])&gt;0),GanttView[[#This Row],[Start]],0))</f>
        <v>0</v>
      </c>
      <c r="Q152" s="96" t="n">
        <f aca="false">IF(GanttView[[#This Row],[_DoneFrom]]=0,0,IF(GanttView[[#This Row],[%]]&gt;=1,GanttView[[#This Row],[Finish]],MAX(GanttView[[#This Row],[_DoneFrom]],GanttView[[#This Row],[Start]]+ROUND((GanttView[[#This Row],[Finish]]-GanttView[[#This Row],[Start]]+1)*GanttView[[#This Row],[%]],0)-1)))</f>
        <v>0</v>
      </c>
      <c r="R152" s="96" t="n">
        <f aca="false">IF(IFERROR(INDEX(tsk_Name,GanttView[[#This Row],[_Row]])="",TRUE()),0,IF(OR(INDEX(tsk_IsLeaf,GanttView[[#This Row],[_Row]])&lt;&gt;1,GanttView[[#This Row],[_IsMilestone]],N(GanttView[[#This Row],[%]])&gt;=1),0,IF(GanttView[[#This Row],[_DoneTo]]&gt;0,GanttView[[#This Row],[_DoneTo]]+1,GanttView[[#This Row],[Start]])))</f>
        <v>0</v>
      </c>
      <c r="S152" s="96" t="n">
        <f aca="false">IF(GanttView[[#This Row],[_RemFrom]]=0,0,GanttView[[#This Row],[Finish]])</f>
        <v>0</v>
      </c>
      <c r="T152" s="95" t="b">
        <f aca="false">IF(IFERROR(INDEX(tsk_Name,GanttView[[#This Row],[_Row]])="",TRUE()),FALSE(),N(INDEX(tsk_Variance,GanttView[[#This Row],[_Row]]))&gt;0)</f>
        <v>0</v>
      </c>
      <c r="U152" s="96" t="n">
        <f aca="false">IF(IFERROR(INDEX(tsk_Name,GanttView[[#This Row],[_Row]])="",TRUE()),0,N(INDEX(tsk_Deadline,GanttView[[#This Row],[_Row]])))</f>
        <v>0</v>
      </c>
      <c r="V152" s="95" t="b">
        <f aca="false">IF(IFERROR(INDEX(tsk_Name,GanttView[[#This Row],[_Row]])="",TRUE()),FALSE(),INDEX(tsk_Critical,GanttView[[#This Row],[_Row]])="Yes")</f>
        <v>0</v>
      </c>
    </row>
    <row r="153" customFormat="false" ht="15" hidden="false" customHeight="false" outlineLevel="0" collapsed="false">
      <c r="A153" s="89" t="str">
        <f aca="false">IF(IFERROR(INDEX(tsk_Name,GanttView[[#This Row],[_Row]])="",TRUE()),"",INDEX(tsk_ID,GanttView[[#This Row],[_Row]]))</f>
        <v/>
      </c>
      <c r="B153" s="90" t="str">
        <f aca="false">IF(IFERROR(INDEX(tsk_Name,GanttView[[#This Row],[_Row]])="",TRUE()),"",REPT("    ",INDEX(tsk_Level,GanttView[[#This Row],[_Row]])-1)&amp;INDEX(tsk_Name,GanttView[[#This Row],[_Row]]))</f>
        <v/>
      </c>
      <c r="C153" s="91" t="str">
        <f aca="false">IF(IFERROR(INDEX(tsk_Name,GanttView[[#This Row],[_Row]])="",TRUE()),"",INDEX(tsk_FcStart,GanttView[[#This Row],[_Row]]))</f>
        <v/>
      </c>
      <c r="D153" s="91" t="str">
        <f aca="false">IF(IFERROR(INDEX(tsk_Name,GanttView[[#This Row],[_Row]])="",TRUE()),"",INDEX(tsk_FcFinish,GanttView[[#This Row],[_Row]]))</f>
        <v/>
      </c>
      <c r="E153" s="92" t="str">
        <f aca="false">IF(IFERROR(INDEX(tsk_Name,GanttView[[#This Row],[_Row]])="",TRUE()),"",INDEX(tsk_Progress,GanttView[[#This Row],[_Row]]))</f>
        <v/>
      </c>
      <c r="F153" s="90" t="str">
        <f aca="false">IF(IFERROR(INDEX(tsk_Name,GanttView[[#This Row],[_Row]])="",TRUE()),"",INDEX(tsk_ResourceNames,GanttView[[#This Row],[_Row]])&amp;"")</f>
        <v/>
      </c>
      <c r="G153" s="89" t="str">
        <f aca="false">IF(IFERROR(INDEX(tsk_Name,GanttView[[#This Row],[_Row]])="",TRUE()),"",INDEX(tsk_WBS,GanttView[[#This Row],[_Row]]))</f>
        <v/>
      </c>
      <c r="H153" s="89" t="str">
        <f aca="false">IF(IFERROR(INDEX(tsk_Name,GanttView[[#This Row],[_Row]])="",TRUE()),"",IF(INDEX(tsk_IsSummary,GanttView[[#This Row],[_Row]]),NETWORKDAYS.INTL(INDEX(tsk_FcStart,GanttView[[#This Row],[_Row]]),INDEX(tsk_FcFinish,GanttView[[#This Row],[_Row]]),WorkWeek,Holidays),N(INDEX(tsk_Duration,GanttView[[#This Row],[_Row]]))))</f>
        <v/>
      </c>
      <c r="I153" s="91" t="str">
        <f aca="false">IF(IFERROR(INDEX(tsk_Name,GanttView[[#This Row],[_Row]])="",TRUE()),"",INDEX(tsk_PlanStart,GanttView[[#This Row],[_Row]]))</f>
        <v/>
      </c>
      <c r="J153" s="91" t="str">
        <f aca="false">IF(IFERROR(INDEX(tsk_Name,GanttView[[#This Row],[_Row]])="",TRUE()),"",INDEX(tsk_PlanFinish,GanttView[[#This Row],[_Row]]))</f>
        <v/>
      </c>
      <c r="K153" s="93" t="str">
        <f aca="false">IF(IFERROR(INDEX(tsk_Name,GanttView[[#This Row],[_Row]])="",TRUE()),"",INDEX(tsk_Status,GanttView[[#This Row],[_Row]]))</f>
        <v/>
      </c>
      <c r="L153" s="93" t="str">
        <f aca="false">IF(IFERROR(INDEX(tsk_Name,GanttView[[#This Row],[_Row]])="",TRUE()),"",INDEX(tsk_Show,GanttView[[#This Row],[_Row]])&amp;"")</f>
        <v/>
      </c>
      <c r="M153" s="94" t="n">
        <f aca="false">ROW()-ROW(GanttView[[#Headers],[ID]])</f>
        <v>148</v>
      </c>
      <c r="N153" s="95" t="b">
        <f aca="false">IF(IFERROR(INDEX(tsk_Name,GanttView[[#This Row],[_Row]])="",TRUE()),FALSE(),INDEX(tsk_IsSummary,GanttView[[#This Row],[_Row]]))</f>
        <v>0</v>
      </c>
      <c r="O153" s="95" t="b">
        <f aca="false">IF(IFERROR(INDEX(tsk_Name,GanttView[[#This Row],[_Row]])="",TRUE()),FALSE(),AND(INDEX(tsk_IsLeaf,GanttView[[#This Row],[_Row]])=1,N(INDEX(tsk_Duration,GanttView[[#This Row],[_Row]]))=0))</f>
        <v>0</v>
      </c>
      <c r="P153" s="96" t="n">
        <f aca="false">IF(IFERROR(INDEX(tsk_Name,GanttView[[#This Row],[_Row]])="",TRUE()),0,IF(AND(INDEX(tsk_IsLeaf,GanttView[[#This Row],[_Row]])=1,NOT(GanttView[[#This Row],[_IsMilestone]]),N(GanttView[[#This Row],[%]])&gt;0),GanttView[[#This Row],[Start]],0))</f>
        <v>0</v>
      </c>
      <c r="Q153" s="96" t="n">
        <f aca="false">IF(GanttView[[#This Row],[_DoneFrom]]=0,0,IF(GanttView[[#This Row],[%]]&gt;=1,GanttView[[#This Row],[Finish]],MAX(GanttView[[#This Row],[_DoneFrom]],GanttView[[#This Row],[Start]]+ROUND((GanttView[[#This Row],[Finish]]-GanttView[[#This Row],[Start]]+1)*GanttView[[#This Row],[%]],0)-1)))</f>
        <v>0</v>
      </c>
      <c r="R153" s="96" t="n">
        <f aca="false">IF(IFERROR(INDEX(tsk_Name,GanttView[[#This Row],[_Row]])="",TRUE()),0,IF(OR(INDEX(tsk_IsLeaf,GanttView[[#This Row],[_Row]])&lt;&gt;1,GanttView[[#This Row],[_IsMilestone]],N(GanttView[[#This Row],[%]])&gt;=1),0,IF(GanttView[[#This Row],[_DoneTo]]&gt;0,GanttView[[#This Row],[_DoneTo]]+1,GanttView[[#This Row],[Start]])))</f>
        <v>0</v>
      </c>
      <c r="S153" s="96" t="n">
        <f aca="false">IF(GanttView[[#This Row],[_RemFrom]]=0,0,GanttView[[#This Row],[Finish]])</f>
        <v>0</v>
      </c>
      <c r="T153" s="95" t="b">
        <f aca="false">IF(IFERROR(INDEX(tsk_Name,GanttView[[#This Row],[_Row]])="",TRUE()),FALSE(),N(INDEX(tsk_Variance,GanttView[[#This Row],[_Row]]))&gt;0)</f>
        <v>0</v>
      </c>
      <c r="U153" s="96" t="n">
        <f aca="false">IF(IFERROR(INDEX(tsk_Name,GanttView[[#This Row],[_Row]])="",TRUE()),0,N(INDEX(tsk_Deadline,GanttView[[#This Row],[_Row]])))</f>
        <v>0</v>
      </c>
      <c r="V153" s="95" t="b">
        <f aca="false">IF(IFERROR(INDEX(tsk_Name,GanttView[[#This Row],[_Row]])="",TRUE()),FALSE(),INDEX(tsk_Critical,GanttView[[#This Row],[_Row]])="Yes")</f>
        <v>0</v>
      </c>
    </row>
    <row r="154" customFormat="false" ht="15" hidden="false" customHeight="false" outlineLevel="0" collapsed="false">
      <c r="A154" s="89" t="str">
        <f aca="false">IF(IFERROR(INDEX(tsk_Name,GanttView[[#This Row],[_Row]])="",TRUE()),"",INDEX(tsk_ID,GanttView[[#This Row],[_Row]]))</f>
        <v/>
      </c>
      <c r="B154" s="90" t="str">
        <f aca="false">IF(IFERROR(INDEX(tsk_Name,GanttView[[#This Row],[_Row]])="",TRUE()),"",REPT("    ",INDEX(tsk_Level,GanttView[[#This Row],[_Row]])-1)&amp;INDEX(tsk_Name,GanttView[[#This Row],[_Row]]))</f>
        <v/>
      </c>
      <c r="C154" s="91" t="str">
        <f aca="false">IF(IFERROR(INDEX(tsk_Name,GanttView[[#This Row],[_Row]])="",TRUE()),"",INDEX(tsk_FcStart,GanttView[[#This Row],[_Row]]))</f>
        <v/>
      </c>
      <c r="D154" s="91" t="str">
        <f aca="false">IF(IFERROR(INDEX(tsk_Name,GanttView[[#This Row],[_Row]])="",TRUE()),"",INDEX(tsk_FcFinish,GanttView[[#This Row],[_Row]]))</f>
        <v/>
      </c>
      <c r="E154" s="92" t="str">
        <f aca="false">IF(IFERROR(INDEX(tsk_Name,GanttView[[#This Row],[_Row]])="",TRUE()),"",INDEX(tsk_Progress,GanttView[[#This Row],[_Row]]))</f>
        <v/>
      </c>
      <c r="F154" s="90" t="str">
        <f aca="false">IF(IFERROR(INDEX(tsk_Name,GanttView[[#This Row],[_Row]])="",TRUE()),"",INDEX(tsk_ResourceNames,GanttView[[#This Row],[_Row]])&amp;"")</f>
        <v/>
      </c>
      <c r="G154" s="89" t="str">
        <f aca="false">IF(IFERROR(INDEX(tsk_Name,GanttView[[#This Row],[_Row]])="",TRUE()),"",INDEX(tsk_WBS,GanttView[[#This Row],[_Row]]))</f>
        <v/>
      </c>
      <c r="H154" s="89" t="str">
        <f aca="false">IF(IFERROR(INDEX(tsk_Name,GanttView[[#This Row],[_Row]])="",TRUE()),"",IF(INDEX(tsk_IsSummary,GanttView[[#This Row],[_Row]]),NETWORKDAYS.INTL(INDEX(tsk_FcStart,GanttView[[#This Row],[_Row]]),INDEX(tsk_FcFinish,GanttView[[#This Row],[_Row]]),WorkWeek,Holidays),N(INDEX(tsk_Duration,GanttView[[#This Row],[_Row]]))))</f>
        <v/>
      </c>
      <c r="I154" s="91" t="str">
        <f aca="false">IF(IFERROR(INDEX(tsk_Name,GanttView[[#This Row],[_Row]])="",TRUE()),"",INDEX(tsk_PlanStart,GanttView[[#This Row],[_Row]]))</f>
        <v/>
      </c>
      <c r="J154" s="91" t="str">
        <f aca="false">IF(IFERROR(INDEX(tsk_Name,GanttView[[#This Row],[_Row]])="",TRUE()),"",INDEX(tsk_PlanFinish,GanttView[[#This Row],[_Row]]))</f>
        <v/>
      </c>
      <c r="K154" s="93" t="str">
        <f aca="false">IF(IFERROR(INDEX(tsk_Name,GanttView[[#This Row],[_Row]])="",TRUE()),"",INDEX(tsk_Status,GanttView[[#This Row],[_Row]]))</f>
        <v/>
      </c>
      <c r="L154" s="93" t="str">
        <f aca="false">IF(IFERROR(INDEX(tsk_Name,GanttView[[#This Row],[_Row]])="",TRUE()),"",INDEX(tsk_Show,GanttView[[#This Row],[_Row]])&amp;"")</f>
        <v/>
      </c>
      <c r="M154" s="94" t="n">
        <f aca="false">ROW()-ROW(GanttView[[#Headers],[ID]])</f>
        <v>149</v>
      </c>
      <c r="N154" s="95" t="b">
        <f aca="false">IF(IFERROR(INDEX(tsk_Name,GanttView[[#This Row],[_Row]])="",TRUE()),FALSE(),INDEX(tsk_IsSummary,GanttView[[#This Row],[_Row]]))</f>
        <v>0</v>
      </c>
      <c r="O154" s="95" t="b">
        <f aca="false">IF(IFERROR(INDEX(tsk_Name,GanttView[[#This Row],[_Row]])="",TRUE()),FALSE(),AND(INDEX(tsk_IsLeaf,GanttView[[#This Row],[_Row]])=1,N(INDEX(tsk_Duration,GanttView[[#This Row],[_Row]]))=0))</f>
        <v>0</v>
      </c>
      <c r="P154" s="96" t="n">
        <f aca="false">IF(IFERROR(INDEX(tsk_Name,GanttView[[#This Row],[_Row]])="",TRUE()),0,IF(AND(INDEX(tsk_IsLeaf,GanttView[[#This Row],[_Row]])=1,NOT(GanttView[[#This Row],[_IsMilestone]]),N(GanttView[[#This Row],[%]])&gt;0),GanttView[[#This Row],[Start]],0))</f>
        <v>0</v>
      </c>
      <c r="Q154" s="96" t="n">
        <f aca="false">IF(GanttView[[#This Row],[_DoneFrom]]=0,0,IF(GanttView[[#This Row],[%]]&gt;=1,GanttView[[#This Row],[Finish]],MAX(GanttView[[#This Row],[_DoneFrom]],GanttView[[#This Row],[Start]]+ROUND((GanttView[[#This Row],[Finish]]-GanttView[[#This Row],[Start]]+1)*GanttView[[#This Row],[%]],0)-1)))</f>
        <v>0</v>
      </c>
      <c r="R154" s="96" t="n">
        <f aca="false">IF(IFERROR(INDEX(tsk_Name,GanttView[[#This Row],[_Row]])="",TRUE()),0,IF(OR(INDEX(tsk_IsLeaf,GanttView[[#This Row],[_Row]])&lt;&gt;1,GanttView[[#This Row],[_IsMilestone]],N(GanttView[[#This Row],[%]])&gt;=1),0,IF(GanttView[[#This Row],[_DoneTo]]&gt;0,GanttView[[#This Row],[_DoneTo]]+1,GanttView[[#This Row],[Start]])))</f>
        <v>0</v>
      </c>
      <c r="S154" s="96" t="n">
        <f aca="false">IF(GanttView[[#This Row],[_RemFrom]]=0,0,GanttView[[#This Row],[Finish]])</f>
        <v>0</v>
      </c>
      <c r="T154" s="95" t="b">
        <f aca="false">IF(IFERROR(INDEX(tsk_Name,GanttView[[#This Row],[_Row]])="",TRUE()),FALSE(),N(INDEX(tsk_Variance,GanttView[[#This Row],[_Row]]))&gt;0)</f>
        <v>0</v>
      </c>
      <c r="U154" s="96" t="n">
        <f aca="false">IF(IFERROR(INDEX(tsk_Name,GanttView[[#This Row],[_Row]])="",TRUE()),0,N(INDEX(tsk_Deadline,GanttView[[#This Row],[_Row]])))</f>
        <v>0</v>
      </c>
      <c r="V154" s="95" t="b">
        <f aca="false">IF(IFERROR(INDEX(tsk_Name,GanttView[[#This Row],[_Row]])="",TRUE()),FALSE(),INDEX(tsk_Critical,GanttView[[#This Row],[_Row]])="Yes")</f>
        <v>0</v>
      </c>
    </row>
    <row r="155" customFormat="false" ht="15" hidden="false" customHeight="false" outlineLevel="0" collapsed="false">
      <c r="A155" s="89" t="str">
        <f aca="false">IF(IFERROR(INDEX(tsk_Name,GanttView[[#This Row],[_Row]])="",TRUE()),"",INDEX(tsk_ID,GanttView[[#This Row],[_Row]]))</f>
        <v/>
      </c>
      <c r="B155" s="90" t="str">
        <f aca="false">IF(IFERROR(INDEX(tsk_Name,GanttView[[#This Row],[_Row]])="",TRUE()),"",REPT("    ",INDEX(tsk_Level,GanttView[[#This Row],[_Row]])-1)&amp;INDEX(tsk_Name,GanttView[[#This Row],[_Row]]))</f>
        <v/>
      </c>
      <c r="C155" s="91" t="str">
        <f aca="false">IF(IFERROR(INDEX(tsk_Name,GanttView[[#This Row],[_Row]])="",TRUE()),"",INDEX(tsk_FcStart,GanttView[[#This Row],[_Row]]))</f>
        <v/>
      </c>
      <c r="D155" s="91" t="str">
        <f aca="false">IF(IFERROR(INDEX(tsk_Name,GanttView[[#This Row],[_Row]])="",TRUE()),"",INDEX(tsk_FcFinish,GanttView[[#This Row],[_Row]]))</f>
        <v/>
      </c>
      <c r="E155" s="92" t="str">
        <f aca="false">IF(IFERROR(INDEX(tsk_Name,GanttView[[#This Row],[_Row]])="",TRUE()),"",INDEX(tsk_Progress,GanttView[[#This Row],[_Row]]))</f>
        <v/>
      </c>
      <c r="F155" s="90" t="str">
        <f aca="false">IF(IFERROR(INDEX(tsk_Name,GanttView[[#This Row],[_Row]])="",TRUE()),"",INDEX(tsk_ResourceNames,GanttView[[#This Row],[_Row]])&amp;"")</f>
        <v/>
      </c>
      <c r="G155" s="89" t="str">
        <f aca="false">IF(IFERROR(INDEX(tsk_Name,GanttView[[#This Row],[_Row]])="",TRUE()),"",INDEX(tsk_WBS,GanttView[[#This Row],[_Row]]))</f>
        <v/>
      </c>
      <c r="H155" s="89" t="str">
        <f aca="false">IF(IFERROR(INDEX(tsk_Name,GanttView[[#This Row],[_Row]])="",TRUE()),"",IF(INDEX(tsk_IsSummary,GanttView[[#This Row],[_Row]]),NETWORKDAYS.INTL(INDEX(tsk_FcStart,GanttView[[#This Row],[_Row]]),INDEX(tsk_FcFinish,GanttView[[#This Row],[_Row]]),WorkWeek,Holidays),N(INDEX(tsk_Duration,GanttView[[#This Row],[_Row]]))))</f>
        <v/>
      </c>
      <c r="I155" s="91" t="str">
        <f aca="false">IF(IFERROR(INDEX(tsk_Name,GanttView[[#This Row],[_Row]])="",TRUE()),"",INDEX(tsk_PlanStart,GanttView[[#This Row],[_Row]]))</f>
        <v/>
      </c>
      <c r="J155" s="91" t="str">
        <f aca="false">IF(IFERROR(INDEX(tsk_Name,GanttView[[#This Row],[_Row]])="",TRUE()),"",INDEX(tsk_PlanFinish,GanttView[[#This Row],[_Row]]))</f>
        <v/>
      </c>
      <c r="K155" s="93" t="str">
        <f aca="false">IF(IFERROR(INDEX(tsk_Name,GanttView[[#This Row],[_Row]])="",TRUE()),"",INDEX(tsk_Status,GanttView[[#This Row],[_Row]]))</f>
        <v/>
      </c>
      <c r="L155" s="93" t="str">
        <f aca="false">IF(IFERROR(INDEX(tsk_Name,GanttView[[#This Row],[_Row]])="",TRUE()),"",INDEX(tsk_Show,GanttView[[#This Row],[_Row]])&amp;"")</f>
        <v/>
      </c>
      <c r="M155" s="94" t="n">
        <f aca="false">ROW()-ROW(GanttView[[#Headers],[ID]])</f>
        <v>150</v>
      </c>
      <c r="N155" s="95" t="b">
        <f aca="false">IF(IFERROR(INDEX(tsk_Name,GanttView[[#This Row],[_Row]])="",TRUE()),FALSE(),INDEX(tsk_IsSummary,GanttView[[#This Row],[_Row]]))</f>
        <v>0</v>
      </c>
      <c r="O155" s="95" t="b">
        <f aca="false">IF(IFERROR(INDEX(tsk_Name,GanttView[[#This Row],[_Row]])="",TRUE()),FALSE(),AND(INDEX(tsk_IsLeaf,GanttView[[#This Row],[_Row]])=1,N(INDEX(tsk_Duration,GanttView[[#This Row],[_Row]]))=0))</f>
        <v>0</v>
      </c>
      <c r="P155" s="96" t="n">
        <f aca="false">IF(IFERROR(INDEX(tsk_Name,GanttView[[#This Row],[_Row]])="",TRUE()),0,IF(AND(INDEX(tsk_IsLeaf,GanttView[[#This Row],[_Row]])=1,NOT(GanttView[[#This Row],[_IsMilestone]]),N(GanttView[[#This Row],[%]])&gt;0),GanttView[[#This Row],[Start]],0))</f>
        <v>0</v>
      </c>
      <c r="Q155" s="96" t="n">
        <f aca="false">IF(GanttView[[#This Row],[_DoneFrom]]=0,0,IF(GanttView[[#This Row],[%]]&gt;=1,GanttView[[#This Row],[Finish]],MAX(GanttView[[#This Row],[_DoneFrom]],GanttView[[#This Row],[Start]]+ROUND((GanttView[[#This Row],[Finish]]-GanttView[[#This Row],[Start]]+1)*GanttView[[#This Row],[%]],0)-1)))</f>
        <v>0</v>
      </c>
      <c r="R155" s="96" t="n">
        <f aca="false">IF(IFERROR(INDEX(tsk_Name,GanttView[[#This Row],[_Row]])="",TRUE()),0,IF(OR(INDEX(tsk_IsLeaf,GanttView[[#This Row],[_Row]])&lt;&gt;1,GanttView[[#This Row],[_IsMilestone]],N(GanttView[[#This Row],[%]])&gt;=1),0,IF(GanttView[[#This Row],[_DoneTo]]&gt;0,GanttView[[#This Row],[_DoneTo]]+1,GanttView[[#This Row],[Start]])))</f>
        <v>0</v>
      </c>
      <c r="S155" s="96" t="n">
        <f aca="false">IF(GanttView[[#This Row],[_RemFrom]]=0,0,GanttView[[#This Row],[Finish]])</f>
        <v>0</v>
      </c>
      <c r="T155" s="95" t="b">
        <f aca="false">IF(IFERROR(INDEX(tsk_Name,GanttView[[#This Row],[_Row]])="",TRUE()),FALSE(),N(INDEX(tsk_Variance,GanttView[[#This Row],[_Row]]))&gt;0)</f>
        <v>0</v>
      </c>
      <c r="U155" s="96" t="n">
        <f aca="false">IF(IFERROR(INDEX(tsk_Name,GanttView[[#This Row],[_Row]])="",TRUE()),0,N(INDEX(tsk_Deadline,GanttView[[#This Row],[_Row]])))</f>
        <v>0</v>
      </c>
      <c r="V155" s="95" t="b">
        <f aca="false">IF(IFERROR(INDEX(tsk_Name,GanttView[[#This Row],[_Row]])="",TRUE()),FALSE(),INDEX(tsk_Critical,GanttView[[#This Row],[_Row]])="Yes")</f>
        <v>0</v>
      </c>
    </row>
    <row r="156" customFormat="false" ht="15" hidden="false" customHeight="false" outlineLevel="0" collapsed="false">
      <c r="A156" s="89" t="str">
        <f aca="false">IF(IFERROR(INDEX(tsk_Name,GanttView[[#This Row],[_Row]])="",TRUE()),"",INDEX(tsk_ID,GanttView[[#This Row],[_Row]]))</f>
        <v/>
      </c>
      <c r="B156" s="90" t="str">
        <f aca="false">IF(IFERROR(INDEX(tsk_Name,GanttView[[#This Row],[_Row]])="",TRUE()),"",REPT("    ",INDEX(tsk_Level,GanttView[[#This Row],[_Row]])-1)&amp;INDEX(tsk_Name,GanttView[[#This Row],[_Row]]))</f>
        <v/>
      </c>
      <c r="C156" s="91" t="str">
        <f aca="false">IF(IFERROR(INDEX(tsk_Name,GanttView[[#This Row],[_Row]])="",TRUE()),"",INDEX(tsk_FcStart,GanttView[[#This Row],[_Row]]))</f>
        <v/>
      </c>
      <c r="D156" s="91" t="str">
        <f aca="false">IF(IFERROR(INDEX(tsk_Name,GanttView[[#This Row],[_Row]])="",TRUE()),"",INDEX(tsk_FcFinish,GanttView[[#This Row],[_Row]]))</f>
        <v/>
      </c>
      <c r="E156" s="92" t="str">
        <f aca="false">IF(IFERROR(INDEX(tsk_Name,GanttView[[#This Row],[_Row]])="",TRUE()),"",INDEX(tsk_Progress,GanttView[[#This Row],[_Row]]))</f>
        <v/>
      </c>
      <c r="F156" s="90" t="str">
        <f aca="false">IF(IFERROR(INDEX(tsk_Name,GanttView[[#This Row],[_Row]])="",TRUE()),"",INDEX(tsk_ResourceNames,GanttView[[#This Row],[_Row]])&amp;"")</f>
        <v/>
      </c>
      <c r="G156" s="89" t="str">
        <f aca="false">IF(IFERROR(INDEX(tsk_Name,GanttView[[#This Row],[_Row]])="",TRUE()),"",INDEX(tsk_WBS,GanttView[[#This Row],[_Row]]))</f>
        <v/>
      </c>
      <c r="H156" s="89" t="str">
        <f aca="false">IF(IFERROR(INDEX(tsk_Name,GanttView[[#This Row],[_Row]])="",TRUE()),"",IF(INDEX(tsk_IsSummary,GanttView[[#This Row],[_Row]]),NETWORKDAYS.INTL(INDEX(tsk_FcStart,GanttView[[#This Row],[_Row]]),INDEX(tsk_FcFinish,GanttView[[#This Row],[_Row]]),WorkWeek,Holidays),N(INDEX(tsk_Duration,GanttView[[#This Row],[_Row]]))))</f>
        <v/>
      </c>
      <c r="I156" s="91" t="str">
        <f aca="false">IF(IFERROR(INDEX(tsk_Name,GanttView[[#This Row],[_Row]])="",TRUE()),"",INDEX(tsk_PlanStart,GanttView[[#This Row],[_Row]]))</f>
        <v/>
      </c>
      <c r="J156" s="91" t="str">
        <f aca="false">IF(IFERROR(INDEX(tsk_Name,GanttView[[#This Row],[_Row]])="",TRUE()),"",INDEX(tsk_PlanFinish,GanttView[[#This Row],[_Row]]))</f>
        <v/>
      </c>
      <c r="K156" s="93" t="str">
        <f aca="false">IF(IFERROR(INDEX(tsk_Name,GanttView[[#This Row],[_Row]])="",TRUE()),"",INDEX(tsk_Status,GanttView[[#This Row],[_Row]]))</f>
        <v/>
      </c>
      <c r="L156" s="93" t="str">
        <f aca="false">IF(IFERROR(INDEX(tsk_Name,GanttView[[#This Row],[_Row]])="",TRUE()),"",INDEX(tsk_Show,GanttView[[#This Row],[_Row]])&amp;"")</f>
        <v/>
      </c>
      <c r="M156" s="94" t="n">
        <f aca="false">ROW()-ROW(GanttView[[#Headers],[ID]])</f>
        <v>151</v>
      </c>
      <c r="N156" s="95" t="b">
        <f aca="false">IF(IFERROR(INDEX(tsk_Name,GanttView[[#This Row],[_Row]])="",TRUE()),FALSE(),INDEX(tsk_IsSummary,GanttView[[#This Row],[_Row]]))</f>
        <v>0</v>
      </c>
      <c r="O156" s="95" t="b">
        <f aca="false">IF(IFERROR(INDEX(tsk_Name,GanttView[[#This Row],[_Row]])="",TRUE()),FALSE(),AND(INDEX(tsk_IsLeaf,GanttView[[#This Row],[_Row]])=1,N(INDEX(tsk_Duration,GanttView[[#This Row],[_Row]]))=0))</f>
        <v>0</v>
      </c>
      <c r="P156" s="96" t="n">
        <f aca="false">IF(IFERROR(INDEX(tsk_Name,GanttView[[#This Row],[_Row]])="",TRUE()),0,IF(AND(INDEX(tsk_IsLeaf,GanttView[[#This Row],[_Row]])=1,NOT(GanttView[[#This Row],[_IsMilestone]]),N(GanttView[[#This Row],[%]])&gt;0),GanttView[[#This Row],[Start]],0))</f>
        <v>0</v>
      </c>
      <c r="Q156" s="96" t="n">
        <f aca="false">IF(GanttView[[#This Row],[_DoneFrom]]=0,0,IF(GanttView[[#This Row],[%]]&gt;=1,GanttView[[#This Row],[Finish]],MAX(GanttView[[#This Row],[_DoneFrom]],GanttView[[#This Row],[Start]]+ROUND((GanttView[[#This Row],[Finish]]-GanttView[[#This Row],[Start]]+1)*GanttView[[#This Row],[%]],0)-1)))</f>
        <v>0</v>
      </c>
      <c r="R156" s="96" t="n">
        <f aca="false">IF(IFERROR(INDEX(tsk_Name,GanttView[[#This Row],[_Row]])="",TRUE()),0,IF(OR(INDEX(tsk_IsLeaf,GanttView[[#This Row],[_Row]])&lt;&gt;1,GanttView[[#This Row],[_IsMilestone]],N(GanttView[[#This Row],[%]])&gt;=1),0,IF(GanttView[[#This Row],[_DoneTo]]&gt;0,GanttView[[#This Row],[_DoneTo]]+1,GanttView[[#This Row],[Start]])))</f>
        <v>0</v>
      </c>
      <c r="S156" s="96" t="n">
        <f aca="false">IF(GanttView[[#This Row],[_RemFrom]]=0,0,GanttView[[#This Row],[Finish]])</f>
        <v>0</v>
      </c>
      <c r="T156" s="95" t="b">
        <f aca="false">IF(IFERROR(INDEX(tsk_Name,GanttView[[#This Row],[_Row]])="",TRUE()),FALSE(),N(INDEX(tsk_Variance,GanttView[[#This Row],[_Row]]))&gt;0)</f>
        <v>0</v>
      </c>
      <c r="U156" s="96" t="n">
        <f aca="false">IF(IFERROR(INDEX(tsk_Name,GanttView[[#This Row],[_Row]])="",TRUE()),0,N(INDEX(tsk_Deadline,GanttView[[#This Row],[_Row]])))</f>
        <v>0</v>
      </c>
      <c r="V156" s="95" t="b">
        <f aca="false">IF(IFERROR(INDEX(tsk_Name,GanttView[[#This Row],[_Row]])="",TRUE()),FALSE(),INDEX(tsk_Critical,GanttView[[#This Row],[_Row]])="Yes")</f>
        <v>0</v>
      </c>
    </row>
    <row r="157" customFormat="false" ht="15" hidden="false" customHeight="false" outlineLevel="0" collapsed="false">
      <c r="A157" s="89" t="str">
        <f aca="false">IF(IFERROR(INDEX(tsk_Name,GanttView[[#This Row],[_Row]])="",TRUE()),"",INDEX(tsk_ID,GanttView[[#This Row],[_Row]]))</f>
        <v/>
      </c>
      <c r="B157" s="90" t="str">
        <f aca="false">IF(IFERROR(INDEX(tsk_Name,GanttView[[#This Row],[_Row]])="",TRUE()),"",REPT("    ",INDEX(tsk_Level,GanttView[[#This Row],[_Row]])-1)&amp;INDEX(tsk_Name,GanttView[[#This Row],[_Row]]))</f>
        <v/>
      </c>
      <c r="C157" s="91" t="str">
        <f aca="false">IF(IFERROR(INDEX(tsk_Name,GanttView[[#This Row],[_Row]])="",TRUE()),"",INDEX(tsk_FcStart,GanttView[[#This Row],[_Row]]))</f>
        <v/>
      </c>
      <c r="D157" s="91" t="str">
        <f aca="false">IF(IFERROR(INDEX(tsk_Name,GanttView[[#This Row],[_Row]])="",TRUE()),"",INDEX(tsk_FcFinish,GanttView[[#This Row],[_Row]]))</f>
        <v/>
      </c>
      <c r="E157" s="92" t="str">
        <f aca="false">IF(IFERROR(INDEX(tsk_Name,GanttView[[#This Row],[_Row]])="",TRUE()),"",INDEX(tsk_Progress,GanttView[[#This Row],[_Row]]))</f>
        <v/>
      </c>
      <c r="F157" s="90" t="str">
        <f aca="false">IF(IFERROR(INDEX(tsk_Name,GanttView[[#This Row],[_Row]])="",TRUE()),"",INDEX(tsk_ResourceNames,GanttView[[#This Row],[_Row]])&amp;"")</f>
        <v/>
      </c>
      <c r="G157" s="89" t="str">
        <f aca="false">IF(IFERROR(INDEX(tsk_Name,GanttView[[#This Row],[_Row]])="",TRUE()),"",INDEX(tsk_WBS,GanttView[[#This Row],[_Row]]))</f>
        <v/>
      </c>
      <c r="H157" s="89" t="str">
        <f aca="false">IF(IFERROR(INDEX(tsk_Name,GanttView[[#This Row],[_Row]])="",TRUE()),"",IF(INDEX(tsk_IsSummary,GanttView[[#This Row],[_Row]]),NETWORKDAYS.INTL(INDEX(tsk_FcStart,GanttView[[#This Row],[_Row]]),INDEX(tsk_FcFinish,GanttView[[#This Row],[_Row]]),WorkWeek,Holidays),N(INDEX(tsk_Duration,GanttView[[#This Row],[_Row]]))))</f>
        <v/>
      </c>
      <c r="I157" s="91" t="str">
        <f aca="false">IF(IFERROR(INDEX(tsk_Name,GanttView[[#This Row],[_Row]])="",TRUE()),"",INDEX(tsk_PlanStart,GanttView[[#This Row],[_Row]]))</f>
        <v/>
      </c>
      <c r="J157" s="91" t="str">
        <f aca="false">IF(IFERROR(INDEX(tsk_Name,GanttView[[#This Row],[_Row]])="",TRUE()),"",INDEX(tsk_PlanFinish,GanttView[[#This Row],[_Row]]))</f>
        <v/>
      </c>
      <c r="K157" s="93" t="str">
        <f aca="false">IF(IFERROR(INDEX(tsk_Name,GanttView[[#This Row],[_Row]])="",TRUE()),"",INDEX(tsk_Status,GanttView[[#This Row],[_Row]]))</f>
        <v/>
      </c>
      <c r="L157" s="93" t="str">
        <f aca="false">IF(IFERROR(INDEX(tsk_Name,GanttView[[#This Row],[_Row]])="",TRUE()),"",INDEX(tsk_Show,GanttView[[#This Row],[_Row]])&amp;"")</f>
        <v/>
      </c>
      <c r="M157" s="94" t="n">
        <f aca="false">ROW()-ROW(GanttView[[#Headers],[ID]])</f>
        <v>152</v>
      </c>
      <c r="N157" s="95" t="b">
        <f aca="false">IF(IFERROR(INDEX(tsk_Name,GanttView[[#This Row],[_Row]])="",TRUE()),FALSE(),INDEX(tsk_IsSummary,GanttView[[#This Row],[_Row]]))</f>
        <v>0</v>
      </c>
      <c r="O157" s="95" t="b">
        <f aca="false">IF(IFERROR(INDEX(tsk_Name,GanttView[[#This Row],[_Row]])="",TRUE()),FALSE(),AND(INDEX(tsk_IsLeaf,GanttView[[#This Row],[_Row]])=1,N(INDEX(tsk_Duration,GanttView[[#This Row],[_Row]]))=0))</f>
        <v>0</v>
      </c>
      <c r="P157" s="96" t="n">
        <f aca="false">IF(IFERROR(INDEX(tsk_Name,GanttView[[#This Row],[_Row]])="",TRUE()),0,IF(AND(INDEX(tsk_IsLeaf,GanttView[[#This Row],[_Row]])=1,NOT(GanttView[[#This Row],[_IsMilestone]]),N(GanttView[[#This Row],[%]])&gt;0),GanttView[[#This Row],[Start]],0))</f>
        <v>0</v>
      </c>
      <c r="Q157" s="96" t="n">
        <f aca="false">IF(GanttView[[#This Row],[_DoneFrom]]=0,0,IF(GanttView[[#This Row],[%]]&gt;=1,GanttView[[#This Row],[Finish]],MAX(GanttView[[#This Row],[_DoneFrom]],GanttView[[#This Row],[Start]]+ROUND((GanttView[[#This Row],[Finish]]-GanttView[[#This Row],[Start]]+1)*GanttView[[#This Row],[%]],0)-1)))</f>
        <v>0</v>
      </c>
      <c r="R157" s="96" t="n">
        <f aca="false">IF(IFERROR(INDEX(tsk_Name,GanttView[[#This Row],[_Row]])="",TRUE()),0,IF(OR(INDEX(tsk_IsLeaf,GanttView[[#This Row],[_Row]])&lt;&gt;1,GanttView[[#This Row],[_IsMilestone]],N(GanttView[[#This Row],[%]])&gt;=1),0,IF(GanttView[[#This Row],[_DoneTo]]&gt;0,GanttView[[#This Row],[_DoneTo]]+1,GanttView[[#This Row],[Start]])))</f>
        <v>0</v>
      </c>
      <c r="S157" s="96" t="n">
        <f aca="false">IF(GanttView[[#This Row],[_RemFrom]]=0,0,GanttView[[#This Row],[Finish]])</f>
        <v>0</v>
      </c>
      <c r="T157" s="95" t="b">
        <f aca="false">IF(IFERROR(INDEX(tsk_Name,GanttView[[#This Row],[_Row]])="",TRUE()),FALSE(),N(INDEX(tsk_Variance,GanttView[[#This Row],[_Row]]))&gt;0)</f>
        <v>0</v>
      </c>
      <c r="U157" s="96" t="n">
        <f aca="false">IF(IFERROR(INDEX(tsk_Name,GanttView[[#This Row],[_Row]])="",TRUE()),0,N(INDEX(tsk_Deadline,GanttView[[#This Row],[_Row]])))</f>
        <v>0</v>
      </c>
      <c r="V157" s="95" t="b">
        <f aca="false">IF(IFERROR(INDEX(tsk_Name,GanttView[[#This Row],[_Row]])="",TRUE()),FALSE(),INDEX(tsk_Critical,GanttView[[#This Row],[_Row]])="Yes")</f>
        <v>0</v>
      </c>
    </row>
    <row r="158" customFormat="false" ht="15" hidden="false" customHeight="false" outlineLevel="0" collapsed="false">
      <c r="A158" s="89" t="str">
        <f aca="false">IF(IFERROR(INDEX(tsk_Name,GanttView[[#This Row],[_Row]])="",TRUE()),"",INDEX(tsk_ID,GanttView[[#This Row],[_Row]]))</f>
        <v/>
      </c>
      <c r="B158" s="90" t="str">
        <f aca="false">IF(IFERROR(INDEX(tsk_Name,GanttView[[#This Row],[_Row]])="",TRUE()),"",REPT("    ",INDEX(tsk_Level,GanttView[[#This Row],[_Row]])-1)&amp;INDEX(tsk_Name,GanttView[[#This Row],[_Row]]))</f>
        <v/>
      </c>
      <c r="C158" s="91" t="str">
        <f aca="false">IF(IFERROR(INDEX(tsk_Name,GanttView[[#This Row],[_Row]])="",TRUE()),"",INDEX(tsk_FcStart,GanttView[[#This Row],[_Row]]))</f>
        <v/>
      </c>
      <c r="D158" s="91" t="str">
        <f aca="false">IF(IFERROR(INDEX(tsk_Name,GanttView[[#This Row],[_Row]])="",TRUE()),"",INDEX(tsk_FcFinish,GanttView[[#This Row],[_Row]]))</f>
        <v/>
      </c>
      <c r="E158" s="92" t="str">
        <f aca="false">IF(IFERROR(INDEX(tsk_Name,GanttView[[#This Row],[_Row]])="",TRUE()),"",INDEX(tsk_Progress,GanttView[[#This Row],[_Row]]))</f>
        <v/>
      </c>
      <c r="F158" s="90" t="str">
        <f aca="false">IF(IFERROR(INDEX(tsk_Name,GanttView[[#This Row],[_Row]])="",TRUE()),"",INDEX(tsk_ResourceNames,GanttView[[#This Row],[_Row]])&amp;"")</f>
        <v/>
      </c>
      <c r="G158" s="89" t="str">
        <f aca="false">IF(IFERROR(INDEX(tsk_Name,GanttView[[#This Row],[_Row]])="",TRUE()),"",INDEX(tsk_WBS,GanttView[[#This Row],[_Row]]))</f>
        <v/>
      </c>
      <c r="H158" s="89" t="str">
        <f aca="false">IF(IFERROR(INDEX(tsk_Name,GanttView[[#This Row],[_Row]])="",TRUE()),"",IF(INDEX(tsk_IsSummary,GanttView[[#This Row],[_Row]]),NETWORKDAYS.INTL(INDEX(tsk_FcStart,GanttView[[#This Row],[_Row]]),INDEX(tsk_FcFinish,GanttView[[#This Row],[_Row]]),WorkWeek,Holidays),N(INDEX(tsk_Duration,GanttView[[#This Row],[_Row]]))))</f>
        <v/>
      </c>
      <c r="I158" s="91" t="str">
        <f aca="false">IF(IFERROR(INDEX(tsk_Name,GanttView[[#This Row],[_Row]])="",TRUE()),"",INDEX(tsk_PlanStart,GanttView[[#This Row],[_Row]]))</f>
        <v/>
      </c>
      <c r="J158" s="91" t="str">
        <f aca="false">IF(IFERROR(INDEX(tsk_Name,GanttView[[#This Row],[_Row]])="",TRUE()),"",INDEX(tsk_PlanFinish,GanttView[[#This Row],[_Row]]))</f>
        <v/>
      </c>
      <c r="K158" s="93" t="str">
        <f aca="false">IF(IFERROR(INDEX(tsk_Name,GanttView[[#This Row],[_Row]])="",TRUE()),"",INDEX(tsk_Status,GanttView[[#This Row],[_Row]]))</f>
        <v/>
      </c>
      <c r="L158" s="93" t="str">
        <f aca="false">IF(IFERROR(INDEX(tsk_Name,GanttView[[#This Row],[_Row]])="",TRUE()),"",INDEX(tsk_Show,GanttView[[#This Row],[_Row]])&amp;"")</f>
        <v/>
      </c>
      <c r="M158" s="94" t="n">
        <f aca="false">ROW()-ROW(GanttView[[#Headers],[ID]])</f>
        <v>153</v>
      </c>
      <c r="N158" s="95" t="b">
        <f aca="false">IF(IFERROR(INDEX(tsk_Name,GanttView[[#This Row],[_Row]])="",TRUE()),FALSE(),INDEX(tsk_IsSummary,GanttView[[#This Row],[_Row]]))</f>
        <v>0</v>
      </c>
      <c r="O158" s="95" t="b">
        <f aca="false">IF(IFERROR(INDEX(tsk_Name,GanttView[[#This Row],[_Row]])="",TRUE()),FALSE(),AND(INDEX(tsk_IsLeaf,GanttView[[#This Row],[_Row]])=1,N(INDEX(tsk_Duration,GanttView[[#This Row],[_Row]]))=0))</f>
        <v>0</v>
      </c>
      <c r="P158" s="96" t="n">
        <f aca="false">IF(IFERROR(INDEX(tsk_Name,GanttView[[#This Row],[_Row]])="",TRUE()),0,IF(AND(INDEX(tsk_IsLeaf,GanttView[[#This Row],[_Row]])=1,NOT(GanttView[[#This Row],[_IsMilestone]]),N(GanttView[[#This Row],[%]])&gt;0),GanttView[[#This Row],[Start]],0))</f>
        <v>0</v>
      </c>
      <c r="Q158" s="96" t="n">
        <f aca="false">IF(GanttView[[#This Row],[_DoneFrom]]=0,0,IF(GanttView[[#This Row],[%]]&gt;=1,GanttView[[#This Row],[Finish]],MAX(GanttView[[#This Row],[_DoneFrom]],GanttView[[#This Row],[Start]]+ROUND((GanttView[[#This Row],[Finish]]-GanttView[[#This Row],[Start]]+1)*GanttView[[#This Row],[%]],0)-1)))</f>
        <v>0</v>
      </c>
      <c r="R158" s="96" t="n">
        <f aca="false">IF(IFERROR(INDEX(tsk_Name,GanttView[[#This Row],[_Row]])="",TRUE()),0,IF(OR(INDEX(tsk_IsLeaf,GanttView[[#This Row],[_Row]])&lt;&gt;1,GanttView[[#This Row],[_IsMilestone]],N(GanttView[[#This Row],[%]])&gt;=1),0,IF(GanttView[[#This Row],[_DoneTo]]&gt;0,GanttView[[#This Row],[_DoneTo]]+1,GanttView[[#This Row],[Start]])))</f>
        <v>0</v>
      </c>
      <c r="S158" s="96" t="n">
        <f aca="false">IF(GanttView[[#This Row],[_RemFrom]]=0,0,GanttView[[#This Row],[Finish]])</f>
        <v>0</v>
      </c>
      <c r="T158" s="95" t="b">
        <f aca="false">IF(IFERROR(INDEX(tsk_Name,GanttView[[#This Row],[_Row]])="",TRUE()),FALSE(),N(INDEX(tsk_Variance,GanttView[[#This Row],[_Row]]))&gt;0)</f>
        <v>0</v>
      </c>
      <c r="U158" s="96" t="n">
        <f aca="false">IF(IFERROR(INDEX(tsk_Name,GanttView[[#This Row],[_Row]])="",TRUE()),0,N(INDEX(tsk_Deadline,GanttView[[#This Row],[_Row]])))</f>
        <v>0</v>
      </c>
      <c r="V158" s="95" t="b">
        <f aca="false">IF(IFERROR(INDEX(tsk_Name,GanttView[[#This Row],[_Row]])="",TRUE()),FALSE(),INDEX(tsk_Critical,GanttView[[#This Row],[_Row]])="Yes")</f>
        <v>0</v>
      </c>
    </row>
    <row r="159" customFormat="false" ht="15" hidden="false" customHeight="false" outlineLevel="0" collapsed="false">
      <c r="A159" s="89" t="str">
        <f aca="false">IF(IFERROR(INDEX(tsk_Name,GanttView[[#This Row],[_Row]])="",TRUE()),"",INDEX(tsk_ID,GanttView[[#This Row],[_Row]]))</f>
        <v/>
      </c>
      <c r="B159" s="90" t="str">
        <f aca="false">IF(IFERROR(INDEX(tsk_Name,GanttView[[#This Row],[_Row]])="",TRUE()),"",REPT("    ",INDEX(tsk_Level,GanttView[[#This Row],[_Row]])-1)&amp;INDEX(tsk_Name,GanttView[[#This Row],[_Row]]))</f>
        <v/>
      </c>
      <c r="C159" s="91" t="str">
        <f aca="false">IF(IFERROR(INDEX(tsk_Name,GanttView[[#This Row],[_Row]])="",TRUE()),"",INDEX(tsk_FcStart,GanttView[[#This Row],[_Row]]))</f>
        <v/>
      </c>
      <c r="D159" s="91" t="str">
        <f aca="false">IF(IFERROR(INDEX(tsk_Name,GanttView[[#This Row],[_Row]])="",TRUE()),"",INDEX(tsk_FcFinish,GanttView[[#This Row],[_Row]]))</f>
        <v/>
      </c>
      <c r="E159" s="92" t="str">
        <f aca="false">IF(IFERROR(INDEX(tsk_Name,GanttView[[#This Row],[_Row]])="",TRUE()),"",INDEX(tsk_Progress,GanttView[[#This Row],[_Row]]))</f>
        <v/>
      </c>
      <c r="F159" s="90" t="str">
        <f aca="false">IF(IFERROR(INDEX(tsk_Name,GanttView[[#This Row],[_Row]])="",TRUE()),"",INDEX(tsk_ResourceNames,GanttView[[#This Row],[_Row]])&amp;"")</f>
        <v/>
      </c>
      <c r="G159" s="89" t="str">
        <f aca="false">IF(IFERROR(INDEX(tsk_Name,GanttView[[#This Row],[_Row]])="",TRUE()),"",INDEX(tsk_WBS,GanttView[[#This Row],[_Row]]))</f>
        <v/>
      </c>
      <c r="H159" s="89" t="str">
        <f aca="false">IF(IFERROR(INDEX(tsk_Name,GanttView[[#This Row],[_Row]])="",TRUE()),"",IF(INDEX(tsk_IsSummary,GanttView[[#This Row],[_Row]]),NETWORKDAYS.INTL(INDEX(tsk_FcStart,GanttView[[#This Row],[_Row]]),INDEX(tsk_FcFinish,GanttView[[#This Row],[_Row]]),WorkWeek,Holidays),N(INDEX(tsk_Duration,GanttView[[#This Row],[_Row]]))))</f>
        <v/>
      </c>
      <c r="I159" s="91" t="str">
        <f aca="false">IF(IFERROR(INDEX(tsk_Name,GanttView[[#This Row],[_Row]])="",TRUE()),"",INDEX(tsk_PlanStart,GanttView[[#This Row],[_Row]]))</f>
        <v/>
      </c>
      <c r="J159" s="91" t="str">
        <f aca="false">IF(IFERROR(INDEX(tsk_Name,GanttView[[#This Row],[_Row]])="",TRUE()),"",INDEX(tsk_PlanFinish,GanttView[[#This Row],[_Row]]))</f>
        <v/>
      </c>
      <c r="K159" s="93" t="str">
        <f aca="false">IF(IFERROR(INDEX(tsk_Name,GanttView[[#This Row],[_Row]])="",TRUE()),"",INDEX(tsk_Status,GanttView[[#This Row],[_Row]]))</f>
        <v/>
      </c>
      <c r="L159" s="93" t="str">
        <f aca="false">IF(IFERROR(INDEX(tsk_Name,GanttView[[#This Row],[_Row]])="",TRUE()),"",INDEX(tsk_Show,GanttView[[#This Row],[_Row]])&amp;"")</f>
        <v/>
      </c>
      <c r="M159" s="94" t="n">
        <f aca="false">ROW()-ROW(GanttView[[#Headers],[ID]])</f>
        <v>154</v>
      </c>
      <c r="N159" s="95" t="b">
        <f aca="false">IF(IFERROR(INDEX(tsk_Name,GanttView[[#This Row],[_Row]])="",TRUE()),FALSE(),INDEX(tsk_IsSummary,GanttView[[#This Row],[_Row]]))</f>
        <v>0</v>
      </c>
      <c r="O159" s="95" t="b">
        <f aca="false">IF(IFERROR(INDEX(tsk_Name,GanttView[[#This Row],[_Row]])="",TRUE()),FALSE(),AND(INDEX(tsk_IsLeaf,GanttView[[#This Row],[_Row]])=1,N(INDEX(tsk_Duration,GanttView[[#This Row],[_Row]]))=0))</f>
        <v>0</v>
      </c>
      <c r="P159" s="96" t="n">
        <f aca="false">IF(IFERROR(INDEX(tsk_Name,GanttView[[#This Row],[_Row]])="",TRUE()),0,IF(AND(INDEX(tsk_IsLeaf,GanttView[[#This Row],[_Row]])=1,NOT(GanttView[[#This Row],[_IsMilestone]]),N(GanttView[[#This Row],[%]])&gt;0),GanttView[[#This Row],[Start]],0))</f>
        <v>0</v>
      </c>
      <c r="Q159" s="96" t="n">
        <f aca="false">IF(GanttView[[#This Row],[_DoneFrom]]=0,0,IF(GanttView[[#This Row],[%]]&gt;=1,GanttView[[#This Row],[Finish]],MAX(GanttView[[#This Row],[_DoneFrom]],GanttView[[#This Row],[Start]]+ROUND((GanttView[[#This Row],[Finish]]-GanttView[[#This Row],[Start]]+1)*GanttView[[#This Row],[%]],0)-1)))</f>
        <v>0</v>
      </c>
      <c r="R159" s="96" t="n">
        <f aca="false">IF(IFERROR(INDEX(tsk_Name,GanttView[[#This Row],[_Row]])="",TRUE()),0,IF(OR(INDEX(tsk_IsLeaf,GanttView[[#This Row],[_Row]])&lt;&gt;1,GanttView[[#This Row],[_IsMilestone]],N(GanttView[[#This Row],[%]])&gt;=1),0,IF(GanttView[[#This Row],[_DoneTo]]&gt;0,GanttView[[#This Row],[_DoneTo]]+1,GanttView[[#This Row],[Start]])))</f>
        <v>0</v>
      </c>
      <c r="S159" s="96" t="n">
        <f aca="false">IF(GanttView[[#This Row],[_RemFrom]]=0,0,GanttView[[#This Row],[Finish]])</f>
        <v>0</v>
      </c>
      <c r="T159" s="95" t="b">
        <f aca="false">IF(IFERROR(INDEX(tsk_Name,GanttView[[#This Row],[_Row]])="",TRUE()),FALSE(),N(INDEX(tsk_Variance,GanttView[[#This Row],[_Row]]))&gt;0)</f>
        <v>0</v>
      </c>
      <c r="U159" s="96" t="n">
        <f aca="false">IF(IFERROR(INDEX(tsk_Name,GanttView[[#This Row],[_Row]])="",TRUE()),0,N(INDEX(tsk_Deadline,GanttView[[#This Row],[_Row]])))</f>
        <v>0</v>
      </c>
      <c r="V159" s="95" t="b">
        <f aca="false">IF(IFERROR(INDEX(tsk_Name,GanttView[[#This Row],[_Row]])="",TRUE()),FALSE(),INDEX(tsk_Critical,GanttView[[#This Row],[_Row]])="Yes")</f>
        <v>0</v>
      </c>
    </row>
    <row r="160" customFormat="false" ht="15" hidden="false" customHeight="false" outlineLevel="0" collapsed="false">
      <c r="A160" s="89" t="str">
        <f aca="false">IF(IFERROR(INDEX(tsk_Name,GanttView[[#This Row],[_Row]])="",TRUE()),"",INDEX(tsk_ID,GanttView[[#This Row],[_Row]]))</f>
        <v/>
      </c>
      <c r="B160" s="90" t="str">
        <f aca="false">IF(IFERROR(INDEX(tsk_Name,GanttView[[#This Row],[_Row]])="",TRUE()),"",REPT("    ",INDEX(tsk_Level,GanttView[[#This Row],[_Row]])-1)&amp;INDEX(tsk_Name,GanttView[[#This Row],[_Row]]))</f>
        <v/>
      </c>
      <c r="C160" s="91" t="str">
        <f aca="false">IF(IFERROR(INDEX(tsk_Name,GanttView[[#This Row],[_Row]])="",TRUE()),"",INDEX(tsk_FcStart,GanttView[[#This Row],[_Row]]))</f>
        <v/>
      </c>
      <c r="D160" s="91" t="str">
        <f aca="false">IF(IFERROR(INDEX(tsk_Name,GanttView[[#This Row],[_Row]])="",TRUE()),"",INDEX(tsk_FcFinish,GanttView[[#This Row],[_Row]]))</f>
        <v/>
      </c>
      <c r="E160" s="92" t="str">
        <f aca="false">IF(IFERROR(INDEX(tsk_Name,GanttView[[#This Row],[_Row]])="",TRUE()),"",INDEX(tsk_Progress,GanttView[[#This Row],[_Row]]))</f>
        <v/>
      </c>
      <c r="F160" s="90" t="str">
        <f aca="false">IF(IFERROR(INDEX(tsk_Name,GanttView[[#This Row],[_Row]])="",TRUE()),"",INDEX(tsk_ResourceNames,GanttView[[#This Row],[_Row]])&amp;"")</f>
        <v/>
      </c>
      <c r="G160" s="89" t="str">
        <f aca="false">IF(IFERROR(INDEX(tsk_Name,GanttView[[#This Row],[_Row]])="",TRUE()),"",INDEX(tsk_WBS,GanttView[[#This Row],[_Row]]))</f>
        <v/>
      </c>
      <c r="H160" s="89" t="str">
        <f aca="false">IF(IFERROR(INDEX(tsk_Name,GanttView[[#This Row],[_Row]])="",TRUE()),"",IF(INDEX(tsk_IsSummary,GanttView[[#This Row],[_Row]]),NETWORKDAYS.INTL(INDEX(tsk_FcStart,GanttView[[#This Row],[_Row]]),INDEX(tsk_FcFinish,GanttView[[#This Row],[_Row]]),WorkWeek,Holidays),N(INDEX(tsk_Duration,GanttView[[#This Row],[_Row]]))))</f>
        <v/>
      </c>
      <c r="I160" s="91" t="str">
        <f aca="false">IF(IFERROR(INDEX(tsk_Name,GanttView[[#This Row],[_Row]])="",TRUE()),"",INDEX(tsk_PlanStart,GanttView[[#This Row],[_Row]]))</f>
        <v/>
      </c>
      <c r="J160" s="91" t="str">
        <f aca="false">IF(IFERROR(INDEX(tsk_Name,GanttView[[#This Row],[_Row]])="",TRUE()),"",INDEX(tsk_PlanFinish,GanttView[[#This Row],[_Row]]))</f>
        <v/>
      </c>
      <c r="K160" s="93" t="str">
        <f aca="false">IF(IFERROR(INDEX(tsk_Name,GanttView[[#This Row],[_Row]])="",TRUE()),"",INDEX(tsk_Status,GanttView[[#This Row],[_Row]]))</f>
        <v/>
      </c>
      <c r="L160" s="93" t="str">
        <f aca="false">IF(IFERROR(INDEX(tsk_Name,GanttView[[#This Row],[_Row]])="",TRUE()),"",INDEX(tsk_Show,GanttView[[#This Row],[_Row]])&amp;"")</f>
        <v/>
      </c>
      <c r="M160" s="94" t="n">
        <f aca="false">ROW()-ROW(GanttView[[#Headers],[ID]])</f>
        <v>155</v>
      </c>
      <c r="N160" s="95" t="b">
        <f aca="false">IF(IFERROR(INDEX(tsk_Name,GanttView[[#This Row],[_Row]])="",TRUE()),FALSE(),INDEX(tsk_IsSummary,GanttView[[#This Row],[_Row]]))</f>
        <v>0</v>
      </c>
      <c r="O160" s="95" t="b">
        <f aca="false">IF(IFERROR(INDEX(tsk_Name,GanttView[[#This Row],[_Row]])="",TRUE()),FALSE(),AND(INDEX(tsk_IsLeaf,GanttView[[#This Row],[_Row]])=1,N(INDEX(tsk_Duration,GanttView[[#This Row],[_Row]]))=0))</f>
        <v>0</v>
      </c>
      <c r="P160" s="96" t="n">
        <f aca="false">IF(IFERROR(INDEX(tsk_Name,GanttView[[#This Row],[_Row]])="",TRUE()),0,IF(AND(INDEX(tsk_IsLeaf,GanttView[[#This Row],[_Row]])=1,NOT(GanttView[[#This Row],[_IsMilestone]]),N(GanttView[[#This Row],[%]])&gt;0),GanttView[[#This Row],[Start]],0))</f>
        <v>0</v>
      </c>
      <c r="Q160" s="96" t="n">
        <f aca="false">IF(GanttView[[#This Row],[_DoneFrom]]=0,0,IF(GanttView[[#This Row],[%]]&gt;=1,GanttView[[#This Row],[Finish]],MAX(GanttView[[#This Row],[_DoneFrom]],GanttView[[#This Row],[Start]]+ROUND((GanttView[[#This Row],[Finish]]-GanttView[[#This Row],[Start]]+1)*GanttView[[#This Row],[%]],0)-1)))</f>
        <v>0</v>
      </c>
      <c r="R160" s="96" t="n">
        <f aca="false">IF(IFERROR(INDEX(tsk_Name,GanttView[[#This Row],[_Row]])="",TRUE()),0,IF(OR(INDEX(tsk_IsLeaf,GanttView[[#This Row],[_Row]])&lt;&gt;1,GanttView[[#This Row],[_IsMilestone]],N(GanttView[[#This Row],[%]])&gt;=1),0,IF(GanttView[[#This Row],[_DoneTo]]&gt;0,GanttView[[#This Row],[_DoneTo]]+1,GanttView[[#This Row],[Start]])))</f>
        <v>0</v>
      </c>
      <c r="S160" s="96" t="n">
        <f aca="false">IF(GanttView[[#This Row],[_RemFrom]]=0,0,GanttView[[#This Row],[Finish]])</f>
        <v>0</v>
      </c>
      <c r="T160" s="95" t="b">
        <f aca="false">IF(IFERROR(INDEX(tsk_Name,GanttView[[#This Row],[_Row]])="",TRUE()),FALSE(),N(INDEX(tsk_Variance,GanttView[[#This Row],[_Row]]))&gt;0)</f>
        <v>0</v>
      </c>
      <c r="U160" s="96" t="n">
        <f aca="false">IF(IFERROR(INDEX(tsk_Name,GanttView[[#This Row],[_Row]])="",TRUE()),0,N(INDEX(tsk_Deadline,GanttView[[#This Row],[_Row]])))</f>
        <v>0</v>
      </c>
      <c r="V160" s="95" t="b">
        <f aca="false">IF(IFERROR(INDEX(tsk_Name,GanttView[[#This Row],[_Row]])="",TRUE()),FALSE(),INDEX(tsk_Critical,GanttView[[#This Row],[_Row]])="Yes")</f>
        <v>0</v>
      </c>
    </row>
    <row r="161" customFormat="false" ht="15" hidden="false" customHeight="false" outlineLevel="0" collapsed="false">
      <c r="A161" s="89" t="str">
        <f aca="false">IF(IFERROR(INDEX(tsk_Name,GanttView[[#This Row],[_Row]])="",TRUE()),"",INDEX(tsk_ID,GanttView[[#This Row],[_Row]]))</f>
        <v/>
      </c>
      <c r="B161" s="90" t="str">
        <f aca="false">IF(IFERROR(INDEX(tsk_Name,GanttView[[#This Row],[_Row]])="",TRUE()),"",REPT("    ",INDEX(tsk_Level,GanttView[[#This Row],[_Row]])-1)&amp;INDEX(tsk_Name,GanttView[[#This Row],[_Row]]))</f>
        <v/>
      </c>
      <c r="C161" s="91" t="str">
        <f aca="false">IF(IFERROR(INDEX(tsk_Name,GanttView[[#This Row],[_Row]])="",TRUE()),"",INDEX(tsk_FcStart,GanttView[[#This Row],[_Row]]))</f>
        <v/>
      </c>
      <c r="D161" s="91" t="str">
        <f aca="false">IF(IFERROR(INDEX(tsk_Name,GanttView[[#This Row],[_Row]])="",TRUE()),"",INDEX(tsk_FcFinish,GanttView[[#This Row],[_Row]]))</f>
        <v/>
      </c>
      <c r="E161" s="92" t="str">
        <f aca="false">IF(IFERROR(INDEX(tsk_Name,GanttView[[#This Row],[_Row]])="",TRUE()),"",INDEX(tsk_Progress,GanttView[[#This Row],[_Row]]))</f>
        <v/>
      </c>
      <c r="F161" s="90" t="str">
        <f aca="false">IF(IFERROR(INDEX(tsk_Name,GanttView[[#This Row],[_Row]])="",TRUE()),"",INDEX(tsk_ResourceNames,GanttView[[#This Row],[_Row]])&amp;"")</f>
        <v/>
      </c>
      <c r="G161" s="89" t="str">
        <f aca="false">IF(IFERROR(INDEX(tsk_Name,GanttView[[#This Row],[_Row]])="",TRUE()),"",INDEX(tsk_WBS,GanttView[[#This Row],[_Row]]))</f>
        <v/>
      </c>
      <c r="H161" s="89" t="str">
        <f aca="false">IF(IFERROR(INDEX(tsk_Name,GanttView[[#This Row],[_Row]])="",TRUE()),"",IF(INDEX(tsk_IsSummary,GanttView[[#This Row],[_Row]]),NETWORKDAYS.INTL(INDEX(tsk_FcStart,GanttView[[#This Row],[_Row]]),INDEX(tsk_FcFinish,GanttView[[#This Row],[_Row]]),WorkWeek,Holidays),N(INDEX(tsk_Duration,GanttView[[#This Row],[_Row]]))))</f>
        <v/>
      </c>
      <c r="I161" s="91" t="str">
        <f aca="false">IF(IFERROR(INDEX(tsk_Name,GanttView[[#This Row],[_Row]])="",TRUE()),"",INDEX(tsk_PlanStart,GanttView[[#This Row],[_Row]]))</f>
        <v/>
      </c>
      <c r="J161" s="91" t="str">
        <f aca="false">IF(IFERROR(INDEX(tsk_Name,GanttView[[#This Row],[_Row]])="",TRUE()),"",INDEX(tsk_PlanFinish,GanttView[[#This Row],[_Row]]))</f>
        <v/>
      </c>
      <c r="K161" s="93" t="str">
        <f aca="false">IF(IFERROR(INDEX(tsk_Name,GanttView[[#This Row],[_Row]])="",TRUE()),"",INDEX(tsk_Status,GanttView[[#This Row],[_Row]]))</f>
        <v/>
      </c>
      <c r="L161" s="93" t="str">
        <f aca="false">IF(IFERROR(INDEX(tsk_Name,GanttView[[#This Row],[_Row]])="",TRUE()),"",INDEX(tsk_Show,GanttView[[#This Row],[_Row]])&amp;"")</f>
        <v/>
      </c>
      <c r="M161" s="94" t="n">
        <f aca="false">ROW()-ROW(GanttView[[#Headers],[ID]])</f>
        <v>156</v>
      </c>
      <c r="N161" s="95" t="b">
        <f aca="false">IF(IFERROR(INDEX(tsk_Name,GanttView[[#This Row],[_Row]])="",TRUE()),FALSE(),INDEX(tsk_IsSummary,GanttView[[#This Row],[_Row]]))</f>
        <v>0</v>
      </c>
      <c r="O161" s="95" t="b">
        <f aca="false">IF(IFERROR(INDEX(tsk_Name,GanttView[[#This Row],[_Row]])="",TRUE()),FALSE(),AND(INDEX(tsk_IsLeaf,GanttView[[#This Row],[_Row]])=1,N(INDEX(tsk_Duration,GanttView[[#This Row],[_Row]]))=0))</f>
        <v>0</v>
      </c>
      <c r="P161" s="96" t="n">
        <f aca="false">IF(IFERROR(INDEX(tsk_Name,GanttView[[#This Row],[_Row]])="",TRUE()),0,IF(AND(INDEX(tsk_IsLeaf,GanttView[[#This Row],[_Row]])=1,NOT(GanttView[[#This Row],[_IsMilestone]]),N(GanttView[[#This Row],[%]])&gt;0),GanttView[[#This Row],[Start]],0))</f>
        <v>0</v>
      </c>
      <c r="Q161" s="96" t="n">
        <f aca="false">IF(GanttView[[#This Row],[_DoneFrom]]=0,0,IF(GanttView[[#This Row],[%]]&gt;=1,GanttView[[#This Row],[Finish]],MAX(GanttView[[#This Row],[_DoneFrom]],GanttView[[#This Row],[Start]]+ROUND((GanttView[[#This Row],[Finish]]-GanttView[[#This Row],[Start]]+1)*GanttView[[#This Row],[%]],0)-1)))</f>
        <v>0</v>
      </c>
      <c r="R161" s="96" t="n">
        <f aca="false">IF(IFERROR(INDEX(tsk_Name,GanttView[[#This Row],[_Row]])="",TRUE()),0,IF(OR(INDEX(tsk_IsLeaf,GanttView[[#This Row],[_Row]])&lt;&gt;1,GanttView[[#This Row],[_IsMilestone]],N(GanttView[[#This Row],[%]])&gt;=1),0,IF(GanttView[[#This Row],[_DoneTo]]&gt;0,GanttView[[#This Row],[_DoneTo]]+1,GanttView[[#This Row],[Start]])))</f>
        <v>0</v>
      </c>
      <c r="S161" s="96" t="n">
        <f aca="false">IF(GanttView[[#This Row],[_RemFrom]]=0,0,GanttView[[#This Row],[Finish]])</f>
        <v>0</v>
      </c>
      <c r="T161" s="95" t="b">
        <f aca="false">IF(IFERROR(INDEX(tsk_Name,GanttView[[#This Row],[_Row]])="",TRUE()),FALSE(),N(INDEX(tsk_Variance,GanttView[[#This Row],[_Row]]))&gt;0)</f>
        <v>0</v>
      </c>
      <c r="U161" s="96" t="n">
        <f aca="false">IF(IFERROR(INDEX(tsk_Name,GanttView[[#This Row],[_Row]])="",TRUE()),0,N(INDEX(tsk_Deadline,GanttView[[#This Row],[_Row]])))</f>
        <v>0</v>
      </c>
      <c r="V161" s="95" t="b">
        <f aca="false">IF(IFERROR(INDEX(tsk_Name,GanttView[[#This Row],[_Row]])="",TRUE()),FALSE(),INDEX(tsk_Critical,GanttView[[#This Row],[_Row]])="Yes")</f>
        <v>0</v>
      </c>
    </row>
    <row r="162" customFormat="false" ht="15" hidden="false" customHeight="false" outlineLevel="0" collapsed="false">
      <c r="A162" s="89" t="str">
        <f aca="false">IF(IFERROR(INDEX(tsk_Name,GanttView[[#This Row],[_Row]])="",TRUE()),"",INDEX(tsk_ID,GanttView[[#This Row],[_Row]]))</f>
        <v/>
      </c>
      <c r="B162" s="90" t="str">
        <f aca="false">IF(IFERROR(INDEX(tsk_Name,GanttView[[#This Row],[_Row]])="",TRUE()),"",REPT("    ",INDEX(tsk_Level,GanttView[[#This Row],[_Row]])-1)&amp;INDEX(tsk_Name,GanttView[[#This Row],[_Row]]))</f>
        <v/>
      </c>
      <c r="C162" s="91" t="str">
        <f aca="false">IF(IFERROR(INDEX(tsk_Name,GanttView[[#This Row],[_Row]])="",TRUE()),"",INDEX(tsk_FcStart,GanttView[[#This Row],[_Row]]))</f>
        <v/>
      </c>
      <c r="D162" s="91" t="str">
        <f aca="false">IF(IFERROR(INDEX(tsk_Name,GanttView[[#This Row],[_Row]])="",TRUE()),"",INDEX(tsk_FcFinish,GanttView[[#This Row],[_Row]]))</f>
        <v/>
      </c>
      <c r="E162" s="92" t="str">
        <f aca="false">IF(IFERROR(INDEX(tsk_Name,GanttView[[#This Row],[_Row]])="",TRUE()),"",INDEX(tsk_Progress,GanttView[[#This Row],[_Row]]))</f>
        <v/>
      </c>
      <c r="F162" s="90" t="str">
        <f aca="false">IF(IFERROR(INDEX(tsk_Name,GanttView[[#This Row],[_Row]])="",TRUE()),"",INDEX(tsk_ResourceNames,GanttView[[#This Row],[_Row]])&amp;"")</f>
        <v/>
      </c>
      <c r="G162" s="89" t="str">
        <f aca="false">IF(IFERROR(INDEX(tsk_Name,GanttView[[#This Row],[_Row]])="",TRUE()),"",INDEX(tsk_WBS,GanttView[[#This Row],[_Row]]))</f>
        <v/>
      </c>
      <c r="H162" s="89" t="str">
        <f aca="false">IF(IFERROR(INDEX(tsk_Name,GanttView[[#This Row],[_Row]])="",TRUE()),"",IF(INDEX(tsk_IsSummary,GanttView[[#This Row],[_Row]]),NETWORKDAYS.INTL(INDEX(tsk_FcStart,GanttView[[#This Row],[_Row]]),INDEX(tsk_FcFinish,GanttView[[#This Row],[_Row]]),WorkWeek,Holidays),N(INDEX(tsk_Duration,GanttView[[#This Row],[_Row]]))))</f>
        <v/>
      </c>
      <c r="I162" s="91" t="str">
        <f aca="false">IF(IFERROR(INDEX(tsk_Name,GanttView[[#This Row],[_Row]])="",TRUE()),"",INDEX(tsk_PlanStart,GanttView[[#This Row],[_Row]]))</f>
        <v/>
      </c>
      <c r="J162" s="91" t="str">
        <f aca="false">IF(IFERROR(INDEX(tsk_Name,GanttView[[#This Row],[_Row]])="",TRUE()),"",INDEX(tsk_PlanFinish,GanttView[[#This Row],[_Row]]))</f>
        <v/>
      </c>
      <c r="K162" s="93" t="str">
        <f aca="false">IF(IFERROR(INDEX(tsk_Name,GanttView[[#This Row],[_Row]])="",TRUE()),"",INDEX(tsk_Status,GanttView[[#This Row],[_Row]]))</f>
        <v/>
      </c>
      <c r="L162" s="93" t="str">
        <f aca="false">IF(IFERROR(INDEX(tsk_Name,GanttView[[#This Row],[_Row]])="",TRUE()),"",INDEX(tsk_Show,GanttView[[#This Row],[_Row]])&amp;"")</f>
        <v/>
      </c>
      <c r="M162" s="94" t="n">
        <f aca="false">ROW()-ROW(GanttView[[#Headers],[ID]])</f>
        <v>157</v>
      </c>
      <c r="N162" s="95" t="b">
        <f aca="false">IF(IFERROR(INDEX(tsk_Name,GanttView[[#This Row],[_Row]])="",TRUE()),FALSE(),INDEX(tsk_IsSummary,GanttView[[#This Row],[_Row]]))</f>
        <v>0</v>
      </c>
      <c r="O162" s="95" t="b">
        <f aca="false">IF(IFERROR(INDEX(tsk_Name,GanttView[[#This Row],[_Row]])="",TRUE()),FALSE(),AND(INDEX(tsk_IsLeaf,GanttView[[#This Row],[_Row]])=1,N(INDEX(tsk_Duration,GanttView[[#This Row],[_Row]]))=0))</f>
        <v>0</v>
      </c>
      <c r="P162" s="96" t="n">
        <f aca="false">IF(IFERROR(INDEX(tsk_Name,GanttView[[#This Row],[_Row]])="",TRUE()),0,IF(AND(INDEX(tsk_IsLeaf,GanttView[[#This Row],[_Row]])=1,NOT(GanttView[[#This Row],[_IsMilestone]]),N(GanttView[[#This Row],[%]])&gt;0),GanttView[[#This Row],[Start]],0))</f>
        <v>0</v>
      </c>
      <c r="Q162" s="96" t="n">
        <f aca="false">IF(GanttView[[#This Row],[_DoneFrom]]=0,0,IF(GanttView[[#This Row],[%]]&gt;=1,GanttView[[#This Row],[Finish]],MAX(GanttView[[#This Row],[_DoneFrom]],GanttView[[#This Row],[Start]]+ROUND((GanttView[[#This Row],[Finish]]-GanttView[[#This Row],[Start]]+1)*GanttView[[#This Row],[%]],0)-1)))</f>
        <v>0</v>
      </c>
      <c r="R162" s="96" t="n">
        <f aca="false">IF(IFERROR(INDEX(tsk_Name,GanttView[[#This Row],[_Row]])="",TRUE()),0,IF(OR(INDEX(tsk_IsLeaf,GanttView[[#This Row],[_Row]])&lt;&gt;1,GanttView[[#This Row],[_IsMilestone]],N(GanttView[[#This Row],[%]])&gt;=1),0,IF(GanttView[[#This Row],[_DoneTo]]&gt;0,GanttView[[#This Row],[_DoneTo]]+1,GanttView[[#This Row],[Start]])))</f>
        <v>0</v>
      </c>
      <c r="S162" s="96" t="n">
        <f aca="false">IF(GanttView[[#This Row],[_RemFrom]]=0,0,GanttView[[#This Row],[Finish]])</f>
        <v>0</v>
      </c>
      <c r="T162" s="95" t="b">
        <f aca="false">IF(IFERROR(INDEX(tsk_Name,GanttView[[#This Row],[_Row]])="",TRUE()),FALSE(),N(INDEX(tsk_Variance,GanttView[[#This Row],[_Row]]))&gt;0)</f>
        <v>0</v>
      </c>
      <c r="U162" s="96" t="n">
        <f aca="false">IF(IFERROR(INDEX(tsk_Name,GanttView[[#This Row],[_Row]])="",TRUE()),0,N(INDEX(tsk_Deadline,GanttView[[#This Row],[_Row]])))</f>
        <v>0</v>
      </c>
      <c r="V162" s="95" t="b">
        <f aca="false">IF(IFERROR(INDEX(tsk_Name,GanttView[[#This Row],[_Row]])="",TRUE()),FALSE(),INDEX(tsk_Critical,GanttView[[#This Row],[_Row]])="Yes")</f>
        <v>0</v>
      </c>
    </row>
    <row r="163" customFormat="false" ht="15" hidden="false" customHeight="false" outlineLevel="0" collapsed="false">
      <c r="A163" s="89" t="str">
        <f aca="false">IF(IFERROR(INDEX(tsk_Name,GanttView[[#This Row],[_Row]])="",TRUE()),"",INDEX(tsk_ID,GanttView[[#This Row],[_Row]]))</f>
        <v/>
      </c>
      <c r="B163" s="90" t="str">
        <f aca="false">IF(IFERROR(INDEX(tsk_Name,GanttView[[#This Row],[_Row]])="",TRUE()),"",REPT("    ",INDEX(tsk_Level,GanttView[[#This Row],[_Row]])-1)&amp;INDEX(tsk_Name,GanttView[[#This Row],[_Row]]))</f>
        <v/>
      </c>
      <c r="C163" s="91" t="str">
        <f aca="false">IF(IFERROR(INDEX(tsk_Name,GanttView[[#This Row],[_Row]])="",TRUE()),"",INDEX(tsk_FcStart,GanttView[[#This Row],[_Row]]))</f>
        <v/>
      </c>
      <c r="D163" s="91" t="str">
        <f aca="false">IF(IFERROR(INDEX(tsk_Name,GanttView[[#This Row],[_Row]])="",TRUE()),"",INDEX(tsk_FcFinish,GanttView[[#This Row],[_Row]]))</f>
        <v/>
      </c>
      <c r="E163" s="92" t="str">
        <f aca="false">IF(IFERROR(INDEX(tsk_Name,GanttView[[#This Row],[_Row]])="",TRUE()),"",INDEX(tsk_Progress,GanttView[[#This Row],[_Row]]))</f>
        <v/>
      </c>
      <c r="F163" s="90" t="str">
        <f aca="false">IF(IFERROR(INDEX(tsk_Name,GanttView[[#This Row],[_Row]])="",TRUE()),"",INDEX(tsk_ResourceNames,GanttView[[#This Row],[_Row]])&amp;"")</f>
        <v/>
      </c>
      <c r="G163" s="89" t="str">
        <f aca="false">IF(IFERROR(INDEX(tsk_Name,GanttView[[#This Row],[_Row]])="",TRUE()),"",INDEX(tsk_WBS,GanttView[[#This Row],[_Row]]))</f>
        <v/>
      </c>
      <c r="H163" s="89" t="str">
        <f aca="false">IF(IFERROR(INDEX(tsk_Name,GanttView[[#This Row],[_Row]])="",TRUE()),"",IF(INDEX(tsk_IsSummary,GanttView[[#This Row],[_Row]]),NETWORKDAYS.INTL(INDEX(tsk_FcStart,GanttView[[#This Row],[_Row]]),INDEX(tsk_FcFinish,GanttView[[#This Row],[_Row]]),WorkWeek,Holidays),N(INDEX(tsk_Duration,GanttView[[#This Row],[_Row]]))))</f>
        <v/>
      </c>
      <c r="I163" s="91" t="str">
        <f aca="false">IF(IFERROR(INDEX(tsk_Name,GanttView[[#This Row],[_Row]])="",TRUE()),"",INDEX(tsk_PlanStart,GanttView[[#This Row],[_Row]]))</f>
        <v/>
      </c>
      <c r="J163" s="91" t="str">
        <f aca="false">IF(IFERROR(INDEX(tsk_Name,GanttView[[#This Row],[_Row]])="",TRUE()),"",INDEX(tsk_PlanFinish,GanttView[[#This Row],[_Row]]))</f>
        <v/>
      </c>
      <c r="K163" s="93" t="str">
        <f aca="false">IF(IFERROR(INDEX(tsk_Name,GanttView[[#This Row],[_Row]])="",TRUE()),"",INDEX(tsk_Status,GanttView[[#This Row],[_Row]]))</f>
        <v/>
      </c>
      <c r="L163" s="93" t="str">
        <f aca="false">IF(IFERROR(INDEX(tsk_Name,GanttView[[#This Row],[_Row]])="",TRUE()),"",INDEX(tsk_Show,GanttView[[#This Row],[_Row]])&amp;"")</f>
        <v/>
      </c>
      <c r="M163" s="94" t="n">
        <f aca="false">ROW()-ROW(GanttView[[#Headers],[ID]])</f>
        <v>158</v>
      </c>
      <c r="N163" s="95" t="b">
        <f aca="false">IF(IFERROR(INDEX(tsk_Name,GanttView[[#This Row],[_Row]])="",TRUE()),FALSE(),INDEX(tsk_IsSummary,GanttView[[#This Row],[_Row]]))</f>
        <v>0</v>
      </c>
      <c r="O163" s="95" t="b">
        <f aca="false">IF(IFERROR(INDEX(tsk_Name,GanttView[[#This Row],[_Row]])="",TRUE()),FALSE(),AND(INDEX(tsk_IsLeaf,GanttView[[#This Row],[_Row]])=1,N(INDEX(tsk_Duration,GanttView[[#This Row],[_Row]]))=0))</f>
        <v>0</v>
      </c>
      <c r="P163" s="96" t="n">
        <f aca="false">IF(IFERROR(INDEX(tsk_Name,GanttView[[#This Row],[_Row]])="",TRUE()),0,IF(AND(INDEX(tsk_IsLeaf,GanttView[[#This Row],[_Row]])=1,NOT(GanttView[[#This Row],[_IsMilestone]]),N(GanttView[[#This Row],[%]])&gt;0),GanttView[[#This Row],[Start]],0))</f>
        <v>0</v>
      </c>
      <c r="Q163" s="96" t="n">
        <f aca="false">IF(GanttView[[#This Row],[_DoneFrom]]=0,0,IF(GanttView[[#This Row],[%]]&gt;=1,GanttView[[#This Row],[Finish]],MAX(GanttView[[#This Row],[_DoneFrom]],GanttView[[#This Row],[Start]]+ROUND((GanttView[[#This Row],[Finish]]-GanttView[[#This Row],[Start]]+1)*GanttView[[#This Row],[%]],0)-1)))</f>
        <v>0</v>
      </c>
      <c r="R163" s="96" t="n">
        <f aca="false">IF(IFERROR(INDEX(tsk_Name,GanttView[[#This Row],[_Row]])="",TRUE()),0,IF(OR(INDEX(tsk_IsLeaf,GanttView[[#This Row],[_Row]])&lt;&gt;1,GanttView[[#This Row],[_IsMilestone]],N(GanttView[[#This Row],[%]])&gt;=1),0,IF(GanttView[[#This Row],[_DoneTo]]&gt;0,GanttView[[#This Row],[_DoneTo]]+1,GanttView[[#This Row],[Start]])))</f>
        <v>0</v>
      </c>
      <c r="S163" s="96" t="n">
        <f aca="false">IF(GanttView[[#This Row],[_RemFrom]]=0,0,GanttView[[#This Row],[Finish]])</f>
        <v>0</v>
      </c>
      <c r="T163" s="95" t="b">
        <f aca="false">IF(IFERROR(INDEX(tsk_Name,GanttView[[#This Row],[_Row]])="",TRUE()),FALSE(),N(INDEX(tsk_Variance,GanttView[[#This Row],[_Row]]))&gt;0)</f>
        <v>0</v>
      </c>
      <c r="U163" s="96" t="n">
        <f aca="false">IF(IFERROR(INDEX(tsk_Name,GanttView[[#This Row],[_Row]])="",TRUE()),0,N(INDEX(tsk_Deadline,GanttView[[#This Row],[_Row]])))</f>
        <v>0</v>
      </c>
      <c r="V163" s="95" t="b">
        <f aca="false">IF(IFERROR(INDEX(tsk_Name,GanttView[[#This Row],[_Row]])="",TRUE()),FALSE(),INDEX(tsk_Critical,GanttView[[#This Row],[_Row]])="Yes")</f>
        <v>0</v>
      </c>
    </row>
    <row r="164" customFormat="false" ht="15" hidden="false" customHeight="false" outlineLevel="0" collapsed="false">
      <c r="A164" s="89" t="str">
        <f aca="false">IF(IFERROR(INDEX(tsk_Name,GanttView[[#This Row],[_Row]])="",TRUE()),"",INDEX(tsk_ID,GanttView[[#This Row],[_Row]]))</f>
        <v/>
      </c>
      <c r="B164" s="90" t="str">
        <f aca="false">IF(IFERROR(INDEX(tsk_Name,GanttView[[#This Row],[_Row]])="",TRUE()),"",REPT("    ",INDEX(tsk_Level,GanttView[[#This Row],[_Row]])-1)&amp;INDEX(tsk_Name,GanttView[[#This Row],[_Row]]))</f>
        <v/>
      </c>
      <c r="C164" s="91" t="str">
        <f aca="false">IF(IFERROR(INDEX(tsk_Name,GanttView[[#This Row],[_Row]])="",TRUE()),"",INDEX(tsk_FcStart,GanttView[[#This Row],[_Row]]))</f>
        <v/>
      </c>
      <c r="D164" s="91" t="str">
        <f aca="false">IF(IFERROR(INDEX(tsk_Name,GanttView[[#This Row],[_Row]])="",TRUE()),"",INDEX(tsk_FcFinish,GanttView[[#This Row],[_Row]]))</f>
        <v/>
      </c>
      <c r="E164" s="92" t="str">
        <f aca="false">IF(IFERROR(INDEX(tsk_Name,GanttView[[#This Row],[_Row]])="",TRUE()),"",INDEX(tsk_Progress,GanttView[[#This Row],[_Row]]))</f>
        <v/>
      </c>
      <c r="F164" s="90" t="str">
        <f aca="false">IF(IFERROR(INDEX(tsk_Name,GanttView[[#This Row],[_Row]])="",TRUE()),"",INDEX(tsk_ResourceNames,GanttView[[#This Row],[_Row]])&amp;"")</f>
        <v/>
      </c>
      <c r="G164" s="89" t="str">
        <f aca="false">IF(IFERROR(INDEX(tsk_Name,GanttView[[#This Row],[_Row]])="",TRUE()),"",INDEX(tsk_WBS,GanttView[[#This Row],[_Row]]))</f>
        <v/>
      </c>
      <c r="H164" s="89" t="str">
        <f aca="false">IF(IFERROR(INDEX(tsk_Name,GanttView[[#This Row],[_Row]])="",TRUE()),"",IF(INDEX(tsk_IsSummary,GanttView[[#This Row],[_Row]]),NETWORKDAYS.INTL(INDEX(tsk_FcStart,GanttView[[#This Row],[_Row]]),INDEX(tsk_FcFinish,GanttView[[#This Row],[_Row]]),WorkWeek,Holidays),N(INDEX(tsk_Duration,GanttView[[#This Row],[_Row]]))))</f>
        <v/>
      </c>
      <c r="I164" s="91" t="str">
        <f aca="false">IF(IFERROR(INDEX(tsk_Name,GanttView[[#This Row],[_Row]])="",TRUE()),"",INDEX(tsk_PlanStart,GanttView[[#This Row],[_Row]]))</f>
        <v/>
      </c>
      <c r="J164" s="91" t="str">
        <f aca="false">IF(IFERROR(INDEX(tsk_Name,GanttView[[#This Row],[_Row]])="",TRUE()),"",INDEX(tsk_PlanFinish,GanttView[[#This Row],[_Row]]))</f>
        <v/>
      </c>
      <c r="K164" s="93" t="str">
        <f aca="false">IF(IFERROR(INDEX(tsk_Name,GanttView[[#This Row],[_Row]])="",TRUE()),"",INDEX(tsk_Status,GanttView[[#This Row],[_Row]]))</f>
        <v/>
      </c>
      <c r="L164" s="93" t="str">
        <f aca="false">IF(IFERROR(INDEX(tsk_Name,GanttView[[#This Row],[_Row]])="",TRUE()),"",INDEX(tsk_Show,GanttView[[#This Row],[_Row]])&amp;"")</f>
        <v/>
      </c>
      <c r="M164" s="94" t="n">
        <f aca="false">ROW()-ROW(GanttView[[#Headers],[ID]])</f>
        <v>159</v>
      </c>
      <c r="N164" s="95" t="b">
        <f aca="false">IF(IFERROR(INDEX(tsk_Name,GanttView[[#This Row],[_Row]])="",TRUE()),FALSE(),INDEX(tsk_IsSummary,GanttView[[#This Row],[_Row]]))</f>
        <v>0</v>
      </c>
      <c r="O164" s="95" t="b">
        <f aca="false">IF(IFERROR(INDEX(tsk_Name,GanttView[[#This Row],[_Row]])="",TRUE()),FALSE(),AND(INDEX(tsk_IsLeaf,GanttView[[#This Row],[_Row]])=1,N(INDEX(tsk_Duration,GanttView[[#This Row],[_Row]]))=0))</f>
        <v>0</v>
      </c>
      <c r="P164" s="96" t="n">
        <f aca="false">IF(IFERROR(INDEX(tsk_Name,GanttView[[#This Row],[_Row]])="",TRUE()),0,IF(AND(INDEX(tsk_IsLeaf,GanttView[[#This Row],[_Row]])=1,NOT(GanttView[[#This Row],[_IsMilestone]]),N(GanttView[[#This Row],[%]])&gt;0),GanttView[[#This Row],[Start]],0))</f>
        <v>0</v>
      </c>
      <c r="Q164" s="96" t="n">
        <f aca="false">IF(GanttView[[#This Row],[_DoneFrom]]=0,0,IF(GanttView[[#This Row],[%]]&gt;=1,GanttView[[#This Row],[Finish]],MAX(GanttView[[#This Row],[_DoneFrom]],GanttView[[#This Row],[Start]]+ROUND((GanttView[[#This Row],[Finish]]-GanttView[[#This Row],[Start]]+1)*GanttView[[#This Row],[%]],0)-1)))</f>
        <v>0</v>
      </c>
      <c r="R164" s="96" t="n">
        <f aca="false">IF(IFERROR(INDEX(tsk_Name,GanttView[[#This Row],[_Row]])="",TRUE()),0,IF(OR(INDEX(tsk_IsLeaf,GanttView[[#This Row],[_Row]])&lt;&gt;1,GanttView[[#This Row],[_IsMilestone]],N(GanttView[[#This Row],[%]])&gt;=1),0,IF(GanttView[[#This Row],[_DoneTo]]&gt;0,GanttView[[#This Row],[_DoneTo]]+1,GanttView[[#This Row],[Start]])))</f>
        <v>0</v>
      </c>
      <c r="S164" s="96" t="n">
        <f aca="false">IF(GanttView[[#This Row],[_RemFrom]]=0,0,GanttView[[#This Row],[Finish]])</f>
        <v>0</v>
      </c>
      <c r="T164" s="95" t="b">
        <f aca="false">IF(IFERROR(INDEX(tsk_Name,GanttView[[#This Row],[_Row]])="",TRUE()),FALSE(),N(INDEX(tsk_Variance,GanttView[[#This Row],[_Row]]))&gt;0)</f>
        <v>0</v>
      </c>
      <c r="U164" s="96" t="n">
        <f aca="false">IF(IFERROR(INDEX(tsk_Name,GanttView[[#This Row],[_Row]])="",TRUE()),0,N(INDEX(tsk_Deadline,GanttView[[#This Row],[_Row]])))</f>
        <v>0</v>
      </c>
      <c r="V164" s="95" t="b">
        <f aca="false">IF(IFERROR(INDEX(tsk_Name,GanttView[[#This Row],[_Row]])="",TRUE()),FALSE(),INDEX(tsk_Critical,GanttView[[#This Row],[_Row]])="Yes")</f>
        <v>0</v>
      </c>
    </row>
    <row r="165" customFormat="false" ht="15" hidden="false" customHeight="false" outlineLevel="0" collapsed="false">
      <c r="A165" s="89" t="str">
        <f aca="false">IF(IFERROR(INDEX(tsk_Name,GanttView[[#This Row],[_Row]])="",TRUE()),"",INDEX(tsk_ID,GanttView[[#This Row],[_Row]]))</f>
        <v/>
      </c>
      <c r="B165" s="90" t="str">
        <f aca="false">IF(IFERROR(INDEX(tsk_Name,GanttView[[#This Row],[_Row]])="",TRUE()),"",REPT("    ",INDEX(tsk_Level,GanttView[[#This Row],[_Row]])-1)&amp;INDEX(tsk_Name,GanttView[[#This Row],[_Row]]))</f>
        <v/>
      </c>
      <c r="C165" s="91" t="str">
        <f aca="false">IF(IFERROR(INDEX(tsk_Name,GanttView[[#This Row],[_Row]])="",TRUE()),"",INDEX(tsk_FcStart,GanttView[[#This Row],[_Row]]))</f>
        <v/>
      </c>
      <c r="D165" s="91" t="str">
        <f aca="false">IF(IFERROR(INDEX(tsk_Name,GanttView[[#This Row],[_Row]])="",TRUE()),"",INDEX(tsk_FcFinish,GanttView[[#This Row],[_Row]]))</f>
        <v/>
      </c>
      <c r="E165" s="92" t="str">
        <f aca="false">IF(IFERROR(INDEX(tsk_Name,GanttView[[#This Row],[_Row]])="",TRUE()),"",INDEX(tsk_Progress,GanttView[[#This Row],[_Row]]))</f>
        <v/>
      </c>
      <c r="F165" s="90" t="str">
        <f aca="false">IF(IFERROR(INDEX(tsk_Name,GanttView[[#This Row],[_Row]])="",TRUE()),"",INDEX(tsk_ResourceNames,GanttView[[#This Row],[_Row]])&amp;"")</f>
        <v/>
      </c>
      <c r="G165" s="89" t="str">
        <f aca="false">IF(IFERROR(INDEX(tsk_Name,GanttView[[#This Row],[_Row]])="",TRUE()),"",INDEX(tsk_WBS,GanttView[[#This Row],[_Row]]))</f>
        <v/>
      </c>
      <c r="H165" s="89" t="str">
        <f aca="false">IF(IFERROR(INDEX(tsk_Name,GanttView[[#This Row],[_Row]])="",TRUE()),"",IF(INDEX(tsk_IsSummary,GanttView[[#This Row],[_Row]]),NETWORKDAYS.INTL(INDEX(tsk_FcStart,GanttView[[#This Row],[_Row]]),INDEX(tsk_FcFinish,GanttView[[#This Row],[_Row]]),WorkWeek,Holidays),N(INDEX(tsk_Duration,GanttView[[#This Row],[_Row]]))))</f>
        <v/>
      </c>
      <c r="I165" s="91" t="str">
        <f aca="false">IF(IFERROR(INDEX(tsk_Name,GanttView[[#This Row],[_Row]])="",TRUE()),"",INDEX(tsk_PlanStart,GanttView[[#This Row],[_Row]]))</f>
        <v/>
      </c>
      <c r="J165" s="91" t="str">
        <f aca="false">IF(IFERROR(INDEX(tsk_Name,GanttView[[#This Row],[_Row]])="",TRUE()),"",INDEX(tsk_PlanFinish,GanttView[[#This Row],[_Row]]))</f>
        <v/>
      </c>
      <c r="K165" s="93" t="str">
        <f aca="false">IF(IFERROR(INDEX(tsk_Name,GanttView[[#This Row],[_Row]])="",TRUE()),"",INDEX(tsk_Status,GanttView[[#This Row],[_Row]]))</f>
        <v/>
      </c>
      <c r="L165" s="93" t="str">
        <f aca="false">IF(IFERROR(INDEX(tsk_Name,GanttView[[#This Row],[_Row]])="",TRUE()),"",INDEX(tsk_Show,GanttView[[#This Row],[_Row]])&amp;"")</f>
        <v/>
      </c>
      <c r="M165" s="94" t="n">
        <f aca="false">ROW()-ROW(GanttView[[#Headers],[ID]])</f>
        <v>160</v>
      </c>
      <c r="N165" s="95" t="b">
        <f aca="false">IF(IFERROR(INDEX(tsk_Name,GanttView[[#This Row],[_Row]])="",TRUE()),FALSE(),INDEX(tsk_IsSummary,GanttView[[#This Row],[_Row]]))</f>
        <v>0</v>
      </c>
      <c r="O165" s="95" t="b">
        <f aca="false">IF(IFERROR(INDEX(tsk_Name,GanttView[[#This Row],[_Row]])="",TRUE()),FALSE(),AND(INDEX(tsk_IsLeaf,GanttView[[#This Row],[_Row]])=1,N(INDEX(tsk_Duration,GanttView[[#This Row],[_Row]]))=0))</f>
        <v>0</v>
      </c>
      <c r="P165" s="96" t="n">
        <f aca="false">IF(IFERROR(INDEX(tsk_Name,GanttView[[#This Row],[_Row]])="",TRUE()),0,IF(AND(INDEX(tsk_IsLeaf,GanttView[[#This Row],[_Row]])=1,NOT(GanttView[[#This Row],[_IsMilestone]]),N(GanttView[[#This Row],[%]])&gt;0),GanttView[[#This Row],[Start]],0))</f>
        <v>0</v>
      </c>
      <c r="Q165" s="96" t="n">
        <f aca="false">IF(GanttView[[#This Row],[_DoneFrom]]=0,0,IF(GanttView[[#This Row],[%]]&gt;=1,GanttView[[#This Row],[Finish]],MAX(GanttView[[#This Row],[_DoneFrom]],GanttView[[#This Row],[Start]]+ROUND((GanttView[[#This Row],[Finish]]-GanttView[[#This Row],[Start]]+1)*GanttView[[#This Row],[%]],0)-1)))</f>
        <v>0</v>
      </c>
      <c r="R165" s="96" t="n">
        <f aca="false">IF(IFERROR(INDEX(tsk_Name,GanttView[[#This Row],[_Row]])="",TRUE()),0,IF(OR(INDEX(tsk_IsLeaf,GanttView[[#This Row],[_Row]])&lt;&gt;1,GanttView[[#This Row],[_IsMilestone]],N(GanttView[[#This Row],[%]])&gt;=1),0,IF(GanttView[[#This Row],[_DoneTo]]&gt;0,GanttView[[#This Row],[_DoneTo]]+1,GanttView[[#This Row],[Start]])))</f>
        <v>0</v>
      </c>
      <c r="S165" s="96" t="n">
        <f aca="false">IF(GanttView[[#This Row],[_RemFrom]]=0,0,GanttView[[#This Row],[Finish]])</f>
        <v>0</v>
      </c>
      <c r="T165" s="95" t="b">
        <f aca="false">IF(IFERROR(INDEX(tsk_Name,GanttView[[#This Row],[_Row]])="",TRUE()),FALSE(),N(INDEX(tsk_Variance,GanttView[[#This Row],[_Row]]))&gt;0)</f>
        <v>0</v>
      </c>
      <c r="U165" s="96" t="n">
        <f aca="false">IF(IFERROR(INDEX(tsk_Name,GanttView[[#This Row],[_Row]])="",TRUE()),0,N(INDEX(tsk_Deadline,GanttView[[#This Row],[_Row]])))</f>
        <v>0</v>
      </c>
      <c r="V165" s="95" t="b">
        <f aca="false">IF(IFERROR(INDEX(tsk_Name,GanttView[[#This Row],[_Row]])="",TRUE()),FALSE(),INDEX(tsk_Critical,GanttView[[#This Row],[_Row]])="Yes")</f>
        <v>0</v>
      </c>
    </row>
    <row r="166" customFormat="false" ht="15" hidden="false" customHeight="false" outlineLevel="0" collapsed="false">
      <c r="A166" s="89" t="str">
        <f aca="false">IF(IFERROR(INDEX(tsk_Name,GanttView[[#This Row],[_Row]])="",TRUE()),"",INDEX(tsk_ID,GanttView[[#This Row],[_Row]]))</f>
        <v/>
      </c>
      <c r="B166" s="90" t="str">
        <f aca="false">IF(IFERROR(INDEX(tsk_Name,GanttView[[#This Row],[_Row]])="",TRUE()),"",REPT("    ",INDEX(tsk_Level,GanttView[[#This Row],[_Row]])-1)&amp;INDEX(tsk_Name,GanttView[[#This Row],[_Row]]))</f>
        <v/>
      </c>
      <c r="C166" s="91" t="str">
        <f aca="false">IF(IFERROR(INDEX(tsk_Name,GanttView[[#This Row],[_Row]])="",TRUE()),"",INDEX(tsk_FcStart,GanttView[[#This Row],[_Row]]))</f>
        <v/>
      </c>
      <c r="D166" s="91" t="str">
        <f aca="false">IF(IFERROR(INDEX(tsk_Name,GanttView[[#This Row],[_Row]])="",TRUE()),"",INDEX(tsk_FcFinish,GanttView[[#This Row],[_Row]]))</f>
        <v/>
      </c>
      <c r="E166" s="92" t="str">
        <f aca="false">IF(IFERROR(INDEX(tsk_Name,GanttView[[#This Row],[_Row]])="",TRUE()),"",INDEX(tsk_Progress,GanttView[[#This Row],[_Row]]))</f>
        <v/>
      </c>
      <c r="F166" s="90" t="str">
        <f aca="false">IF(IFERROR(INDEX(tsk_Name,GanttView[[#This Row],[_Row]])="",TRUE()),"",INDEX(tsk_ResourceNames,GanttView[[#This Row],[_Row]])&amp;"")</f>
        <v/>
      </c>
      <c r="G166" s="89" t="str">
        <f aca="false">IF(IFERROR(INDEX(tsk_Name,GanttView[[#This Row],[_Row]])="",TRUE()),"",INDEX(tsk_WBS,GanttView[[#This Row],[_Row]]))</f>
        <v/>
      </c>
      <c r="H166" s="89" t="str">
        <f aca="false">IF(IFERROR(INDEX(tsk_Name,GanttView[[#This Row],[_Row]])="",TRUE()),"",IF(INDEX(tsk_IsSummary,GanttView[[#This Row],[_Row]]),NETWORKDAYS.INTL(INDEX(tsk_FcStart,GanttView[[#This Row],[_Row]]),INDEX(tsk_FcFinish,GanttView[[#This Row],[_Row]]),WorkWeek,Holidays),N(INDEX(tsk_Duration,GanttView[[#This Row],[_Row]]))))</f>
        <v/>
      </c>
      <c r="I166" s="91" t="str">
        <f aca="false">IF(IFERROR(INDEX(tsk_Name,GanttView[[#This Row],[_Row]])="",TRUE()),"",INDEX(tsk_PlanStart,GanttView[[#This Row],[_Row]]))</f>
        <v/>
      </c>
      <c r="J166" s="91" t="str">
        <f aca="false">IF(IFERROR(INDEX(tsk_Name,GanttView[[#This Row],[_Row]])="",TRUE()),"",INDEX(tsk_PlanFinish,GanttView[[#This Row],[_Row]]))</f>
        <v/>
      </c>
      <c r="K166" s="93" t="str">
        <f aca="false">IF(IFERROR(INDEX(tsk_Name,GanttView[[#This Row],[_Row]])="",TRUE()),"",INDEX(tsk_Status,GanttView[[#This Row],[_Row]]))</f>
        <v/>
      </c>
      <c r="L166" s="93" t="str">
        <f aca="false">IF(IFERROR(INDEX(tsk_Name,GanttView[[#This Row],[_Row]])="",TRUE()),"",INDEX(tsk_Show,GanttView[[#This Row],[_Row]])&amp;"")</f>
        <v/>
      </c>
      <c r="M166" s="94" t="n">
        <f aca="false">ROW()-ROW(GanttView[[#Headers],[ID]])</f>
        <v>161</v>
      </c>
      <c r="N166" s="95" t="b">
        <f aca="false">IF(IFERROR(INDEX(tsk_Name,GanttView[[#This Row],[_Row]])="",TRUE()),FALSE(),INDEX(tsk_IsSummary,GanttView[[#This Row],[_Row]]))</f>
        <v>0</v>
      </c>
      <c r="O166" s="95" t="b">
        <f aca="false">IF(IFERROR(INDEX(tsk_Name,GanttView[[#This Row],[_Row]])="",TRUE()),FALSE(),AND(INDEX(tsk_IsLeaf,GanttView[[#This Row],[_Row]])=1,N(INDEX(tsk_Duration,GanttView[[#This Row],[_Row]]))=0))</f>
        <v>0</v>
      </c>
      <c r="P166" s="96" t="n">
        <f aca="false">IF(IFERROR(INDEX(tsk_Name,GanttView[[#This Row],[_Row]])="",TRUE()),0,IF(AND(INDEX(tsk_IsLeaf,GanttView[[#This Row],[_Row]])=1,NOT(GanttView[[#This Row],[_IsMilestone]]),N(GanttView[[#This Row],[%]])&gt;0),GanttView[[#This Row],[Start]],0))</f>
        <v>0</v>
      </c>
      <c r="Q166" s="96" t="n">
        <f aca="false">IF(GanttView[[#This Row],[_DoneFrom]]=0,0,IF(GanttView[[#This Row],[%]]&gt;=1,GanttView[[#This Row],[Finish]],MAX(GanttView[[#This Row],[_DoneFrom]],GanttView[[#This Row],[Start]]+ROUND((GanttView[[#This Row],[Finish]]-GanttView[[#This Row],[Start]]+1)*GanttView[[#This Row],[%]],0)-1)))</f>
        <v>0</v>
      </c>
      <c r="R166" s="96" t="n">
        <f aca="false">IF(IFERROR(INDEX(tsk_Name,GanttView[[#This Row],[_Row]])="",TRUE()),0,IF(OR(INDEX(tsk_IsLeaf,GanttView[[#This Row],[_Row]])&lt;&gt;1,GanttView[[#This Row],[_IsMilestone]],N(GanttView[[#This Row],[%]])&gt;=1),0,IF(GanttView[[#This Row],[_DoneTo]]&gt;0,GanttView[[#This Row],[_DoneTo]]+1,GanttView[[#This Row],[Start]])))</f>
        <v>0</v>
      </c>
      <c r="S166" s="96" t="n">
        <f aca="false">IF(GanttView[[#This Row],[_RemFrom]]=0,0,GanttView[[#This Row],[Finish]])</f>
        <v>0</v>
      </c>
      <c r="T166" s="95" t="b">
        <f aca="false">IF(IFERROR(INDEX(tsk_Name,GanttView[[#This Row],[_Row]])="",TRUE()),FALSE(),N(INDEX(tsk_Variance,GanttView[[#This Row],[_Row]]))&gt;0)</f>
        <v>0</v>
      </c>
      <c r="U166" s="96" t="n">
        <f aca="false">IF(IFERROR(INDEX(tsk_Name,GanttView[[#This Row],[_Row]])="",TRUE()),0,N(INDEX(tsk_Deadline,GanttView[[#This Row],[_Row]])))</f>
        <v>0</v>
      </c>
      <c r="V166" s="95" t="b">
        <f aca="false">IF(IFERROR(INDEX(tsk_Name,GanttView[[#This Row],[_Row]])="",TRUE()),FALSE(),INDEX(tsk_Critical,GanttView[[#This Row],[_Row]])="Yes")</f>
        <v>0</v>
      </c>
    </row>
    <row r="167" customFormat="false" ht="15" hidden="false" customHeight="false" outlineLevel="0" collapsed="false">
      <c r="A167" s="89" t="str">
        <f aca="false">IF(IFERROR(INDEX(tsk_Name,GanttView[[#This Row],[_Row]])="",TRUE()),"",INDEX(tsk_ID,GanttView[[#This Row],[_Row]]))</f>
        <v/>
      </c>
      <c r="B167" s="90" t="str">
        <f aca="false">IF(IFERROR(INDEX(tsk_Name,GanttView[[#This Row],[_Row]])="",TRUE()),"",REPT("    ",INDEX(tsk_Level,GanttView[[#This Row],[_Row]])-1)&amp;INDEX(tsk_Name,GanttView[[#This Row],[_Row]]))</f>
        <v/>
      </c>
      <c r="C167" s="91" t="str">
        <f aca="false">IF(IFERROR(INDEX(tsk_Name,GanttView[[#This Row],[_Row]])="",TRUE()),"",INDEX(tsk_FcStart,GanttView[[#This Row],[_Row]]))</f>
        <v/>
      </c>
      <c r="D167" s="91" t="str">
        <f aca="false">IF(IFERROR(INDEX(tsk_Name,GanttView[[#This Row],[_Row]])="",TRUE()),"",INDEX(tsk_FcFinish,GanttView[[#This Row],[_Row]]))</f>
        <v/>
      </c>
      <c r="E167" s="92" t="str">
        <f aca="false">IF(IFERROR(INDEX(tsk_Name,GanttView[[#This Row],[_Row]])="",TRUE()),"",INDEX(tsk_Progress,GanttView[[#This Row],[_Row]]))</f>
        <v/>
      </c>
      <c r="F167" s="90" t="str">
        <f aca="false">IF(IFERROR(INDEX(tsk_Name,GanttView[[#This Row],[_Row]])="",TRUE()),"",INDEX(tsk_ResourceNames,GanttView[[#This Row],[_Row]])&amp;"")</f>
        <v/>
      </c>
      <c r="G167" s="89" t="str">
        <f aca="false">IF(IFERROR(INDEX(tsk_Name,GanttView[[#This Row],[_Row]])="",TRUE()),"",INDEX(tsk_WBS,GanttView[[#This Row],[_Row]]))</f>
        <v/>
      </c>
      <c r="H167" s="89" t="str">
        <f aca="false">IF(IFERROR(INDEX(tsk_Name,GanttView[[#This Row],[_Row]])="",TRUE()),"",IF(INDEX(tsk_IsSummary,GanttView[[#This Row],[_Row]]),NETWORKDAYS.INTL(INDEX(tsk_FcStart,GanttView[[#This Row],[_Row]]),INDEX(tsk_FcFinish,GanttView[[#This Row],[_Row]]),WorkWeek,Holidays),N(INDEX(tsk_Duration,GanttView[[#This Row],[_Row]]))))</f>
        <v/>
      </c>
      <c r="I167" s="91" t="str">
        <f aca="false">IF(IFERROR(INDEX(tsk_Name,GanttView[[#This Row],[_Row]])="",TRUE()),"",INDEX(tsk_PlanStart,GanttView[[#This Row],[_Row]]))</f>
        <v/>
      </c>
      <c r="J167" s="91" t="str">
        <f aca="false">IF(IFERROR(INDEX(tsk_Name,GanttView[[#This Row],[_Row]])="",TRUE()),"",INDEX(tsk_PlanFinish,GanttView[[#This Row],[_Row]]))</f>
        <v/>
      </c>
      <c r="K167" s="93" t="str">
        <f aca="false">IF(IFERROR(INDEX(tsk_Name,GanttView[[#This Row],[_Row]])="",TRUE()),"",INDEX(tsk_Status,GanttView[[#This Row],[_Row]]))</f>
        <v/>
      </c>
      <c r="L167" s="93" t="str">
        <f aca="false">IF(IFERROR(INDEX(tsk_Name,GanttView[[#This Row],[_Row]])="",TRUE()),"",INDEX(tsk_Show,GanttView[[#This Row],[_Row]])&amp;"")</f>
        <v/>
      </c>
      <c r="M167" s="94" t="n">
        <f aca="false">ROW()-ROW(GanttView[[#Headers],[ID]])</f>
        <v>162</v>
      </c>
      <c r="N167" s="95" t="b">
        <f aca="false">IF(IFERROR(INDEX(tsk_Name,GanttView[[#This Row],[_Row]])="",TRUE()),FALSE(),INDEX(tsk_IsSummary,GanttView[[#This Row],[_Row]]))</f>
        <v>0</v>
      </c>
      <c r="O167" s="95" t="b">
        <f aca="false">IF(IFERROR(INDEX(tsk_Name,GanttView[[#This Row],[_Row]])="",TRUE()),FALSE(),AND(INDEX(tsk_IsLeaf,GanttView[[#This Row],[_Row]])=1,N(INDEX(tsk_Duration,GanttView[[#This Row],[_Row]]))=0))</f>
        <v>0</v>
      </c>
      <c r="P167" s="96" t="n">
        <f aca="false">IF(IFERROR(INDEX(tsk_Name,GanttView[[#This Row],[_Row]])="",TRUE()),0,IF(AND(INDEX(tsk_IsLeaf,GanttView[[#This Row],[_Row]])=1,NOT(GanttView[[#This Row],[_IsMilestone]]),N(GanttView[[#This Row],[%]])&gt;0),GanttView[[#This Row],[Start]],0))</f>
        <v>0</v>
      </c>
      <c r="Q167" s="96" t="n">
        <f aca="false">IF(GanttView[[#This Row],[_DoneFrom]]=0,0,IF(GanttView[[#This Row],[%]]&gt;=1,GanttView[[#This Row],[Finish]],MAX(GanttView[[#This Row],[_DoneFrom]],GanttView[[#This Row],[Start]]+ROUND((GanttView[[#This Row],[Finish]]-GanttView[[#This Row],[Start]]+1)*GanttView[[#This Row],[%]],0)-1)))</f>
        <v>0</v>
      </c>
      <c r="R167" s="96" t="n">
        <f aca="false">IF(IFERROR(INDEX(tsk_Name,GanttView[[#This Row],[_Row]])="",TRUE()),0,IF(OR(INDEX(tsk_IsLeaf,GanttView[[#This Row],[_Row]])&lt;&gt;1,GanttView[[#This Row],[_IsMilestone]],N(GanttView[[#This Row],[%]])&gt;=1),0,IF(GanttView[[#This Row],[_DoneTo]]&gt;0,GanttView[[#This Row],[_DoneTo]]+1,GanttView[[#This Row],[Start]])))</f>
        <v>0</v>
      </c>
      <c r="S167" s="96" t="n">
        <f aca="false">IF(GanttView[[#This Row],[_RemFrom]]=0,0,GanttView[[#This Row],[Finish]])</f>
        <v>0</v>
      </c>
      <c r="T167" s="95" t="b">
        <f aca="false">IF(IFERROR(INDEX(tsk_Name,GanttView[[#This Row],[_Row]])="",TRUE()),FALSE(),N(INDEX(tsk_Variance,GanttView[[#This Row],[_Row]]))&gt;0)</f>
        <v>0</v>
      </c>
      <c r="U167" s="96" t="n">
        <f aca="false">IF(IFERROR(INDEX(tsk_Name,GanttView[[#This Row],[_Row]])="",TRUE()),0,N(INDEX(tsk_Deadline,GanttView[[#This Row],[_Row]])))</f>
        <v>0</v>
      </c>
      <c r="V167" s="95" t="b">
        <f aca="false">IF(IFERROR(INDEX(tsk_Name,GanttView[[#This Row],[_Row]])="",TRUE()),FALSE(),INDEX(tsk_Critical,GanttView[[#This Row],[_Row]])="Yes")</f>
        <v>0</v>
      </c>
    </row>
    <row r="168" customFormat="false" ht="15" hidden="false" customHeight="false" outlineLevel="0" collapsed="false">
      <c r="A168" s="89" t="str">
        <f aca="false">IF(IFERROR(INDEX(tsk_Name,GanttView[[#This Row],[_Row]])="",TRUE()),"",INDEX(tsk_ID,GanttView[[#This Row],[_Row]]))</f>
        <v/>
      </c>
      <c r="B168" s="90" t="str">
        <f aca="false">IF(IFERROR(INDEX(tsk_Name,GanttView[[#This Row],[_Row]])="",TRUE()),"",REPT("    ",INDEX(tsk_Level,GanttView[[#This Row],[_Row]])-1)&amp;INDEX(tsk_Name,GanttView[[#This Row],[_Row]]))</f>
        <v/>
      </c>
      <c r="C168" s="91" t="str">
        <f aca="false">IF(IFERROR(INDEX(tsk_Name,GanttView[[#This Row],[_Row]])="",TRUE()),"",INDEX(tsk_FcStart,GanttView[[#This Row],[_Row]]))</f>
        <v/>
      </c>
      <c r="D168" s="91" t="str">
        <f aca="false">IF(IFERROR(INDEX(tsk_Name,GanttView[[#This Row],[_Row]])="",TRUE()),"",INDEX(tsk_FcFinish,GanttView[[#This Row],[_Row]]))</f>
        <v/>
      </c>
      <c r="E168" s="92" t="str">
        <f aca="false">IF(IFERROR(INDEX(tsk_Name,GanttView[[#This Row],[_Row]])="",TRUE()),"",INDEX(tsk_Progress,GanttView[[#This Row],[_Row]]))</f>
        <v/>
      </c>
      <c r="F168" s="90" t="str">
        <f aca="false">IF(IFERROR(INDEX(tsk_Name,GanttView[[#This Row],[_Row]])="",TRUE()),"",INDEX(tsk_ResourceNames,GanttView[[#This Row],[_Row]])&amp;"")</f>
        <v/>
      </c>
      <c r="G168" s="89" t="str">
        <f aca="false">IF(IFERROR(INDEX(tsk_Name,GanttView[[#This Row],[_Row]])="",TRUE()),"",INDEX(tsk_WBS,GanttView[[#This Row],[_Row]]))</f>
        <v/>
      </c>
      <c r="H168" s="89" t="str">
        <f aca="false">IF(IFERROR(INDEX(tsk_Name,GanttView[[#This Row],[_Row]])="",TRUE()),"",IF(INDEX(tsk_IsSummary,GanttView[[#This Row],[_Row]]),NETWORKDAYS.INTL(INDEX(tsk_FcStart,GanttView[[#This Row],[_Row]]),INDEX(tsk_FcFinish,GanttView[[#This Row],[_Row]]),WorkWeek,Holidays),N(INDEX(tsk_Duration,GanttView[[#This Row],[_Row]]))))</f>
        <v/>
      </c>
      <c r="I168" s="91" t="str">
        <f aca="false">IF(IFERROR(INDEX(tsk_Name,GanttView[[#This Row],[_Row]])="",TRUE()),"",INDEX(tsk_PlanStart,GanttView[[#This Row],[_Row]]))</f>
        <v/>
      </c>
      <c r="J168" s="91" t="str">
        <f aca="false">IF(IFERROR(INDEX(tsk_Name,GanttView[[#This Row],[_Row]])="",TRUE()),"",INDEX(tsk_PlanFinish,GanttView[[#This Row],[_Row]]))</f>
        <v/>
      </c>
      <c r="K168" s="93" t="str">
        <f aca="false">IF(IFERROR(INDEX(tsk_Name,GanttView[[#This Row],[_Row]])="",TRUE()),"",INDEX(tsk_Status,GanttView[[#This Row],[_Row]]))</f>
        <v/>
      </c>
      <c r="L168" s="93" t="str">
        <f aca="false">IF(IFERROR(INDEX(tsk_Name,GanttView[[#This Row],[_Row]])="",TRUE()),"",INDEX(tsk_Show,GanttView[[#This Row],[_Row]])&amp;"")</f>
        <v/>
      </c>
      <c r="M168" s="94" t="n">
        <f aca="false">ROW()-ROW(GanttView[[#Headers],[ID]])</f>
        <v>163</v>
      </c>
      <c r="N168" s="95" t="b">
        <f aca="false">IF(IFERROR(INDEX(tsk_Name,GanttView[[#This Row],[_Row]])="",TRUE()),FALSE(),INDEX(tsk_IsSummary,GanttView[[#This Row],[_Row]]))</f>
        <v>0</v>
      </c>
      <c r="O168" s="95" t="b">
        <f aca="false">IF(IFERROR(INDEX(tsk_Name,GanttView[[#This Row],[_Row]])="",TRUE()),FALSE(),AND(INDEX(tsk_IsLeaf,GanttView[[#This Row],[_Row]])=1,N(INDEX(tsk_Duration,GanttView[[#This Row],[_Row]]))=0))</f>
        <v>0</v>
      </c>
      <c r="P168" s="96" t="n">
        <f aca="false">IF(IFERROR(INDEX(tsk_Name,GanttView[[#This Row],[_Row]])="",TRUE()),0,IF(AND(INDEX(tsk_IsLeaf,GanttView[[#This Row],[_Row]])=1,NOT(GanttView[[#This Row],[_IsMilestone]]),N(GanttView[[#This Row],[%]])&gt;0),GanttView[[#This Row],[Start]],0))</f>
        <v>0</v>
      </c>
      <c r="Q168" s="96" t="n">
        <f aca="false">IF(GanttView[[#This Row],[_DoneFrom]]=0,0,IF(GanttView[[#This Row],[%]]&gt;=1,GanttView[[#This Row],[Finish]],MAX(GanttView[[#This Row],[_DoneFrom]],GanttView[[#This Row],[Start]]+ROUND((GanttView[[#This Row],[Finish]]-GanttView[[#This Row],[Start]]+1)*GanttView[[#This Row],[%]],0)-1)))</f>
        <v>0</v>
      </c>
      <c r="R168" s="96" t="n">
        <f aca="false">IF(IFERROR(INDEX(tsk_Name,GanttView[[#This Row],[_Row]])="",TRUE()),0,IF(OR(INDEX(tsk_IsLeaf,GanttView[[#This Row],[_Row]])&lt;&gt;1,GanttView[[#This Row],[_IsMilestone]],N(GanttView[[#This Row],[%]])&gt;=1),0,IF(GanttView[[#This Row],[_DoneTo]]&gt;0,GanttView[[#This Row],[_DoneTo]]+1,GanttView[[#This Row],[Start]])))</f>
        <v>0</v>
      </c>
      <c r="S168" s="96" t="n">
        <f aca="false">IF(GanttView[[#This Row],[_RemFrom]]=0,0,GanttView[[#This Row],[Finish]])</f>
        <v>0</v>
      </c>
      <c r="T168" s="95" t="b">
        <f aca="false">IF(IFERROR(INDEX(tsk_Name,GanttView[[#This Row],[_Row]])="",TRUE()),FALSE(),N(INDEX(tsk_Variance,GanttView[[#This Row],[_Row]]))&gt;0)</f>
        <v>0</v>
      </c>
      <c r="U168" s="96" t="n">
        <f aca="false">IF(IFERROR(INDEX(tsk_Name,GanttView[[#This Row],[_Row]])="",TRUE()),0,N(INDEX(tsk_Deadline,GanttView[[#This Row],[_Row]])))</f>
        <v>0</v>
      </c>
      <c r="V168" s="95" t="b">
        <f aca="false">IF(IFERROR(INDEX(tsk_Name,GanttView[[#This Row],[_Row]])="",TRUE()),FALSE(),INDEX(tsk_Critical,GanttView[[#This Row],[_Row]])="Yes")</f>
        <v>0</v>
      </c>
    </row>
    <row r="169" customFormat="false" ht="15" hidden="false" customHeight="false" outlineLevel="0" collapsed="false">
      <c r="A169" s="89" t="str">
        <f aca="false">IF(IFERROR(INDEX(tsk_Name,GanttView[[#This Row],[_Row]])="",TRUE()),"",INDEX(tsk_ID,GanttView[[#This Row],[_Row]]))</f>
        <v/>
      </c>
      <c r="B169" s="90" t="str">
        <f aca="false">IF(IFERROR(INDEX(tsk_Name,GanttView[[#This Row],[_Row]])="",TRUE()),"",REPT("    ",INDEX(tsk_Level,GanttView[[#This Row],[_Row]])-1)&amp;INDEX(tsk_Name,GanttView[[#This Row],[_Row]]))</f>
        <v/>
      </c>
      <c r="C169" s="91" t="str">
        <f aca="false">IF(IFERROR(INDEX(tsk_Name,GanttView[[#This Row],[_Row]])="",TRUE()),"",INDEX(tsk_FcStart,GanttView[[#This Row],[_Row]]))</f>
        <v/>
      </c>
      <c r="D169" s="91" t="str">
        <f aca="false">IF(IFERROR(INDEX(tsk_Name,GanttView[[#This Row],[_Row]])="",TRUE()),"",INDEX(tsk_FcFinish,GanttView[[#This Row],[_Row]]))</f>
        <v/>
      </c>
      <c r="E169" s="92" t="str">
        <f aca="false">IF(IFERROR(INDEX(tsk_Name,GanttView[[#This Row],[_Row]])="",TRUE()),"",INDEX(tsk_Progress,GanttView[[#This Row],[_Row]]))</f>
        <v/>
      </c>
      <c r="F169" s="90" t="str">
        <f aca="false">IF(IFERROR(INDEX(tsk_Name,GanttView[[#This Row],[_Row]])="",TRUE()),"",INDEX(tsk_ResourceNames,GanttView[[#This Row],[_Row]])&amp;"")</f>
        <v/>
      </c>
      <c r="G169" s="89" t="str">
        <f aca="false">IF(IFERROR(INDEX(tsk_Name,GanttView[[#This Row],[_Row]])="",TRUE()),"",INDEX(tsk_WBS,GanttView[[#This Row],[_Row]]))</f>
        <v/>
      </c>
      <c r="H169" s="89" t="str">
        <f aca="false">IF(IFERROR(INDEX(tsk_Name,GanttView[[#This Row],[_Row]])="",TRUE()),"",IF(INDEX(tsk_IsSummary,GanttView[[#This Row],[_Row]]),NETWORKDAYS.INTL(INDEX(tsk_FcStart,GanttView[[#This Row],[_Row]]),INDEX(tsk_FcFinish,GanttView[[#This Row],[_Row]]),WorkWeek,Holidays),N(INDEX(tsk_Duration,GanttView[[#This Row],[_Row]]))))</f>
        <v/>
      </c>
      <c r="I169" s="91" t="str">
        <f aca="false">IF(IFERROR(INDEX(tsk_Name,GanttView[[#This Row],[_Row]])="",TRUE()),"",INDEX(tsk_PlanStart,GanttView[[#This Row],[_Row]]))</f>
        <v/>
      </c>
      <c r="J169" s="91" t="str">
        <f aca="false">IF(IFERROR(INDEX(tsk_Name,GanttView[[#This Row],[_Row]])="",TRUE()),"",INDEX(tsk_PlanFinish,GanttView[[#This Row],[_Row]]))</f>
        <v/>
      </c>
      <c r="K169" s="93" t="str">
        <f aca="false">IF(IFERROR(INDEX(tsk_Name,GanttView[[#This Row],[_Row]])="",TRUE()),"",INDEX(tsk_Status,GanttView[[#This Row],[_Row]]))</f>
        <v/>
      </c>
      <c r="L169" s="93" t="str">
        <f aca="false">IF(IFERROR(INDEX(tsk_Name,GanttView[[#This Row],[_Row]])="",TRUE()),"",INDEX(tsk_Show,GanttView[[#This Row],[_Row]])&amp;"")</f>
        <v/>
      </c>
      <c r="M169" s="94" t="n">
        <f aca="false">ROW()-ROW(GanttView[[#Headers],[ID]])</f>
        <v>164</v>
      </c>
      <c r="N169" s="95" t="b">
        <f aca="false">IF(IFERROR(INDEX(tsk_Name,GanttView[[#This Row],[_Row]])="",TRUE()),FALSE(),INDEX(tsk_IsSummary,GanttView[[#This Row],[_Row]]))</f>
        <v>0</v>
      </c>
      <c r="O169" s="95" t="b">
        <f aca="false">IF(IFERROR(INDEX(tsk_Name,GanttView[[#This Row],[_Row]])="",TRUE()),FALSE(),AND(INDEX(tsk_IsLeaf,GanttView[[#This Row],[_Row]])=1,N(INDEX(tsk_Duration,GanttView[[#This Row],[_Row]]))=0))</f>
        <v>0</v>
      </c>
      <c r="P169" s="96" t="n">
        <f aca="false">IF(IFERROR(INDEX(tsk_Name,GanttView[[#This Row],[_Row]])="",TRUE()),0,IF(AND(INDEX(tsk_IsLeaf,GanttView[[#This Row],[_Row]])=1,NOT(GanttView[[#This Row],[_IsMilestone]]),N(GanttView[[#This Row],[%]])&gt;0),GanttView[[#This Row],[Start]],0))</f>
        <v>0</v>
      </c>
      <c r="Q169" s="96" t="n">
        <f aca="false">IF(GanttView[[#This Row],[_DoneFrom]]=0,0,IF(GanttView[[#This Row],[%]]&gt;=1,GanttView[[#This Row],[Finish]],MAX(GanttView[[#This Row],[_DoneFrom]],GanttView[[#This Row],[Start]]+ROUND((GanttView[[#This Row],[Finish]]-GanttView[[#This Row],[Start]]+1)*GanttView[[#This Row],[%]],0)-1)))</f>
        <v>0</v>
      </c>
      <c r="R169" s="96" t="n">
        <f aca="false">IF(IFERROR(INDEX(tsk_Name,GanttView[[#This Row],[_Row]])="",TRUE()),0,IF(OR(INDEX(tsk_IsLeaf,GanttView[[#This Row],[_Row]])&lt;&gt;1,GanttView[[#This Row],[_IsMilestone]],N(GanttView[[#This Row],[%]])&gt;=1),0,IF(GanttView[[#This Row],[_DoneTo]]&gt;0,GanttView[[#This Row],[_DoneTo]]+1,GanttView[[#This Row],[Start]])))</f>
        <v>0</v>
      </c>
      <c r="S169" s="96" t="n">
        <f aca="false">IF(GanttView[[#This Row],[_RemFrom]]=0,0,GanttView[[#This Row],[Finish]])</f>
        <v>0</v>
      </c>
      <c r="T169" s="95" t="b">
        <f aca="false">IF(IFERROR(INDEX(tsk_Name,GanttView[[#This Row],[_Row]])="",TRUE()),FALSE(),N(INDEX(tsk_Variance,GanttView[[#This Row],[_Row]]))&gt;0)</f>
        <v>0</v>
      </c>
      <c r="U169" s="96" t="n">
        <f aca="false">IF(IFERROR(INDEX(tsk_Name,GanttView[[#This Row],[_Row]])="",TRUE()),0,N(INDEX(tsk_Deadline,GanttView[[#This Row],[_Row]])))</f>
        <v>0</v>
      </c>
      <c r="V169" s="95" t="b">
        <f aca="false">IF(IFERROR(INDEX(tsk_Name,GanttView[[#This Row],[_Row]])="",TRUE()),FALSE(),INDEX(tsk_Critical,GanttView[[#This Row],[_Row]])="Yes")</f>
        <v>0</v>
      </c>
    </row>
    <row r="170" customFormat="false" ht="15" hidden="false" customHeight="false" outlineLevel="0" collapsed="false">
      <c r="A170" s="89" t="str">
        <f aca="false">IF(IFERROR(INDEX(tsk_Name,GanttView[[#This Row],[_Row]])="",TRUE()),"",INDEX(tsk_ID,GanttView[[#This Row],[_Row]]))</f>
        <v/>
      </c>
      <c r="B170" s="90" t="str">
        <f aca="false">IF(IFERROR(INDEX(tsk_Name,GanttView[[#This Row],[_Row]])="",TRUE()),"",REPT("    ",INDEX(tsk_Level,GanttView[[#This Row],[_Row]])-1)&amp;INDEX(tsk_Name,GanttView[[#This Row],[_Row]]))</f>
        <v/>
      </c>
      <c r="C170" s="91" t="str">
        <f aca="false">IF(IFERROR(INDEX(tsk_Name,GanttView[[#This Row],[_Row]])="",TRUE()),"",INDEX(tsk_FcStart,GanttView[[#This Row],[_Row]]))</f>
        <v/>
      </c>
      <c r="D170" s="91" t="str">
        <f aca="false">IF(IFERROR(INDEX(tsk_Name,GanttView[[#This Row],[_Row]])="",TRUE()),"",INDEX(tsk_FcFinish,GanttView[[#This Row],[_Row]]))</f>
        <v/>
      </c>
      <c r="E170" s="92" t="str">
        <f aca="false">IF(IFERROR(INDEX(tsk_Name,GanttView[[#This Row],[_Row]])="",TRUE()),"",INDEX(tsk_Progress,GanttView[[#This Row],[_Row]]))</f>
        <v/>
      </c>
      <c r="F170" s="90" t="str">
        <f aca="false">IF(IFERROR(INDEX(tsk_Name,GanttView[[#This Row],[_Row]])="",TRUE()),"",INDEX(tsk_ResourceNames,GanttView[[#This Row],[_Row]])&amp;"")</f>
        <v/>
      </c>
      <c r="G170" s="89" t="str">
        <f aca="false">IF(IFERROR(INDEX(tsk_Name,GanttView[[#This Row],[_Row]])="",TRUE()),"",INDEX(tsk_WBS,GanttView[[#This Row],[_Row]]))</f>
        <v/>
      </c>
      <c r="H170" s="89" t="str">
        <f aca="false">IF(IFERROR(INDEX(tsk_Name,GanttView[[#This Row],[_Row]])="",TRUE()),"",IF(INDEX(tsk_IsSummary,GanttView[[#This Row],[_Row]]),NETWORKDAYS.INTL(INDEX(tsk_FcStart,GanttView[[#This Row],[_Row]]),INDEX(tsk_FcFinish,GanttView[[#This Row],[_Row]]),WorkWeek,Holidays),N(INDEX(tsk_Duration,GanttView[[#This Row],[_Row]]))))</f>
        <v/>
      </c>
      <c r="I170" s="91" t="str">
        <f aca="false">IF(IFERROR(INDEX(tsk_Name,GanttView[[#This Row],[_Row]])="",TRUE()),"",INDEX(tsk_PlanStart,GanttView[[#This Row],[_Row]]))</f>
        <v/>
      </c>
      <c r="J170" s="91" t="str">
        <f aca="false">IF(IFERROR(INDEX(tsk_Name,GanttView[[#This Row],[_Row]])="",TRUE()),"",INDEX(tsk_PlanFinish,GanttView[[#This Row],[_Row]]))</f>
        <v/>
      </c>
      <c r="K170" s="93" t="str">
        <f aca="false">IF(IFERROR(INDEX(tsk_Name,GanttView[[#This Row],[_Row]])="",TRUE()),"",INDEX(tsk_Status,GanttView[[#This Row],[_Row]]))</f>
        <v/>
      </c>
      <c r="L170" s="93" t="str">
        <f aca="false">IF(IFERROR(INDEX(tsk_Name,GanttView[[#This Row],[_Row]])="",TRUE()),"",INDEX(tsk_Show,GanttView[[#This Row],[_Row]])&amp;"")</f>
        <v/>
      </c>
      <c r="M170" s="94" t="n">
        <f aca="false">ROW()-ROW(GanttView[[#Headers],[ID]])</f>
        <v>165</v>
      </c>
      <c r="N170" s="95" t="b">
        <f aca="false">IF(IFERROR(INDEX(tsk_Name,GanttView[[#This Row],[_Row]])="",TRUE()),FALSE(),INDEX(tsk_IsSummary,GanttView[[#This Row],[_Row]]))</f>
        <v>0</v>
      </c>
      <c r="O170" s="95" t="b">
        <f aca="false">IF(IFERROR(INDEX(tsk_Name,GanttView[[#This Row],[_Row]])="",TRUE()),FALSE(),AND(INDEX(tsk_IsLeaf,GanttView[[#This Row],[_Row]])=1,N(INDEX(tsk_Duration,GanttView[[#This Row],[_Row]]))=0))</f>
        <v>0</v>
      </c>
      <c r="P170" s="96" t="n">
        <f aca="false">IF(IFERROR(INDEX(tsk_Name,GanttView[[#This Row],[_Row]])="",TRUE()),0,IF(AND(INDEX(tsk_IsLeaf,GanttView[[#This Row],[_Row]])=1,NOT(GanttView[[#This Row],[_IsMilestone]]),N(GanttView[[#This Row],[%]])&gt;0),GanttView[[#This Row],[Start]],0))</f>
        <v>0</v>
      </c>
      <c r="Q170" s="96" t="n">
        <f aca="false">IF(GanttView[[#This Row],[_DoneFrom]]=0,0,IF(GanttView[[#This Row],[%]]&gt;=1,GanttView[[#This Row],[Finish]],MAX(GanttView[[#This Row],[_DoneFrom]],GanttView[[#This Row],[Start]]+ROUND((GanttView[[#This Row],[Finish]]-GanttView[[#This Row],[Start]]+1)*GanttView[[#This Row],[%]],0)-1)))</f>
        <v>0</v>
      </c>
      <c r="R170" s="96" t="n">
        <f aca="false">IF(IFERROR(INDEX(tsk_Name,GanttView[[#This Row],[_Row]])="",TRUE()),0,IF(OR(INDEX(tsk_IsLeaf,GanttView[[#This Row],[_Row]])&lt;&gt;1,GanttView[[#This Row],[_IsMilestone]],N(GanttView[[#This Row],[%]])&gt;=1),0,IF(GanttView[[#This Row],[_DoneTo]]&gt;0,GanttView[[#This Row],[_DoneTo]]+1,GanttView[[#This Row],[Start]])))</f>
        <v>0</v>
      </c>
      <c r="S170" s="96" t="n">
        <f aca="false">IF(GanttView[[#This Row],[_RemFrom]]=0,0,GanttView[[#This Row],[Finish]])</f>
        <v>0</v>
      </c>
      <c r="T170" s="95" t="b">
        <f aca="false">IF(IFERROR(INDEX(tsk_Name,GanttView[[#This Row],[_Row]])="",TRUE()),FALSE(),N(INDEX(tsk_Variance,GanttView[[#This Row],[_Row]]))&gt;0)</f>
        <v>0</v>
      </c>
      <c r="U170" s="96" t="n">
        <f aca="false">IF(IFERROR(INDEX(tsk_Name,GanttView[[#This Row],[_Row]])="",TRUE()),0,N(INDEX(tsk_Deadline,GanttView[[#This Row],[_Row]])))</f>
        <v>0</v>
      </c>
      <c r="V170" s="95" t="b">
        <f aca="false">IF(IFERROR(INDEX(tsk_Name,GanttView[[#This Row],[_Row]])="",TRUE()),FALSE(),INDEX(tsk_Critical,GanttView[[#This Row],[_Row]])="Yes")</f>
        <v>0</v>
      </c>
    </row>
    <row r="171" customFormat="false" ht="15" hidden="false" customHeight="false" outlineLevel="0" collapsed="false">
      <c r="A171" s="89" t="str">
        <f aca="false">IF(IFERROR(INDEX(tsk_Name,GanttView[[#This Row],[_Row]])="",TRUE()),"",INDEX(tsk_ID,GanttView[[#This Row],[_Row]]))</f>
        <v/>
      </c>
      <c r="B171" s="90" t="str">
        <f aca="false">IF(IFERROR(INDEX(tsk_Name,GanttView[[#This Row],[_Row]])="",TRUE()),"",REPT("    ",INDEX(tsk_Level,GanttView[[#This Row],[_Row]])-1)&amp;INDEX(tsk_Name,GanttView[[#This Row],[_Row]]))</f>
        <v/>
      </c>
      <c r="C171" s="91" t="str">
        <f aca="false">IF(IFERROR(INDEX(tsk_Name,GanttView[[#This Row],[_Row]])="",TRUE()),"",INDEX(tsk_FcStart,GanttView[[#This Row],[_Row]]))</f>
        <v/>
      </c>
      <c r="D171" s="91" t="str">
        <f aca="false">IF(IFERROR(INDEX(tsk_Name,GanttView[[#This Row],[_Row]])="",TRUE()),"",INDEX(tsk_FcFinish,GanttView[[#This Row],[_Row]]))</f>
        <v/>
      </c>
      <c r="E171" s="92" t="str">
        <f aca="false">IF(IFERROR(INDEX(tsk_Name,GanttView[[#This Row],[_Row]])="",TRUE()),"",INDEX(tsk_Progress,GanttView[[#This Row],[_Row]]))</f>
        <v/>
      </c>
      <c r="F171" s="90" t="str">
        <f aca="false">IF(IFERROR(INDEX(tsk_Name,GanttView[[#This Row],[_Row]])="",TRUE()),"",INDEX(tsk_ResourceNames,GanttView[[#This Row],[_Row]])&amp;"")</f>
        <v/>
      </c>
      <c r="G171" s="89" t="str">
        <f aca="false">IF(IFERROR(INDEX(tsk_Name,GanttView[[#This Row],[_Row]])="",TRUE()),"",INDEX(tsk_WBS,GanttView[[#This Row],[_Row]]))</f>
        <v/>
      </c>
      <c r="H171" s="89" t="str">
        <f aca="false">IF(IFERROR(INDEX(tsk_Name,GanttView[[#This Row],[_Row]])="",TRUE()),"",IF(INDEX(tsk_IsSummary,GanttView[[#This Row],[_Row]]),NETWORKDAYS.INTL(INDEX(tsk_FcStart,GanttView[[#This Row],[_Row]]),INDEX(tsk_FcFinish,GanttView[[#This Row],[_Row]]),WorkWeek,Holidays),N(INDEX(tsk_Duration,GanttView[[#This Row],[_Row]]))))</f>
        <v/>
      </c>
      <c r="I171" s="91" t="str">
        <f aca="false">IF(IFERROR(INDEX(tsk_Name,GanttView[[#This Row],[_Row]])="",TRUE()),"",INDEX(tsk_PlanStart,GanttView[[#This Row],[_Row]]))</f>
        <v/>
      </c>
      <c r="J171" s="91" t="str">
        <f aca="false">IF(IFERROR(INDEX(tsk_Name,GanttView[[#This Row],[_Row]])="",TRUE()),"",INDEX(tsk_PlanFinish,GanttView[[#This Row],[_Row]]))</f>
        <v/>
      </c>
      <c r="K171" s="93" t="str">
        <f aca="false">IF(IFERROR(INDEX(tsk_Name,GanttView[[#This Row],[_Row]])="",TRUE()),"",INDEX(tsk_Status,GanttView[[#This Row],[_Row]]))</f>
        <v/>
      </c>
      <c r="L171" s="93" t="str">
        <f aca="false">IF(IFERROR(INDEX(tsk_Name,GanttView[[#This Row],[_Row]])="",TRUE()),"",INDEX(tsk_Show,GanttView[[#This Row],[_Row]])&amp;"")</f>
        <v/>
      </c>
      <c r="M171" s="94" t="n">
        <f aca="false">ROW()-ROW(GanttView[[#Headers],[ID]])</f>
        <v>166</v>
      </c>
      <c r="N171" s="95" t="b">
        <f aca="false">IF(IFERROR(INDEX(tsk_Name,GanttView[[#This Row],[_Row]])="",TRUE()),FALSE(),INDEX(tsk_IsSummary,GanttView[[#This Row],[_Row]]))</f>
        <v>0</v>
      </c>
      <c r="O171" s="95" t="b">
        <f aca="false">IF(IFERROR(INDEX(tsk_Name,GanttView[[#This Row],[_Row]])="",TRUE()),FALSE(),AND(INDEX(tsk_IsLeaf,GanttView[[#This Row],[_Row]])=1,N(INDEX(tsk_Duration,GanttView[[#This Row],[_Row]]))=0))</f>
        <v>0</v>
      </c>
      <c r="P171" s="96" t="n">
        <f aca="false">IF(IFERROR(INDEX(tsk_Name,GanttView[[#This Row],[_Row]])="",TRUE()),0,IF(AND(INDEX(tsk_IsLeaf,GanttView[[#This Row],[_Row]])=1,NOT(GanttView[[#This Row],[_IsMilestone]]),N(GanttView[[#This Row],[%]])&gt;0),GanttView[[#This Row],[Start]],0))</f>
        <v>0</v>
      </c>
      <c r="Q171" s="96" t="n">
        <f aca="false">IF(GanttView[[#This Row],[_DoneFrom]]=0,0,IF(GanttView[[#This Row],[%]]&gt;=1,GanttView[[#This Row],[Finish]],MAX(GanttView[[#This Row],[_DoneFrom]],GanttView[[#This Row],[Start]]+ROUND((GanttView[[#This Row],[Finish]]-GanttView[[#This Row],[Start]]+1)*GanttView[[#This Row],[%]],0)-1)))</f>
        <v>0</v>
      </c>
      <c r="R171" s="96" t="n">
        <f aca="false">IF(IFERROR(INDEX(tsk_Name,GanttView[[#This Row],[_Row]])="",TRUE()),0,IF(OR(INDEX(tsk_IsLeaf,GanttView[[#This Row],[_Row]])&lt;&gt;1,GanttView[[#This Row],[_IsMilestone]],N(GanttView[[#This Row],[%]])&gt;=1),0,IF(GanttView[[#This Row],[_DoneTo]]&gt;0,GanttView[[#This Row],[_DoneTo]]+1,GanttView[[#This Row],[Start]])))</f>
        <v>0</v>
      </c>
      <c r="S171" s="96" t="n">
        <f aca="false">IF(GanttView[[#This Row],[_RemFrom]]=0,0,GanttView[[#This Row],[Finish]])</f>
        <v>0</v>
      </c>
      <c r="T171" s="95" t="b">
        <f aca="false">IF(IFERROR(INDEX(tsk_Name,GanttView[[#This Row],[_Row]])="",TRUE()),FALSE(),N(INDEX(tsk_Variance,GanttView[[#This Row],[_Row]]))&gt;0)</f>
        <v>0</v>
      </c>
      <c r="U171" s="96" t="n">
        <f aca="false">IF(IFERROR(INDEX(tsk_Name,GanttView[[#This Row],[_Row]])="",TRUE()),0,N(INDEX(tsk_Deadline,GanttView[[#This Row],[_Row]])))</f>
        <v>0</v>
      </c>
      <c r="V171" s="95" t="b">
        <f aca="false">IF(IFERROR(INDEX(tsk_Name,GanttView[[#This Row],[_Row]])="",TRUE()),FALSE(),INDEX(tsk_Critical,GanttView[[#This Row],[_Row]])="Yes")</f>
        <v>0</v>
      </c>
    </row>
    <row r="172" customFormat="false" ht="15" hidden="false" customHeight="false" outlineLevel="0" collapsed="false">
      <c r="A172" s="89" t="str">
        <f aca="false">IF(IFERROR(INDEX(tsk_Name,GanttView[[#This Row],[_Row]])="",TRUE()),"",INDEX(tsk_ID,GanttView[[#This Row],[_Row]]))</f>
        <v/>
      </c>
      <c r="B172" s="90" t="str">
        <f aca="false">IF(IFERROR(INDEX(tsk_Name,GanttView[[#This Row],[_Row]])="",TRUE()),"",REPT("    ",INDEX(tsk_Level,GanttView[[#This Row],[_Row]])-1)&amp;INDEX(tsk_Name,GanttView[[#This Row],[_Row]]))</f>
        <v/>
      </c>
      <c r="C172" s="91" t="str">
        <f aca="false">IF(IFERROR(INDEX(tsk_Name,GanttView[[#This Row],[_Row]])="",TRUE()),"",INDEX(tsk_FcStart,GanttView[[#This Row],[_Row]]))</f>
        <v/>
      </c>
      <c r="D172" s="91" t="str">
        <f aca="false">IF(IFERROR(INDEX(tsk_Name,GanttView[[#This Row],[_Row]])="",TRUE()),"",INDEX(tsk_FcFinish,GanttView[[#This Row],[_Row]]))</f>
        <v/>
      </c>
      <c r="E172" s="92" t="str">
        <f aca="false">IF(IFERROR(INDEX(tsk_Name,GanttView[[#This Row],[_Row]])="",TRUE()),"",INDEX(tsk_Progress,GanttView[[#This Row],[_Row]]))</f>
        <v/>
      </c>
      <c r="F172" s="90" t="str">
        <f aca="false">IF(IFERROR(INDEX(tsk_Name,GanttView[[#This Row],[_Row]])="",TRUE()),"",INDEX(tsk_ResourceNames,GanttView[[#This Row],[_Row]])&amp;"")</f>
        <v/>
      </c>
      <c r="G172" s="89" t="str">
        <f aca="false">IF(IFERROR(INDEX(tsk_Name,GanttView[[#This Row],[_Row]])="",TRUE()),"",INDEX(tsk_WBS,GanttView[[#This Row],[_Row]]))</f>
        <v/>
      </c>
      <c r="H172" s="89" t="str">
        <f aca="false">IF(IFERROR(INDEX(tsk_Name,GanttView[[#This Row],[_Row]])="",TRUE()),"",IF(INDEX(tsk_IsSummary,GanttView[[#This Row],[_Row]]),NETWORKDAYS.INTL(INDEX(tsk_FcStart,GanttView[[#This Row],[_Row]]),INDEX(tsk_FcFinish,GanttView[[#This Row],[_Row]]),WorkWeek,Holidays),N(INDEX(tsk_Duration,GanttView[[#This Row],[_Row]]))))</f>
        <v/>
      </c>
      <c r="I172" s="91" t="str">
        <f aca="false">IF(IFERROR(INDEX(tsk_Name,GanttView[[#This Row],[_Row]])="",TRUE()),"",INDEX(tsk_PlanStart,GanttView[[#This Row],[_Row]]))</f>
        <v/>
      </c>
      <c r="J172" s="91" t="str">
        <f aca="false">IF(IFERROR(INDEX(tsk_Name,GanttView[[#This Row],[_Row]])="",TRUE()),"",INDEX(tsk_PlanFinish,GanttView[[#This Row],[_Row]]))</f>
        <v/>
      </c>
      <c r="K172" s="93" t="str">
        <f aca="false">IF(IFERROR(INDEX(tsk_Name,GanttView[[#This Row],[_Row]])="",TRUE()),"",INDEX(tsk_Status,GanttView[[#This Row],[_Row]]))</f>
        <v/>
      </c>
      <c r="L172" s="93" t="str">
        <f aca="false">IF(IFERROR(INDEX(tsk_Name,GanttView[[#This Row],[_Row]])="",TRUE()),"",INDEX(tsk_Show,GanttView[[#This Row],[_Row]])&amp;"")</f>
        <v/>
      </c>
      <c r="M172" s="94" t="n">
        <f aca="false">ROW()-ROW(GanttView[[#Headers],[ID]])</f>
        <v>167</v>
      </c>
      <c r="N172" s="95" t="b">
        <f aca="false">IF(IFERROR(INDEX(tsk_Name,GanttView[[#This Row],[_Row]])="",TRUE()),FALSE(),INDEX(tsk_IsSummary,GanttView[[#This Row],[_Row]]))</f>
        <v>0</v>
      </c>
      <c r="O172" s="95" t="b">
        <f aca="false">IF(IFERROR(INDEX(tsk_Name,GanttView[[#This Row],[_Row]])="",TRUE()),FALSE(),AND(INDEX(tsk_IsLeaf,GanttView[[#This Row],[_Row]])=1,N(INDEX(tsk_Duration,GanttView[[#This Row],[_Row]]))=0))</f>
        <v>0</v>
      </c>
      <c r="P172" s="96" t="n">
        <f aca="false">IF(IFERROR(INDEX(tsk_Name,GanttView[[#This Row],[_Row]])="",TRUE()),0,IF(AND(INDEX(tsk_IsLeaf,GanttView[[#This Row],[_Row]])=1,NOT(GanttView[[#This Row],[_IsMilestone]]),N(GanttView[[#This Row],[%]])&gt;0),GanttView[[#This Row],[Start]],0))</f>
        <v>0</v>
      </c>
      <c r="Q172" s="96" t="n">
        <f aca="false">IF(GanttView[[#This Row],[_DoneFrom]]=0,0,IF(GanttView[[#This Row],[%]]&gt;=1,GanttView[[#This Row],[Finish]],MAX(GanttView[[#This Row],[_DoneFrom]],GanttView[[#This Row],[Start]]+ROUND((GanttView[[#This Row],[Finish]]-GanttView[[#This Row],[Start]]+1)*GanttView[[#This Row],[%]],0)-1)))</f>
        <v>0</v>
      </c>
      <c r="R172" s="96" t="n">
        <f aca="false">IF(IFERROR(INDEX(tsk_Name,GanttView[[#This Row],[_Row]])="",TRUE()),0,IF(OR(INDEX(tsk_IsLeaf,GanttView[[#This Row],[_Row]])&lt;&gt;1,GanttView[[#This Row],[_IsMilestone]],N(GanttView[[#This Row],[%]])&gt;=1),0,IF(GanttView[[#This Row],[_DoneTo]]&gt;0,GanttView[[#This Row],[_DoneTo]]+1,GanttView[[#This Row],[Start]])))</f>
        <v>0</v>
      </c>
      <c r="S172" s="96" t="n">
        <f aca="false">IF(GanttView[[#This Row],[_RemFrom]]=0,0,GanttView[[#This Row],[Finish]])</f>
        <v>0</v>
      </c>
      <c r="T172" s="95" t="b">
        <f aca="false">IF(IFERROR(INDEX(tsk_Name,GanttView[[#This Row],[_Row]])="",TRUE()),FALSE(),N(INDEX(tsk_Variance,GanttView[[#This Row],[_Row]]))&gt;0)</f>
        <v>0</v>
      </c>
      <c r="U172" s="96" t="n">
        <f aca="false">IF(IFERROR(INDEX(tsk_Name,GanttView[[#This Row],[_Row]])="",TRUE()),0,N(INDEX(tsk_Deadline,GanttView[[#This Row],[_Row]])))</f>
        <v>0</v>
      </c>
      <c r="V172" s="95" t="b">
        <f aca="false">IF(IFERROR(INDEX(tsk_Name,GanttView[[#This Row],[_Row]])="",TRUE()),FALSE(),INDEX(tsk_Critical,GanttView[[#This Row],[_Row]])="Yes")</f>
        <v>0</v>
      </c>
    </row>
    <row r="173" customFormat="false" ht="15" hidden="false" customHeight="false" outlineLevel="0" collapsed="false">
      <c r="A173" s="89" t="str">
        <f aca="false">IF(IFERROR(INDEX(tsk_Name,GanttView[[#This Row],[_Row]])="",TRUE()),"",INDEX(tsk_ID,GanttView[[#This Row],[_Row]]))</f>
        <v/>
      </c>
      <c r="B173" s="90" t="str">
        <f aca="false">IF(IFERROR(INDEX(tsk_Name,GanttView[[#This Row],[_Row]])="",TRUE()),"",REPT("    ",INDEX(tsk_Level,GanttView[[#This Row],[_Row]])-1)&amp;INDEX(tsk_Name,GanttView[[#This Row],[_Row]]))</f>
        <v/>
      </c>
      <c r="C173" s="91" t="str">
        <f aca="false">IF(IFERROR(INDEX(tsk_Name,GanttView[[#This Row],[_Row]])="",TRUE()),"",INDEX(tsk_FcStart,GanttView[[#This Row],[_Row]]))</f>
        <v/>
      </c>
      <c r="D173" s="91" t="str">
        <f aca="false">IF(IFERROR(INDEX(tsk_Name,GanttView[[#This Row],[_Row]])="",TRUE()),"",INDEX(tsk_FcFinish,GanttView[[#This Row],[_Row]]))</f>
        <v/>
      </c>
      <c r="E173" s="92" t="str">
        <f aca="false">IF(IFERROR(INDEX(tsk_Name,GanttView[[#This Row],[_Row]])="",TRUE()),"",INDEX(tsk_Progress,GanttView[[#This Row],[_Row]]))</f>
        <v/>
      </c>
      <c r="F173" s="90" t="str">
        <f aca="false">IF(IFERROR(INDEX(tsk_Name,GanttView[[#This Row],[_Row]])="",TRUE()),"",INDEX(tsk_ResourceNames,GanttView[[#This Row],[_Row]])&amp;"")</f>
        <v/>
      </c>
      <c r="G173" s="89" t="str">
        <f aca="false">IF(IFERROR(INDEX(tsk_Name,GanttView[[#This Row],[_Row]])="",TRUE()),"",INDEX(tsk_WBS,GanttView[[#This Row],[_Row]]))</f>
        <v/>
      </c>
      <c r="H173" s="89" t="str">
        <f aca="false">IF(IFERROR(INDEX(tsk_Name,GanttView[[#This Row],[_Row]])="",TRUE()),"",IF(INDEX(tsk_IsSummary,GanttView[[#This Row],[_Row]]),NETWORKDAYS.INTL(INDEX(tsk_FcStart,GanttView[[#This Row],[_Row]]),INDEX(tsk_FcFinish,GanttView[[#This Row],[_Row]]),WorkWeek,Holidays),N(INDEX(tsk_Duration,GanttView[[#This Row],[_Row]]))))</f>
        <v/>
      </c>
      <c r="I173" s="91" t="str">
        <f aca="false">IF(IFERROR(INDEX(tsk_Name,GanttView[[#This Row],[_Row]])="",TRUE()),"",INDEX(tsk_PlanStart,GanttView[[#This Row],[_Row]]))</f>
        <v/>
      </c>
      <c r="J173" s="91" t="str">
        <f aca="false">IF(IFERROR(INDEX(tsk_Name,GanttView[[#This Row],[_Row]])="",TRUE()),"",INDEX(tsk_PlanFinish,GanttView[[#This Row],[_Row]]))</f>
        <v/>
      </c>
      <c r="K173" s="93" t="str">
        <f aca="false">IF(IFERROR(INDEX(tsk_Name,GanttView[[#This Row],[_Row]])="",TRUE()),"",INDEX(tsk_Status,GanttView[[#This Row],[_Row]]))</f>
        <v/>
      </c>
      <c r="L173" s="93" t="str">
        <f aca="false">IF(IFERROR(INDEX(tsk_Name,GanttView[[#This Row],[_Row]])="",TRUE()),"",INDEX(tsk_Show,GanttView[[#This Row],[_Row]])&amp;"")</f>
        <v/>
      </c>
      <c r="M173" s="94" t="n">
        <f aca="false">ROW()-ROW(GanttView[[#Headers],[ID]])</f>
        <v>168</v>
      </c>
      <c r="N173" s="95" t="b">
        <f aca="false">IF(IFERROR(INDEX(tsk_Name,GanttView[[#This Row],[_Row]])="",TRUE()),FALSE(),INDEX(tsk_IsSummary,GanttView[[#This Row],[_Row]]))</f>
        <v>0</v>
      </c>
      <c r="O173" s="95" t="b">
        <f aca="false">IF(IFERROR(INDEX(tsk_Name,GanttView[[#This Row],[_Row]])="",TRUE()),FALSE(),AND(INDEX(tsk_IsLeaf,GanttView[[#This Row],[_Row]])=1,N(INDEX(tsk_Duration,GanttView[[#This Row],[_Row]]))=0))</f>
        <v>0</v>
      </c>
      <c r="P173" s="96" t="n">
        <f aca="false">IF(IFERROR(INDEX(tsk_Name,GanttView[[#This Row],[_Row]])="",TRUE()),0,IF(AND(INDEX(tsk_IsLeaf,GanttView[[#This Row],[_Row]])=1,NOT(GanttView[[#This Row],[_IsMilestone]]),N(GanttView[[#This Row],[%]])&gt;0),GanttView[[#This Row],[Start]],0))</f>
        <v>0</v>
      </c>
      <c r="Q173" s="96" t="n">
        <f aca="false">IF(GanttView[[#This Row],[_DoneFrom]]=0,0,IF(GanttView[[#This Row],[%]]&gt;=1,GanttView[[#This Row],[Finish]],MAX(GanttView[[#This Row],[_DoneFrom]],GanttView[[#This Row],[Start]]+ROUND((GanttView[[#This Row],[Finish]]-GanttView[[#This Row],[Start]]+1)*GanttView[[#This Row],[%]],0)-1)))</f>
        <v>0</v>
      </c>
      <c r="R173" s="96" t="n">
        <f aca="false">IF(IFERROR(INDEX(tsk_Name,GanttView[[#This Row],[_Row]])="",TRUE()),0,IF(OR(INDEX(tsk_IsLeaf,GanttView[[#This Row],[_Row]])&lt;&gt;1,GanttView[[#This Row],[_IsMilestone]],N(GanttView[[#This Row],[%]])&gt;=1),0,IF(GanttView[[#This Row],[_DoneTo]]&gt;0,GanttView[[#This Row],[_DoneTo]]+1,GanttView[[#This Row],[Start]])))</f>
        <v>0</v>
      </c>
      <c r="S173" s="96" t="n">
        <f aca="false">IF(GanttView[[#This Row],[_RemFrom]]=0,0,GanttView[[#This Row],[Finish]])</f>
        <v>0</v>
      </c>
      <c r="T173" s="95" t="b">
        <f aca="false">IF(IFERROR(INDEX(tsk_Name,GanttView[[#This Row],[_Row]])="",TRUE()),FALSE(),N(INDEX(tsk_Variance,GanttView[[#This Row],[_Row]]))&gt;0)</f>
        <v>0</v>
      </c>
      <c r="U173" s="96" t="n">
        <f aca="false">IF(IFERROR(INDEX(tsk_Name,GanttView[[#This Row],[_Row]])="",TRUE()),0,N(INDEX(tsk_Deadline,GanttView[[#This Row],[_Row]])))</f>
        <v>0</v>
      </c>
      <c r="V173" s="95" t="b">
        <f aca="false">IF(IFERROR(INDEX(tsk_Name,GanttView[[#This Row],[_Row]])="",TRUE()),FALSE(),INDEX(tsk_Critical,GanttView[[#This Row],[_Row]])="Yes")</f>
        <v>0</v>
      </c>
    </row>
    <row r="174" customFormat="false" ht="15" hidden="false" customHeight="false" outlineLevel="0" collapsed="false">
      <c r="A174" s="89" t="str">
        <f aca="false">IF(IFERROR(INDEX(tsk_Name,GanttView[[#This Row],[_Row]])="",TRUE()),"",INDEX(tsk_ID,GanttView[[#This Row],[_Row]]))</f>
        <v/>
      </c>
      <c r="B174" s="90" t="str">
        <f aca="false">IF(IFERROR(INDEX(tsk_Name,GanttView[[#This Row],[_Row]])="",TRUE()),"",REPT("    ",INDEX(tsk_Level,GanttView[[#This Row],[_Row]])-1)&amp;INDEX(tsk_Name,GanttView[[#This Row],[_Row]]))</f>
        <v/>
      </c>
      <c r="C174" s="91" t="str">
        <f aca="false">IF(IFERROR(INDEX(tsk_Name,GanttView[[#This Row],[_Row]])="",TRUE()),"",INDEX(tsk_FcStart,GanttView[[#This Row],[_Row]]))</f>
        <v/>
      </c>
      <c r="D174" s="91" t="str">
        <f aca="false">IF(IFERROR(INDEX(tsk_Name,GanttView[[#This Row],[_Row]])="",TRUE()),"",INDEX(tsk_FcFinish,GanttView[[#This Row],[_Row]]))</f>
        <v/>
      </c>
      <c r="E174" s="92" t="str">
        <f aca="false">IF(IFERROR(INDEX(tsk_Name,GanttView[[#This Row],[_Row]])="",TRUE()),"",INDEX(tsk_Progress,GanttView[[#This Row],[_Row]]))</f>
        <v/>
      </c>
      <c r="F174" s="90" t="str">
        <f aca="false">IF(IFERROR(INDEX(tsk_Name,GanttView[[#This Row],[_Row]])="",TRUE()),"",INDEX(tsk_ResourceNames,GanttView[[#This Row],[_Row]])&amp;"")</f>
        <v/>
      </c>
      <c r="G174" s="89" t="str">
        <f aca="false">IF(IFERROR(INDEX(tsk_Name,GanttView[[#This Row],[_Row]])="",TRUE()),"",INDEX(tsk_WBS,GanttView[[#This Row],[_Row]]))</f>
        <v/>
      </c>
      <c r="H174" s="89" t="str">
        <f aca="false">IF(IFERROR(INDEX(tsk_Name,GanttView[[#This Row],[_Row]])="",TRUE()),"",IF(INDEX(tsk_IsSummary,GanttView[[#This Row],[_Row]]),NETWORKDAYS.INTL(INDEX(tsk_FcStart,GanttView[[#This Row],[_Row]]),INDEX(tsk_FcFinish,GanttView[[#This Row],[_Row]]),WorkWeek,Holidays),N(INDEX(tsk_Duration,GanttView[[#This Row],[_Row]]))))</f>
        <v/>
      </c>
      <c r="I174" s="91" t="str">
        <f aca="false">IF(IFERROR(INDEX(tsk_Name,GanttView[[#This Row],[_Row]])="",TRUE()),"",INDEX(tsk_PlanStart,GanttView[[#This Row],[_Row]]))</f>
        <v/>
      </c>
      <c r="J174" s="91" t="str">
        <f aca="false">IF(IFERROR(INDEX(tsk_Name,GanttView[[#This Row],[_Row]])="",TRUE()),"",INDEX(tsk_PlanFinish,GanttView[[#This Row],[_Row]]))</f>
        <v/>
      </c>
      <c r="K174" s="93" t="str">
        <f aca="false">IF(IFERROR(INDEX(tsk_Name,GanttView[[#This Row],[_Row]])="",TRUE()),"",INDEX(tsk_Status,GanttView[[#This Row],[_Row]]))</f>
        <v/>
      </c>
      <c r="L174" s="93" t="str">
        <f aca="false">IF(IFERROR(INDEX(tsk_Name,GanttView[[#This Row],[_Row]])="",TRUE()),"",INDEX(tsk_Show,GanttView[[#This Row],[_Row]])&amp;"")</f>
        <v/>
      </c>
      <c r="M174" s="94" t="n">
        <f aca="false">ROW()-ROW(GanttView[[#Headers],[ID]])</f>
        <v>169</v>
      </c>
      <c r="N174" s="95" t="b">
        <f aca="false">IF(IFERROR(INDEX(tsk_Name,GanttView[[#This Row],[_Row]])="",TRUE()),FALSE(),INDEX(tsk_IsSummary,GanttView[[#This Row],[_Row]]))</f>
        <v>0</v>
      </c>
      <c r="O174" s="95" t="b">
        <f aca="false">IF(IFERROR(INDEX(tsk_Name,GanttView[[#This Row],[_Row]])="",TRUE()),FALSE(),AND(INDEX(tsk_IsLeaf,GanttView[[#This Row],[_Row]])=1,N(INDEX(tsk_Duration,GanttView[[#This Row],[_Row]]))=0))</f>
        <v>0</v>
      </c>
      <c r="P174" s="96" t="n">
        <f aca="false">IF(IFERROR(INDEX(tsk_Name,GanttView[[#This Row],[_Row]])="",TRUE()),0,IF(AND(INDEX(tsk_IsLeaf,GanttView[[#This Row],[_Row]])=1,NOT(GanttView[[#This Row],[_IsMilestone]]),N(GanttView[[#This Row],[%]])&gt;0),GanttView[[#This Row],[Start]],0))</f>
        <v>0</v>
      </c>
      <c r="Q174" s="96" t="n">
        <f aca="false">IF(GanttView[[#This Row],[_DoneFrom]]=0,0,IF(GanttView[[#This Row],[%]]&gt;=1,GanttView[[#This Row],[Finish]],MAX(GanttView[[#This Row],[_DoneFrom]],GanttView[[#This Row],[Start]]+ROUND((GanttView[[#This Row],[Finish]]-GanttView[[#This Row],[Start]]+1)*GanttView[[#This Row],[%]],0)-1)))</f>
        <v>0</v>
      </c>
      <c r="R174" s="96" t="n">
        <f aca="false">IF(IFERROR(INDEX(tsk_Name,GanttView[[#This Row],[_Row]])="",TRUE()),0,IF(OR(INDEX(tsk_IsLeaf,GanttView[[#This Row],[_Row]])&lt;&gt;1,GanttView[[#This Row],[_IsMilestone]],N(GanttView[[#This Row],[%]])&gt;=1),0,IF(GanttView[[#This Row],[_DoneTo]]&gt;0,GanttView[[#This Row],[_DoneTo]]+1,GanttView[[#This Row],[Start]])))</f>
        <v>0</v>
      </c>
      <c r="S174" s="96" t="n">
        <f aca="false">IF(GanttView[[#This Row],[_RemFrom]]=0,0,GanttView[[#This Row],[Finish]])</f>
        <v>0</v>
      </c>
      <c r="T174" s="95" t="b">
        <f aca="false">IF(IFERROR(INDEX(tsk_Name,GanttView[[#This Row],[_Row]])="",TRUE()),FALSE(),N(INDEX(tsk_Variance,GanttView[[#This Row],[_Row]]))&gt;0)</f>
        <v>0</v>
      </c>
      <c r="U174" s="96" t="n">
        <f aca="false">IF(IFERROR(INDEX(tsk_Name,GanttView[[#This Row],[_Row]])="",TRUE()),0,N(INDEX(tsk_Deadline,GanttView[[#This Row],[_Row]])))</f>
        <v>0</v>
      </c>
      <c r="V174" s="95" t="b">
        <f aca="false">IF(IFERROR(INDEX(tsk_Name,GanttView[[#This Row],[_Row]])="",TRUE()),FALSE(),INDEX(tsk_Critical,GanttView[[#This Row],[_Row]])="Yes")</f>
        <v>0</v>
      </c>
    </row>
    <row r="175" customFormat="false" ht="15" hidden="false" customHeight="false" outlineLevel="0" collapsed="false">
      <c r="A175" s="89" t="str">
        <f aca="false">IF(IFERROR(INDEX(tsk_Name,GanttView[[#This Row],[_Row]])="",TRUE()),"",INDEX(tsk_ID,GanttView[[#This Row],[_Row]]))</f>
        <v/>
      </c>
      <c r="B175" s="90" t="str">
        <f aca="false">IF(IFERROR(INDEX(tsk_Name,GanttView[[#This Row],[_Row]])="",TRUE()),"",REPT("    ",INDEX(tsk_Level,GanttView[[#This Row],[_Row]])-1)&amp;INDEX(tsk_Name,GanttView[[#This Row],[_Row]]))</f>
        <v/>
      </c>
      <c r="C175" s="91" t="str">
        <f aca="false">IF(IFERROR(INDEX(tsk_Name,GanttView[[#This Row],[_Row]])="",TRUE()),"",INDEX(tsk_FcStart,GanttView[[#This Row],[_Row]]))</f>
        <v/>
      </c>
      <c r="D175" s="91" t="str">
        <f aca="false">IF(IFERROR(INDEX(tsk_Name,GanttView[[#This Row],[_Row]])="",TRUE()),"",INDEX(tsk_FcFinish,GanttView[[#This Row],[_Row]]))</f>
        <v/>
      </c>
      <c r="E175" s="92" t="str">
        <f aca="false">IF(IFERROR(INDEX(tsk_Name,GanttView[[#This Row],[_Row]])="",TRUE()),"",INDEX(tsk_Progress,GanttView[[#This Row],[_Row]]))</f>
        <v/>
      </c>
      <c r="F175" s="90" t="str">
        <f aca="false">IF(IFERROR(INDEX(tsk_Name,GanttView[[#This Row],[_Row]])="",TRUE()),"",INDEX(tsk_ResourceNames,GanttView[[#This Row],[_Row]])&amp;"")</f>
        <v/>
      </c>
      <c r="G175" s="89" t="str">
        <f aca="false">IF(IFERROR(INDEX(tsk_Name,GanttView[[#This Row],[_Row]])="",TRUE()),"",INDEX(tsk_WBS,GanttView[[#This Row],[_Row]]))</f>
        <v/>
      </c>
      <c r="H175" s="89" t="str">
        <f aca="false">IF(IFERROR(INDEX(tsk_Name,GanttView[[#This Row],[_Row]])="",TRUE()),"",IF(INDEX(tsk_IsSummary,GanttView[[#This Row],[_Row]]),NETWORKDAYS.INTL(INDEX(tsk_FcStart,GanttView[[#This Row],[_Row]]),INDEX(tsk_FcFinish,GanttView[[#This Row],[_Row]]),WorkWeek,Holidays),N(INDEX(tsk_Duration,GanttView[[#This Row],[_Row]]))))</f>
        <v/>
      </c>
      <c r="I175" s="91" t="str">
        <f aca="false">IF(IFERROR(INDEX(tsk_Name,GanttView[[#This Row],[_Row]])="",TRUE()),"",INDEX(tsk_PlanStart,GanttView[[#This Row],[_Row]]))</f>
        <v/>
      </c>
      <c r="J175" s="91" t="str">
        <f aca="false">IF(IFERROR(INDEX(tsk_Name,GanttView[[#This Row],[_Row]])="",TRUE()),"",INDEX(tsk_PlanFinish,GanttView[[#This Row],[_Row]]))</f>
        <v/>
      </c>
      <c r="K175" s="93" t="str">
        <f aca="false">IF(IFERROR(INDEX(tsk_Name,GanttView[[#This Row],[_Row]])="",TRUE()),"",INDEX(tsk_Status,GanttView[[#This Row],[_Row]]))</f>
        <v/>
      </c>
      <c r="L175" s="93" t="str">
        <f aca="false">IF(IFERROR(INDEX(tsk_Name,GanttView[[#This Row],[_Row]])="",TRUE()),"",INDEX(tsk_Show,GanttView[[#This Row],[_Row]])&amp;"")</f>
        <v/>
      </c>
      <c r="M175" s="94" t="n">
        <f aca="false">ROW()-ROW(GanttView[[#Headers],[ID]])</f>
        <v>170</v>
      </c>
      <c r="N175" s="95" t="b">
        <f aca="false">IF(IFERROR(INDEX(tsk_Name,GanttView[[#This Row],[_Row]])="",TRUE()),FALSE(),INDEX(tsk_IsSummary,GanttView[[#This Row],[_Row]]))</f>
        <v>0</v>
      </c>
      <c r="O175" s="95" t="b">
        <f aca="false">IF(IFERROR(INDEX(tsk_Name,GanttView[[#This Row],[_Row]])="",TRUE()),FALSE(),AND(INDEX(tsk_IsLeaf,GanttView[[#This Row],[_Row]])=1,N(INDEX(tsk_Duration,GanttView[[#This Row],[_Row]]))=0))</f>
        <v>0</v>
      </c>
      <c r="P175" s="96" t="n">
        <f aca="false">IF(IFERROR(INDEX(tsk_Name,GanttView[[#This Row],[_Row]])="",TRUE()),0,IF(AND(INDEX(tsk_IsLeaf,GanttView[[#This Row],[_Row]])=1,NOT(GanttView[[#This Row],[_IsMilestone]]),N(GanttView[[#This Row],[%]])&gt;0),GanttView[[#This Row],[Start]],0))</f>
        <v>0</v>
      </c>
      <c r="Q175" s="96" t="n">
        <f aca="false">IF(GanttView[[#This Row],[_DoneFrom]]=0,0,IF(GanttView[[#This Row],[%]]&gt;=1,GanttView[[#This Row],[Finish]],MAX(GanttView[[#This Row],[_DoneFrom]],GanttView[[#This Row],[Start]]+ROUND((GanttView[[#This Row],[Finish]]-GanttView[[#This Row],[Start]]+1)*GanttView[[#This Row],[%]],0)-1)))</f>
        <v>0</v>
      </c>
      <c r="R175" s="96" t="n">
        <f aca="false">IF(IFERROR(INDEX(tsk_Name,GanttView[[#This Row],[_Row]])="",TRUE()),0,IF(OR(INDEX(tsk_IsLeaf,GanttView[[#This Row],[_Row]])&lt;&gt;1,GanttView[[#This Row],[_IsMilestone]],N(GanttView[[#This Row],[%]])&gt;=1),0,IF(GanttView[[#This Row],[_DoneTo]]&gt;0,GanttView[[#This Row],[_DoneTo]]+1,GanttView[[#This Row],[Start]])))</f>
        <v>0</v>
      </c>
      <c r="S175" s="96" t="n">
        <f aca="false">IF(GanttView[[#This Row],[_RemFrom]]=0,0,GanttView[[#This Row],[Finish]])</f>
        <v>0</v>
      </c>
      <c r="T175" s="95" t="b">
        <f aca="false">IF(IFERROR(INDEX(tsk_Name,GanttView[[#This Row],[_Row]])="",TRUE()),FALSE(),N(INDEX(tsk_Variance,GanttView[[#This Row],[_Row]]))&gt;0)</f>
        <v>0</v>
      </c>
      <c r="U175" s="96" t="n">
        <f aca="false">IF(IFERROR(INDEX(tsk_Name,GanttView[[#This Row],[_Row]])="",TRUE()),0,N(INDEX(tsk_Deadline,GanttView[[#This Row],[_Row]])))</f>
        <v>0</v>
      </c>
      <c r="V175" s="95" t="b">
        <f aca="false">IF(IFERROR(INDEX(tsk_Name,GanttView[[#This Row],[_Row]])="",TRUE()),FALSE(),INDEX(tsk_Critical,GanttView[[#This Row],[_Row]])="Yes")</f>
        <v>0</v>
      </c>
    </row>
    <row r="176" customFormat="false" ht="15" hidden="false" customHeight="false" outlineLevel="0" collapsed="false">
      <c r="A176" s="89" t="str">
        <f aca="false">IF(IFERROR(INDEX(tsk_Name,GanttView[[#This Row],[_Row]])="",TRUE()),"",INDEX(tsk_ID,GanttView[[#This Row],[_Row]]))</f>
        <v/>
      </c>
      <c r="B176" s="90" t="str">
        <f aca="false">IF(IFERROR(INDEX(tsk_Name,GanttView[[#This Row],[_Row]])="",TRUE()),"",REPT("    ",INDEX(tsk_Level,GanttView[[#This Row],[_Row]])-1)&amp;INDEX(tsk_Name,GanttView[[#This Row],[_Row]]))</f>
        <v/>
      </c>
      <c r="C176" s="91" t="str">
        <f aca="false">IF(IFERROR(INDEX(tsk_Name,GanttView[[#This Row],[_Row]])="",TRUE()),"",INDEX(tsk_FcStart,GanttView[[#This Row],[_Row]]))</f>
        <v/>
      </c>
      <c r="D176" s="91" t="str">
        <f aca="false">IF(IFERROR(INDEX(tsk_Name,GanttView[[#This Row],[_Row]])="",TRUE()),"",INDEX(tsk_FcFinish,GanttView[[#This Row],[_Row]]))</f>
        <v/>
      </c>
      <c r="E176" s="92" t="str">
        <f aca="false">IF(IFERROR(INDEX(tsk_Name,GanttView[[#This Row],[_Row]])="",TRUE()),"",INDEX(tsk_Progress,GanttView[[#This Row],[_Row]]))</f>
        <v/>
      </c>
      <c r="F176" s="90" t="str">
        <f aca="false">IF(IFERROR(INDEX(tsk_Name,GanttView[[#This Row],[_Row]])="",TRUE()),"",INDEX(tsk_ResourceNames,GanttView[[#This Row],[_Row]])&amp;"")</f>
        <v/>
      </c>
      <c r="G176" s="89" t="str">
        <f aca="false">IF(IFERROR(INDEX(tsk_Name,GanttView[[#This Row],[_Row]])="",TRUE()),"",INDEX(tsk_WBS,GanttView[[#This Row],[_Row]]))</f>
        <v/>
      </c>
      <c r="H176" s="89" t="str">
        <f aca="false">IF(IFERROR(INDEX(tsk_Name,GanttView[[#This Row],[_Row]])="",TRUE()),"",IF(INDEX(tsk_IsSummary,GanttView[[#This Row],[_Row]]),NETWORKDAYS.INTL(INDEX(tsk_FcStart,GanttView[[#This Row],[_Row]]),INDEX(tsk_FcFinish,GanttView[[#This Row],[_Row]]),WorkWeek,Holidays),N(INDEX(tsk_Duration,GanttView[[#This Row],[_Row]]))))</f>
        <v/>
      </c>
      <c r="I176" s="91" t="str">
        <f aca="false">IF(IFERROR(INDEX(tsk_Name,GanttView[[#This Row],[_Row]])="",TRUE()),"",INDEX(tsk_PlanStart,GanttView[[#This Row],[_Row]]))</f>
        <v/>
      </c>
      <c r="J176" s="91" t="str">
        <f aca="false">IF(IFERROR(INDEX(tsk_Name,GanttView[[#This Row],[_Row]])="",TRUE()),"",INDEX(tsk_PlanFinish,GanttView[[#This Row],[_Row]]))</f>
        <v/>
      </c>
      <c r="K176" s="93" t="str">
        <f aca="false">IF(IFERROR(INDEX(tsk_Name,GanttView[[#This Row],[_Row]])="",TRUE()),"",INDEX(tsk_Status,GanttView[[#This Row],[_Row]]))</f>
        <v/>
      </c>
      <c r="L176" s="93" t="str">
        <f aca="false">IF(IFERROR(INDEX(tsk_Name,GanttView[[#This Row],[_Row]])="",TRUE()),"",INDEX(tsk_Show,GanttView[[#This Row],[_Row]])&amp;"")</f>
        <v/>
      </c>
      <c r="M176" s="94" t="n">
        <f aca="false">ROW()-ROW(GanttView[[#Headers],[ID]])</f>
        <v>171</v>
      </c>
      <c r="N176" s="95" t="b">
        <f aca="false">IF(IFERROR(INDEX(tsk_Name,GanttView[[#This Row],[_Row]])="",TRUE()),FALSE(),INDEX(tsk_IsSummary,GanttView[[#This Row],[_Row]]))</f>
        <v>0</v>
      </c>
      <c r="O176" s="95" t="b">
        <f aca="false">IF(IFERROR(INDEX(tsk_Name,GanttView[[#This Row],[_Row]])="",TRUE()),FALSE(),AND(INDEX(tsk_IsLeaf,GanttView[[#This Row],[_Row]])=1,N(INDEX(tsk_Duration,GanttView[[#This Row],[_Row]]))=0))</f>
        <v>0</v>
      </c>
      <c r="P176" s="96" t="n">
        <f aca="false">IF(IFERROR(INDEX(tsk_Name,GanttView[[#This Row],[_Row]])="",TRUE()),0,IF(AND(INDEX(tsk_IsLeaf,GanttView[[#This Row],[_Row]])=1,NOT(GanttView[[#This Row],[_IsMilestone]]),N(GanttView[[#This Row],[%]])&gt;0),GanttView[[#This Row],[Start]],0))</f>
        <v>0</v>
      </c>
      <c r="Q176" s="96" t="n">
        <f aca="false">IF(GanttView[[#This Row],[_DoneFrom]]=0,0,IF(GanttView[[#This Row],[%]]&gt;=1,GanttView[[#This Row],[Finish]],MAX(GanttView[[#This Row],[_DoneFrom]],GanttView[[#This Row],[Start]]+ROUND((GanttView[[#This Row],[Finish]]-GanttView[[#This Row],[Start]]+1)*GanttView[[#This Row],[%]],0)-1)))</f>
        <v>0</v>
      </c>
      <c r="R176" s="96" t="n">
        <f aca="false">IF(IFERROR(INDEX(tsk_Name,GanttView[[#This Row],[_Row]])="",TRUE()),0,IF(OR(INDEX(tsk_IsLeaf,GanttView[[#This Row],[_Row]])&lt;&gt;1,GanttView[[#This Row],[_IsMilestone]],N(GanttView[[#This Row],[%]])&gt;=1),0,IF(GanttView[[#This Row],[_DoneTo]]&gt;0,GanttView[[#This Row],[_DoneTo]]+1,GanttView[[#This Row],[Start]])))</f>
        <v>0</v>
      </c>
      <c r="S176" s="96" t="n">
        <f aca="false">IF(GanttView[[#This Row],[_RemFrom]]=0,0,GanttView[[#This Row],[Finish]])</f>
        <v>0</v>
      </c>
      <c r="T176" s="95" t="b">
        <f aca="false">IF(IFERROR(INDEX(tsk_Name,GanttView[[#This Row],[_Row]])="",TRUE()),FALSE(),N(INDEX(tsk_Variance,GanttView[[#This Row],[_Row]]))&gt;0)</f>
        <v>0</v>
      </c>
      <c r="U176" s="96" t="n">
        <f aca="false">IF(IFERROR(INDEX(tsk_Name,GanttView[[#This Row],[_Row]])="",TRUE()),0,N(INDEX(tsk_Deadline,GanttView[[#This Row],[_Row]])))</f>
        <v>0</v>
      </c>
      <c r="V176" s="95" t="b">
        <f aca="false">IF(IFERROR(INDEX(tsk_Name,GanttView[[#This Row],[_Row]])="",TRUE()),FALSE(),INDEX(tsk_Critical,GanttView[[#This Row],[_Row]])="Yes")</f>
        <v>0</v>
      </c>
    </row>
    <row r="177" customFormat="false" ht="15" hidden="false" customHeight="false" outlineLevel="0" collapsed="false">
      <c r="A177" s="89" t="str">
        <f aca="false">IF(IFERROR(INDEX(tsk_Name,GanttView[[#This Row],[_Row]])="",TRUE()),"",INDEX(tsk_ID,GanttView[[#This Row],[_Row]]))</f>
        <v/>
      </c>
      <c r="B177" s="90" t="str">
        <f aca="false">IF(IFERROR(INDEX(tsk_Name,GanttView[[#This Row],[_Row]])="",TRUE()),"",REPT("    ",INDEX(tsk_Level,GanttView[[#This Row],[_Row]])-1)&amp;INDEX(tsk_Name,GanttView[[#This Row],[_Row]]))</f>
        <v/>
      </c>
      <c r="C177" s="91" t="str">
        <f aca="false">IF(IFERROR(INDEX(tsk_Name,GanttView[[#This Row],[_Row]])="",TRUE()),"",INDEX(tsk_FcStart,GanttView[[#This Row],[_Row]]))</f>
        <v/>
      </c>
      <c r="D177" s="91" t="str">
        <f aca="false">IF(IFERROR(INDEX(tsk_Name,GanttView[[#This Row],[_Row]])="",TRUE()),"",INDEX(tsk_FcFinish,GanttView[[#This Row],[_Row]]))</f>
        <v/>
      </c>
      <c r="E177" s="92" t="str">
        <f aca="false">IF(IFERROR(INDEX(tsk_Name,GanttView[[#This Row],[_Row]])="",TRUE()),"",INDEX(tsk_Progress,GanttView[[#This Row],[_Row]]))</f>
        <v/>
      </c>
      <c r="F177" s="90" t="str">
        <f aca="false">IF(IFERROR(INDEX(tsk_Name,GanttView[[#This Row],[_Row]])="",TRUE()),"",INDEX(tsk_ResourceNames,GanttView[[#This Row],[_Row]])&amp;"")</f>
        <v/>
      </c>
      <c r="G177" s="89" t="str">
        <f aca="false">IF(IFERROR(INDEX(tsk_Name,GanttView[[#This Row],[_Row]])="",TRUE()),"",INDEX(tsk_WBS,GanttView[[#This Row],[_Row]]))</f>
        <v/>
      </c>
      <c r="H177" s="89" t="str">
        <f aca="false">IF(IFERROR(INDEX(tsk_Name,GanttView[[#This Row],[_Row]])="",TRUE()),"",IF(INDEX(tsk_IsSummary,GanttView[[#This Row],[_Row]]),NETWORKDAYS.INTL(INDEX(tsk_FcStart,GanttView[[#This Row],[_Row]]),INDEX(tsk_FcFinish,GanttView[[#This Row],[_Row]]),WorkWeek,Holidays),N(INDEX(tsk_Duration,GanttView[[#This Row],[_Row]]))))</f>
        <v/>
      </c>
      <c r="I177" s="91" t="str">
        <f aca="false">IF(IFERROR(INDEX(tsk_Name,GanttView[[#This Row],[_Row]])="",TRUE()),"",INDEX(tsk_PlanStart,GanttView[[#This Row],[_Row]]))</f>
        <v/>
      </c>
      <c r="J177" s="91" t="str">
        <f aca="false">IF(IFERROR(INDEX(tsk_Name,GanttView[[#This Row],[_Row]])="",TRUE()),"",INDEX(tsk_PlanFinish,GanttView[[#This Row],[_Row]]))</f>
        <v/>
      </c>
      <c r="K177" s="93" t="str">
        <f aca="false">IF(IFERROR(INDEX(tsk_Name,GanttView[[#This Row],[_Row]])="",TRUE()),"",INDEX(tsk_Status,GanttView[[#This Row],[_Row]]))</f>
        <v/>
      </c>
      <c r="L177" s="93" t="str">
        <f aca="false">IF(IFERROR(INDEX(tsk_Name,GanttView[[#This Row],[_Row]])="",TRUE()),"",INDEX(tsk_Show,GanttView[[#This Row],[_Row]])&amp;"")</f>
        <v/>
      </c>
      <c r="M177" s="94" t="n">
        <f aca="false">ROW()-ROW(GanttView[[#Headers],[ID]])</f>
        <v>172</v>
      </c>
      <c r="N177" s="95" t="b">
        <f aca="false">IF(IFERROR(INDEX(tsk_Name,GanttView[[#This Row],[_Row]])="",TRUE()),FALSE(),INDEX(tsk_IsSummary,GanttView[[#This Row],[_Row]]))</f>
        <v>0</v>
      </c>
      <c r="O177" s="95" t="b">
        <f aca="false">IF(IFERROR(INDEX(tsk_Name,GanttView[[#This Row],[_Row]])="",TRUE()),FALSE(),AND(INDEX(tsk_IsLeaf,GanttView[[#This Row],[_Row]])=1,N(INDEX(tsk_Duration,GanttView[[#This Row],[_Row]]))=0))</f>
        <v>0</v>
      </c>
      <c r="P177" s="96" t="n">
        <f aca="false">IF(IFERROR(INDEX(tsk_Name,GanttView[[#This Row],[_Row]])="",TRUE()),0,IF(AND(INDEX(tsk_IsLeaf,GanttView[[#This Row],[_Row]])=1,NOT(GanttView[[#This Row],[_IsMilestone]]),N(GanttView[[#This Row],[%]])&gt;0),GanttView[[#This Row],[Start]],0))</f>
        <v>0</v>
      </c>
      <c r="Q177" s="96" t="n">
        <f aca="false">IF(GanttView[[#This Row],[_DoneFrom]]=0,0,IF(GanttView[[#This Row],[%]]&gt;=1,GanttView[[#This Row],[Finish]],MAX(GanttView[[#This Row],[_DoneFrom]],GanttView[[#This Row],[Start]]+ROUND((GanttView[[#This Row],[Finish]]-GanttView[[#This Row],[Start]]+1)*GanttView[[#This Row],[%]],0)-1)))</f>
        <v>0</v>
      </c>
      <c r="R177" s="96" t="n">
        <f aca="false">IF(IFERROR(INDEX(tsk_Name,GanttView[[#This Row],[_Row]])="",TRUE()),0,IF(OR(INDEX(tsk_IsLeaf,GanttView[[#This Row],[_Row]])&lt;&gt;1,GanttView[[#This Row],[_IsMilestone]],N(GanttView[[#This Row],[%]])&gt;=1),0,IF(GanttView[[#This Row],[_DoneTo]]&gt;0,GanttView[[#This Row],[_DoneTo]]+1,GanttView[[#This Row],[Start]])))</f>
        <v>0</v>
      </c>
      <c r="S177" s="96" t="n">
        <f aca="false">IF(GanttView[[#This Row],[_RemFrom]]=0,0,GanttView[[#This Row],[Finish]])</f>
        <v>0</v>
      </c>
      <c r="T177" s="95" t="b">
        <f aca="false">IF(IFERROR(INDEX(tsk_Name,GanttView[[#This Row],[_Row]])="",TRUE()),FALSE(),N(INDEX(tsk_Variance,GanttView[[#This Row],[_Row]]))&gt;0)</f>
        <v>0</v>
      </c>
      <c r="U177" s="96" t="n">
        <f aca="false">IF(IFERROR(INDEX(tsk_Name,GanttView[[#This Row],[_Row]])="",TRUE()),0,N(INDEX(tsk_Deadline,GanttView[[#This Row],[_Row]])))</f>
        <v>0</v>
      </c>
      <c r="V177" s="95" t="b">
        <f aca="false">IF(IFERROR(INDEX(tsk_Name,GanttView[[#This Row],[_Row]])="",TRUE()),FALSE(),INDEX(tsk_Critical,GanttView[[#This Row],[_Row]])="Yes")</f>
        <v>0</v>
      </c>
    </row>
    <row r="178" customFormat="false" ht="15" hidden="false" customHeight="false" outlineLevel="0" collapsed="false">
      <c r="A178" s="89" t="str">
        <f aca="false">IF(IFERROR(INDEX(tsk_Name,GanttView[[#This Row],[_Row]])="",TRUE()),"",INDEX(tsk_ID,GanttView[[#This Row],[_Row]]))</f>
        <v/>
      </c>
      <c r="B178" s="90" t="str">
        <f aca="false">IF(IFERROR(INDEX(tsk_Name,GanttView[[#This Row],[_Row]])="",TRUE()),"",REPT("    ",INDEX(tsk_Level,GanttView[[#This Row],[_Row]])-1)&amp;INDEX(tsk_Name,GanttView[[#This Row],[_Row]]))</f>
        <v/>
      </c>
      <c r="C178" s="91" t="str">
        <f aca="false">IF(IFERROR(INDEX(tsk_Name,GanttView[[#This Row],[_Row]])="",TRUE()),"",INDEX(tsk_FcStart,GanttView[[#This Row],[_Row]]))</f>
        <v/>
      </c>
      <c r="D178" s="91" t="str">
        <f aca="false">IF(IFERROR(INDEX(tsk_Name,GanttView[[#This Row],[_Row]])="",TRUE()),"",INDEX(tsk_FcFinish,GanttView[[#This Row],[_Row]]))</f>
        <v/>
      </c>
      <c r="E178" s="92" t="str">
        <f aca="false">IF(IFERROR(INDEX(tsk_Name,GanttView[[#This Row],[_Row]])="",TRUE()),"",INDEX(tsk_Progress,GanttView[[#This Row],[_Row]]))</f>
        <v/>
      </c>
      <c r="F178" s="90" t="str">
        <f aca="false">IF(IFERROR(INDEX(tsk_Name,GanttView[[#This Row],[_Row]])="",TRUE()),"",INDEX(tsk_ResourceNames,GanttView[[#This Row],[_Row]])&amp;"")</f>
        <v/>
      </c>
      <c r="G178" s="89" t="str">
        <f aca="false">IF(IFERROR(INDEX(tsk_Name,GanttView[[#This Row],[_Row]])="",TRUE()),"",INDEX(tsk_WBS,GanttView[[#This Row],[_Row]]))</f>
        <v/>
      </c>
      <c r="H178" s="89" t="str">
        <f aca="false">IF(IFERROR(INDEX(tsk_Name,GanttView[[#This Row],[_Row]])="",TRUE()),"",IF(INDEX(tsk_IsSummary,GanttView[[#This Row],[_Row]]),NETWORKDAYS.INTL(INDEX(tsk_FcStart,GanttView[[#This Row],[_Row]]),INDEX(tsk_FcFinish,GanttView[[#This Row],[_Row]]),WorkWeek,Holidays),N(INDEX(tsk_Duration,GanttView[[#This Row],[_Row]]))))</f>
        <v/>
      </c>
      <c r="I178" s="91" t="str">
        <f aca="false">IF(IFERROR(INDEX(tsk_Name,GanttView[[#This Row],[_Row]])="",TRUE()),"",INDEX(tsk_PlanStart,GanttView[[#This Row],[_Row]]))</f>
        <v/>
      </c>
      <c r="J178" s="91" t="str">
        <f aca="false">IF(IFERROR(INDEX(tsk_Name,GanttView[[#This Row],[_Row]])="",TRUE()),"",INDEX(tsk_PlanFinish,GanttView[[#This Row],[_Row]]))</f>
        <v/>
      </c>
      <c r="K178" s="93" t="str">
        <f aca="false">IF(IFERROR(INDEX(tsk_Name,GanttView[[#This Row],[_Row]])="",TRUE()),"",INDEX(tsk_Status,GanttView[[#This Row],[_Row]]))</f>
        <v/>
      </c>
      <c r="L178" s="93" t="str">
        <f aca="false">IF(IFERROR(INDEX(tsk_Name,GanttView[[#This Row],[_Row]])="",TRUE()),"",INDEX(tsk_Show,GanttView[[#This Row],[_Row]])&amp;"")</f>
        <v/>
      </c>
      <c r="M178" s="94" t="n">
        <f aca="false">ROW()-ROW(GanttView[[#Headers],[ID]])</f>
        <v>173</v>
      </c>
      <c r="N178" s="95" t="b">
        <f aca="false">IF(IFERROR(INDEX(tsk_Name,GanttView[[#This Row],[_Row]])="",TRUE()),FALSE(),INDEX(tsk_IsSummary,GanttView[[#This Row],[_Row]]))</f>
        <v>0</v>
      </c>
      <c r="O178" s="95" t="b">
        <f aca="false">IF(IFERROR(INDEX(tsk_Name,GanttView[[#This Row],[_Row]])="",TRUE()),FALSE(),AND(INDEX(tsk_IsLeaf,GanttView[[#This Row],[_Row]])=1,N(INDEX(tsk_Duration,GanttView[[#This Row],[_Row]]))=0))</f>
        <v>0</v>
      </c>
      <c r="P178" s="96" t="n">
        <f aca="false">IF(IFERROR(INDEX(tsk_Name,GanttView[[#This Row],[_Row]])="",TRUE()),0,IF(AND(INDEX(tsk_IsLeaf,GanttView[[#This Row],[_Row]])=1,NOT(GanttView[[#This Row],[_IsMilestone]]),N(GanttView[[#This Row],[%]])&gt;0),GanttView[[#This Row],[Start]],0))</f>
        <v>0</v>
      </c>
      <c r="Q178" s="96" t="n">
        <f aca="false">IF(GanttView[[#This Row],[_DoneFrom]]=0,0,IF(GanttView[[#This Row],[%]]&gt;=1,GanttView[[#This Row],[Finish]],MAX(GanttView[[#This Row],[_DoneFrom]],GanttView[[#This Row],[Start]]+ROUND((GanttView[[#This Row],[Finish]]-GanttView[[#This Row],[Start]]+1)*GanttView[[#This Row],[%]],0)-1)))</f>
        <v>0</v>
      </c>
      <c r="R178" s="96" t="n">
        <f aca="false">IF(IFERROR(INDEX(tsk_Name,GanttView[[#This Row],[_Row]])="",TRUE()),0,IF(OR(INDEX(tsk_IsLeaf,GanttView[[#This Row],[_Row]])&lt;&gt;1,GanttView[[#This Row],[_IsMilestone]],N(GanttView[[#This Row],[%]])&gt;=1),0,IF(GanttView[[#This Row],[_DoneTo]]&gt;0,GanttView[[#This Row],[_DoneTo]]+1,GanttView[[#This Row],[Start]])))</f>
        <v>0</v>
      </c>
      <c r="S178" s="96" t="n">
        <f aca="false">IF(GanttView[[#This Row],[_RemFrom]]=0,0,GanttView[[#This Row],[Finish]])</f>
        <v>0</v>
      </c>
      <c r="T178" s="95" t="b">
        <f aca="false">IF(IFERROR(INDEX(tsk_Name,GanttView[[#This Row],[_Row]])="",TRUE()),FALSE(),N(INDEX(tsk_Variance,GanttView[[#This Row],[_Row]]))&gt;0)</f>
        <v>0</v>
      </c>
      <c r="U178" s="96" t="n">
        <f aca="false">IF(IFERROR(INDEX(tsk_Name,GanttView[[#This Row],[_Row]])="",TRUE()),0,N(INDEX(tsk_Deadline,GanttView[[#This Row],[_Row]])))</f>
        <v>0</v>
      </c>
      <c r="V178" s="95" t="b">
        <f aca="false">IF(IFERROR(INDEX(tsk_Name,GanttView[[#This Row],[_Row]])="",TRUE()),FALSE(),INDEX(tsk_Critical,GanttView[[#This Row],[_Row]])="Yes")</f>
        <v>0</v>
      </c>
    </row>
    <row r="179" customFormat="false" ht="15" hidden="false" customHeight="false" outlineLevel="0" collapsed="false">
      <c r="A179" s="89" t="str">
        <f aca="false">IF(IFERROR(INDEX(tsk_Name,GanttView[[#This Row],[_Row]])="",TRUE()),"",INDEX(tsk_ID,GanttView[[#This Row],[_Row]]))</f>
        <v/>
      </c>
      <c r="B179" s="90" t="str">
        <f aca="false">IF(IFERROR(INDEX(tsk_Name,GanttView[[#This Row],[_Row]])="",TRUE()),"",REPT("    ",INDEX(tsk_Level,GanttView[[#This Row],[_Row]])-1)&amp;INDEX(tsk_Name,GanttView[[#This Row],[_Row]]))</f>
        <v/>
      </c>
      <c r="C179" s="91" t="str">
        <f aca="false">IF(IFERROR(INDEX(tsk_Name,GanttView[[#This Row],[_Row]])="",TRUE()),"",INDEX(tsk_FcStart,GanttView[[#This Row],[_Row]]))</f>
        <v/>
      </c>
      <c r="D179" s="91" t="str">
        <f aca="false">IF(IFERROR(INDEX(tsk_Name,GanttView[[#This Row],[_Row]])="",TRUE()),"",INDEX(tsk_FcFinish,GanttView[[#This Row],[_Row]]))</f>
        <v/>
      </c>
      <c r="E179" s="92" t="str">
        <f aca="false">IF(IFERROR(INDEX(tsk_Name,GanttView[[#This Row],[_Row]])="",TRUE()),"",INDEX(tsk_Progress,GanttView[[#This Row],[_Row]]))</f>
        <v/>
      </c>
      <c r="F179" s="90" t="str">
        <f aca="false">IF(IFERROR(INDEX(tsk_Name,GanttView[[#This Row],[_Row]])="",TRUE()),"",INDEX(tsk_ResourceNames,GanttView[[#This Row],[_Row]])&amp;"")</f>
        <v/>
      </c>
      <c r="G179" s="89" t="str">
        <f aca="false">IF(IFERROR(INDEX(tsk_Name,GanttView[[#This Row],[_Row]])="",TRUE()),"",INDEX(tsk_WBS,GanttView[[#This Row],[_Row]]))</f>
        <v/>
      </c>
      <c r="H179" s="89" t="str">
        <f aca="false">IF(IFERROR(INDEX(tsk_Name,GanttView[[#This Row],[_Row]])="",TRUE()),"",IF(INDEX(tsk_IsSummary,GanttView[[#This Row],[_Row]]),NETWORKDAYS.INTL(INDEX(tsk_FcStart,GanttView[[#This Row],[_Row]]),INDEX(tsk_FcFinish,GanttView[[#This Row],[_Row]]),WorkWeek,Holidays),N(INDEX(tsk_Duration,GanttView[[#This Row],[_Row]]))))</f>
        <v/>
      </c>
      <c r="I179" s="91" t="str">
        <f aca="false">IF(IFERROR(INDEX(tsk_Name,GanttView[[#This Row],[_Row]])="",TRUE()),"",INDEX(tsk_PlanStart,GanttView[[#This Row],[_Row]]))</f>
        <v/>
      </c>
      <c r="J179" s="91" t="str">
        <f aca="false">IF(IFERROR(INDEX(tsk_Name,GanttView[[#This Row],[_Row]])="",TRUE()),"",INDEX(tsk_PlanFinish,GanttView[[#This Row],[_Row]]))</f>
        <v/>
      </c>
      <c r="K179" s="93" t="str">
        <f aca="false">IF(IFERROR(INDEX(tsk_Name,GanttView[[#This Row],[_Row]])="",TRUE()),"",INDEX(tsk_Status,GanttView[[#This Row],[_Row]]))</f>
        <v/>
      </c>
      <c r="L179" s="93" t="str">
        <f aca="false">IF(IFERROR(INDEX(tsk_Name,GanttView[[#This Row],[_Row]])="",TRUE()),"",INDEX(tsk_Show,GanttView[[#This Row],[_Row]])&amp;"")</f>
        <v/>
      </c>
      <c r="M179" s="94" t="n">
        <f aca="false">ROW()-ROW(GanttView[[#Headers],[ID]])</f>
        <v>174</v>
      </c>
      <c r="N179" s="95" t="b">
        <f aca="false">IF(IFERROR(INDEX(tsk_Name,GanttView[[#This Row],[_Row]])="",TRUE()),FALSE(),INDEX(tsk_IsSummary,GanttView[[#This Row],[_Row]]))</f>
        <v>0</v>
      </c>
      <c r="O179" s="95" t="b">
        <f aca="false">IF(IFERROR(INDEX(tsk_Name,GanttView[[#This Row],[_Row]])="",TRUE()),FALSE(),AND(INDEX(tsk_IsLeaf,GanttView[[#This Row],[_Row]])=1,N(INDEX(tsk_Duration,GanttView[[#This Row],[_Row]]))=0))</f>
        <v>0</v>
      </c>
      <c r="P179" s="96" t="n">
        <f aca="false">IF(IFERROR(INDEX(tsk_Name,GanttView[[#This Row],[_Row]])="",TRUE()),0,IF(AND(INDEX(tsk_IsLeaf,GanttView[[#This Row],[_Row]])=1,NOT(GanttView[[#This Row],[_IsMilestone]]),N(GanttView[[#This Row],[%]])&gt;0),GanttView[[#This Row],[Start]],0))</f>
        <v>0</v>
      </c>
      <c r="Q179" s="96" t="n">
        <f aca="false">IF(GanttView[[#This Row],[_DoneFrom]]=0,0,IF(GanttView[[#This Row],[%]]&gt;=1,GanttView[[#This Row],[Finish]],MAX(GanttView[[#This Row],[_DoneFrom]],GanttView[[#This Row],[Start]]+ROUND((GanttView[[#This Row],[Finish]]-GanttView[[#This Row],[Start]]+1)*GanttView[[#This Row],[%]],0)-1)))</f>
        <v>0</v>
      </c>
      <c r="R179" s="96" t="n">
        <f aca="false">IF(IFERROR(INDEX(tsk_Name,GanttView[[#This Row],[_Row]])="",TRUE()),0,IF(OR(INDEX(tsk_IsLeaf,GanttView[[#This Row],[_Row]])&lt;&gt;1,GanttView[[#This Row],[_IsMilestone]],N(GanttView[[#This Row],[%]])&gt;=1),0,IF(GanttView[[#This Row],[_DoneTo]]&gt;0,GanttView[[#This Row],[_DoneTo]]+1,GanttView[[#This Row],[Start]])))</f>
        <v>0</v>
      </c>
      <c r="S179" s="96" t="n">
        <f aca="false">IF(GanttView[[#This Row],[_RemFrom]]=0,0,GanttView[[#This Row],[Finish]])</f>
        <v>0</v>
      </c>
      <c r="T179" s="95" t="b">
        <f aca="false">IF(IFERROR(INDEX(tsk_Name,GanttView[[#This Row],[_Row]])="",TRUE()),FALSE(),N(INDEX(tsk_Variance,GanttView[[#This Row],[_Row]]))&gt;0)</f>
        <v>0</v>
      </c>
      <c r="U179" s="96" t="n">
        <f aca="false">IF(IFERROR(INDEX(tsk_Name,GanttView[[#This Row],[_Row]])="",TRUE()),0,N(INDEX(tsk_Deadline,GanttView[[#This Row],[_Row]])))</f>
        <v>0</v>
      </c>
      <c r="V179" s="95" t="b">
        <f aca="false">IF(IFERROR(INDEX(tsk_Name,GanttView[[#This Row],[_Row]])="",TRUE()),FALSE(),INDEX(tsk_Critical,GanttView[[#This Row],[_Row]])="Yes")</f>
        <v>0</v>
      </c>
    </row>
    <row r="180" customFormat="false" ht="15" hidden="false" customHeight="false" outlineLevel="0" collapsed="false">
      <c r="A180" s="89" t="str">
        <f aca="false">IF(IFERROR(INDEX(tsk_Name,GanttView[[#This Row],[_Row]])="",TRUE()),"",INDEX(tsk_ID,GanttView[[#This Row],[_Row]]))</f>
        <v/>
      </c>
      <c r="B180" s="90" t="str">
        <f aca="false">IF(IFERROR(INDEX(tsk_Name,GanttView[[#This Row],[_Row]])="",TRUE()),"",REPT("    ",INDEX(tsk_Level,GanttView[[#This Row],[_Row]])-1)&amp;INDEX(tsk_Name,GanttView[[#This Row],[_Row]]))</f>
        <v/>
      </c>
      <c r="C180" s="91" t="str">
        <f aca="false">IF(IFERROR(INDEX(tsk_Name,GanttView[[#This Row],[_Row]])="",TRUE()),"",INDEX(tsk_FcStart,GanttView[[#This Row],[_Row]]))</f>
        <v/>
      </c>
      <c r="D180" s="91" t="str">
        <f aca="false">IF(IFERROR(INDEX(tsk_Name,GanttView[[#This Row],[_Row]])="",TRUE()),"",INDEX(tsk_FcFinish,GanttView[[#This Row],[_Row]]))</f>
        <v/>
      </c>
      <c r="E180" s="92" t="str">
        <f aca="false">IF(IFERROR(INDEX(tsk_Name,GanttView[[#This Row],[_Row]])="",TRUE()),"",INDEX(tsk_Progress,GanttView[[#This Row],[_Row]]))</f>
        <v/>
      </c>
      <c r="F180" s="90" t="str">
        <f aca="false">IF(IFERROR(INDEX(tsk_Name,GanttView[[#This Row],[_Row]])="",TRUE()),"",INDEX(tsk_ResourceNames,GanttView[[#This Row],[_Row]])&amp;"")</f>
        <v/>
      </c>
      <c r="G180" s="89" t="str">
        <f aca="false">IF(IFERROR(INDEX(tsk_Name,GanttView[[#This Row],[_Row]])="",TRUE()),"",INDEX(tsk_WBS,GanttView[[#This Row],[_Row]]))</f>
        <v/>
      </c>
      <c r="H180" s="89" t="str">
        <f aca="false">IF(IFERROR(INDEX(tsk_Name,GanttView[[#This Row],[_Row]])="",TRUE()),"",IF(INDEX(tsk_IsSummary,GanttView[[#This Row],[_Row]]),NETWORKDAYS.INTL(INDEX(tsk_FcStart,GanttView[[#This Row],[_Row]]),INDEX(tsk_FcFinish,GanttView[[#This Row],[_Row]]),WorkWeek,Holidays),N(INDEX(tsk_Duration,GanttView[[#This Row],[_Row]]))))</f>
        <v/>
      </c>
      <c r="I180" s="91" t="str">
        <f aca="false">IF(IFERROR(INDEX(tsk_Name,GanttView[[#This Row],[_Row]])="",TRUE()),"",INDEX(tsk_PlanStart,GanttView[[#This Row],[_Row]]))</f>
        <v/>
      </c>
      <c r="J180" s="91" t="str">
        <f aca="false">IF(IFERROR(INDEX(tsk_Name,GanttView[[#This Row],[_Row]])="",TRUE()),"",INDEX(tsk_PlanFinish,GanttView[[#This Row],[_Row]]))</f>
        <v/>
      </c>
      <c r="K180" s="93" t="str">
        <f aca="false">IF(IFERROR(INDEX(tsk_Name,GanttView[[#This Row],[_Row]])="",TRUE()),"",INDEX(tsk_Status,GanttView[[#This Row],[_Row]]))</f>
        <v/>
      </c>
      <c r="L180" s="93" t="str">
        <f aca="false">IF(IFERROR(INDEX(tsk_Name,GanttView[[#This Row],[_Row]])="",TRUE()),"",INDEX(tsk_Show,GanttView[[#This Row],[_Row]])&amp;"")</f>
        <v/>
      </c>
      <c r="M180" s="94" t="n">
        <f aca="false">ROW()-ROW(GanttView[[#Headers],[ID]])</f>
        <v>175</v>
      </c>
      <c r="N180" s="95" t="b">
        <f aca="false">IF(IFERROR(INDEX(tsk_Name,GanttView[[#This Row],[_Row]])="",TRUE()),FALSE(),INDEX(tsk_IsSummary,GanttView[[#This Row],[_Row]]))</f>
        <v>0</v>
      </c>
      <c r="O180" s="95" t="b">
        <f aca="false">IF(IFERROR(INDEX(tsk_Name,GanttView[[#This Row],[_Row]])="",TRUE()),FALSE(),AND(INDEX(tsk_IsLeaf,GanttView[[#This Row],[_Row]])=1,N(INDEX(tsk_Duration,GanttView[[#This Row],[_Row]]))=0))</f>
        <v>0</v>
      </c>
      <c r="P180" s="96" t="n">
        <f aca="false">IF(IFERROR(INDEX(tsk_Name,GanttView[[#This Row],[_Row]])="",TRUE()),0,IF(AND(INDEX(tsk_IsLeaf,GanttView[[#This Row],[_Row]])=1,NOT(GanttView[[#This Row],[_IsMilestone]]),N(GanttView[[#This Row],[%]])&gt;0),GanttView[[#This Row],[Start]],0))</f>
        <v>0</v>
      </c>
      <c r="Q180" s="96" t="n">
        <f aca="false">IF(GanttView[[#This Row],[_DoneFrom]]=0,0,IF(GanttView[[#This Row],[%]]&gt;=1,GanttView[[#This Row],[Finish]],MAX(GanttView[[#This Row],[_DoneFrom]],GanttView[[#This Row],[Start]]+ROUND((GanttView[[#This Row],[Finish]]-GanttView[[#This Row],[Start]]+1)*GanttView[[#This Row],[%]],0)-1)))</f>
        <v>0</v>
      </c>
      <c r="R180" s="96" t="n">
        <f aca="false">IF(IFERROR(INDEX(tsk_Name,GanttView[[#This Row],[_Row]])="",TRUE()),0,IF(OR(INDEX(tsk_IsLeaf,GanttView[[#This Row],[_Row]])&lt;&gt;1,GanttView[[#This Row],[_IsMilestone]],N(GanttView[[#This Row],[%]])&gt;=1),0,IF(GanttView[[#This Row],[_DoneTo]]&gt;0,GanttView[[#This Row],[_DoneTo]]+1,GanttView[[#This Row],[Start]])))</f>
        <v>0</v>
      </c>
      <c r="S180" s="96" t="n">
        <f aca="false">IF(GanttView[[#This Row],[_RemFrom]]=0,0,GanttView[[#This Row],[Finish]])</f>
        <v>0</v>
      </c>
      <c r="T180" s="95" t="b">
        <f aca="false">IF(IFERROR(INDEX(tsk_Name,GanttView[[#This Row],[_Row]])="",TRUE()),FALSE(),N(INDEX(tsk_Variance,GanttView[[#This Row],[_Row]]))&gt;0)</f>
        <v>0</v>
      </c>
      <c r="U180" s="96" t="n">
        <f aca="false">IF(IFERROR(INDEX(tsk_Name,GanttView[[#This Row],[_Row]])="",TRUE()),0,N(INDEX(tsk_Deadline,GanttView[[#This Row],[_Row]])))</f>
        <v>0</v>
      </c>
      <c r="V180" s="95" t="b">
        <f aca="false">IF(IFERROR(INDEX(tsk_Name,GanttView[[#This Row],[_Row]])="",TRUE()),FALSE(),INDEX(tsk_Critical,GanttView[[#This Row],[_Row]])="Yes")</f>
        <v>0</v>
      </c>
    </row>
    <row r="181" customFormat="false" ht="15" hidden="false" customHeight="false" outlineLevel="0" collapsed="false">
      <c r="A181" s="89" t="str">
        <f aca="false">IF(IFERROR(INDEX(tsk_Name,GanttView[[#This Row],[_Row]])="",TRUE()),"",INDEX(tsk_ID,GanttView[[#This Row],[_Row]]))</f>
        <v/>
      </c>
      <c r="B181" s="90" t="str">
        <f aca="false">IF(IFERROR(INDEX(tsk_Name,GanttView[[#This Row],[_Row]])="",TRUE()),"",REPT("    ",INDEX(tsk_Level,GanttView[[#This Row],[_Row]])-1)&amp;INDEX(tsk_Name,GanttView[[#This Row],[_Row]]))</f>
        <v/>
      </c>
      <c r="C181" s="91" t="str">
        <f aca="false">IF(IFERROR(INDEX(tsk_Name,GanttView[[#This Row],[_Row]])="",TRUE()),"",INDEX(tsk_FcStart,GanttView[[#This Row],[_Row]]))</f>
        <v/>
      </c>
      <c r="D181" s="91" t="str">
        <f aca="false">IF(IFERROR(INDEX(tsk_Name,GanttView[[#This Row],[_Row]])="",TRUE()),"",INDEX(tsk_FcFinish,GanttView[[#This Row],[_Row]]))</f>
        <v/>
      </c>
      <c r="E181" s="92" t="str">
        <f aca="false">IF(IFERROR(INDEX(tsk_Name,GanttView[[#This Row],[_Row]])="",TRUE()),"",INDEX(tsk_Progress,GanttView[[#This Row],[_Row]]))</f>
        <v/>
      </c>
      <c r="F181" s="90" t="str">
        <f aca="false">IF(IFERROR(INDEX(tsk_Name,GanttView[[#This Row],[_Row]])="",TRUE()),"",INDEX(tsk_ResourceNames,GanttView[[#This Row],[_Row]])&amp;"")</f>
        <v/>
      </c>
      <c r="G181" s="89" t="str">
        <f aca="false">IF(IFERROR(INDEX(tsk_Name,GanttView[[#This Row],[_Row]])="",TRUE()),"",INDEX(tsk_WBS,GanttView[[#This Row],[_Row]]))</f>
        <v/>
      </c>
      <c r="H181" s="89" t="str">
        <f aca="false">IF(IFERROR(INDEX(tsk_Name,GanttView[[#This Row],[_Row]])="",TRUE()),"",IF(INDEX(tsk_IsSummary,GanttView[[#This Row],[_Row]]),NETWORKDAYS.INTL(INDEX(tsk_FcStart,GanttView[[#This Row],[_Row]]),INDEX(tsk_FcFinish,GanttView[[#This Row],[_Row]]),WorkWeek,Holidays),N(INDEX(tsk_Duration,GanttView[[#This Row],[_Row]]))))</f>
        <v/>
      </c>
      <c r="I181" s="91" t="str">
        <f aca="false">IF(IFERROR(INDEX(tsk_Name,GanttView[[#This Row],[_Row]])="",TRUE()),"",INDEX(tsk_PlanStart,GanttView[[#This Row],[_Row]]))</f>
        <v/>
      </c>
      <c r="J181" s="91" t="str">
        <f aca="false">IF(IFERROR(INDEX(tsk_Name,GanttView[[#This Row],[_Row]])="",TRUE()),"",INDEX(tsk_PlanFinish,GanttView[[#This Row],[_Row]]))</f>
        <v/>
      </c>
      <c r="K181" s="93" t="str">
        <f aca="false">IF(IFERROR(INDEX(tsk_Name,GanttView[[#This Row],[_Row]])="",TRUE()),"",INDEX(tsk_Status,GanttView[[#This Row],[_Row]]))</f>
        <v/>
      </c>
      <c r="L181" s="93" t="str">
        <f aca="false">IF(IFERROR(INDEX(tsk_Name,GanttView[[#This Row],[_Row]])="",TRUE()),"",INDEX(tsk_Show,GanttView[[#This Row],[_Row]])&amp;"")</f>
        <v/>
      </c>
      <c r="M181" s="94" t="n">
        <f aca="false">ROW()-ROW(GanttView[[#Headers],[ID]])</f>
        <v>176</v>
      </c>
      <c r="N181" s="95" t="b">
        <f aca="false">IF(IFERROR(INDEX(tsk_Name,GanttView[[#This Row],[_Row]])="",TRUE()),FALSE(),INDEX(tsk_IsSummary,GanttView[[#This Row],[_Row]]))</f>
        <v>0</v>
      </c>
      <c r="O181" s="95" t="b">
        <f aca="false">IF(IFERROR(INDEX(tsk_Name,GanttView[[#This Row],[_Row]])="",TRUE()),FALSE(),AND(INDEX(tsk_IsLeaf,GanttView[[#This Row],[_Row]])=1,N(INDEX(tsk_Duration,GanttView[[#This Row],[_Row]]))=0))</f>
        <v>0</v>
      </c>
      <c r="P181" s="96" t="n">
        <f aca="false">IF(IFERROR(INDEX(tsk_Name,GanttView[[#This Row],[_Row]])="",TRUE()),0,IF(AND(INDEX(tsk_IsLeaf,GanttView[[#This Row],[_Row]])=1,NOT(GanttView[[#This Row],[_IsMilestone]]),N(GanttView[[#This Row],[%]])&gt;0),GanttView[[#This Row],[Start]],0))</f>
        <v>0</v>
      </c>
      <c r="Q181" s="96" t="n">
        <f aca="false">IF(GanttView[[#This Row],[_DoneFrom]]=0,0,IF(GanttView[[#This Row],[%]]&gt;=1,GanttView[[#This Row],[Finish]],MAX(GanttView[[#This Row],[_DoneFrom]],GanttView[[#This Row],[Start]]+ROUND((GanttView[[#This Row],[Finish]]-GanttView[[#This Row],[Start]]+1)*GanttView[[#This Row],[%]],0)-1)))</f>
        <v>0</v>
      </c>
      <c r="R181" s="96" t="n">
        <f aca="false">IF(IFERROR(INDEX(tsk_Name,GanttView[[#This Row],[_Row]])="",TRUE()),0,IF(OR(INDEX(tsk_IsLeaf,GanttView[[#This Row],[_Row]])&lt;&gt;1,GanttView[[#This Row],[_IsMilestone]],N(GanttView[[#This Row],[%]])&gt;=1),0,IF(GanttView[[#This Row],[_DoneTo]]&gt;0,GanttView[[#This Row],[_DoneTo]]+1,GanttView[[#This Row],[Start]])))</f>
        <v>0</v>
      </c>
      <c r="S181" s="96" t="n">
        <f aca="false">IF(GanttView[[#This Row],[_RemFrom]]=0,0,GanttView[[#This Row],[Finish]])</f>
        <v>0</v>
      </c>
      <c r="T181" s="95" t="b">
        <f aca="false">IF(IFERROR(INDEX(tsk_Name,GanttView[[#This Row],[_Row]])="",TRUE()),FALSE(),N(INDEX(tsk_Variance,GanttView[[#This Row],[_Row]]))&gt;0)</f>
        <v>0</v>
      </c>
      <c r="U181" s="96" t="n">
        <f aca="false">IF(IFERROR(INDEX(tsk_Name,GanttView[[#This Row],[_Row]])="",TRUE()),0,N(INDEX(tsk_Deadline,GanttView[[#This Row],[_Row]])))</f>
        <v>0</v>
      </c>
      <c r="V181" s="95" t="b">
        <f aca="false">IF(IFERROR(INDEX(tsk_Name,GanttView[[#This Row],[_Row]])="",TRUE()),FALSE(),INDEX(tsk_Critical,GanttView[[#This Row],[_Row]])="Yes")</f>
        <v>0</v>
      </c>
    </row>
    <row r="182" customFormat="false" ht="15" hidden="false" customHeight="false" outlineLevel="0" collapsed="false">
      <c r="A182" s="89" t="str">
        <f aca="false">IF(IFERROR(INDEX(tsk_Name,GanttView[[#This Row],[_Row]])="",TRUE()),"",INDEX(tsk_ID,GanttView[[#This Row],[_Row]]))</f>
        <v/>
      </c>
      <c r="B182" s="90" t="str">
        <f aca="false">IF(IFERROR(INDEX(tsk_Name,GanttView[[#This Row],[_Row]])="",TRUE()),"",REPT("    ",INDEX(tsk_Level,GanttView[[#This Row],[_Row]])-1)&amp;INDEX(tsk_Name,GanttView[[#This Row],[_Row]]))</f>
        <v/>
      </c>
      <c r="C182" s="91" t="str">
        <f aca="false">IF(IFERROR(INDEX(tsk_Name,GanttView[[#This Row],[_Row]])="",TRUE()),"",INDEX(tsk_FcStart,GanttView[[#This Row],[_Row]]))</f>
        <v/>
      </c>
      <c r="D182" s="91" t="str">
        <f aca="false">IF(IFERROR(INDEX(tsk_Name,GanttView[[#This Row],[_Row]])="",TRUE()),"",INDEX(tsk_FcFinish,GanttView[[#This Row],[_Row]]))</f>
        <v/>
      </c>
      <c r="E182" s="92" t="str">
        <f aca="false">IF(IFERROR(INDEX(tsk_Name,GanttView[[#This Row],[_Row]])="",TRUE()),"",INDEX(tsk_Progress,GanttView[[#This Row],[_Row]]))</f>
        <v/>
      </c>
      <c r="F182" s="90" t="str">
        <f aca="false">IF(IFERROR(INDEX(tsk_Name,GanttView[[#This Row],[_Row]])="",TRUE()),"",INDEX(tsk_ResourceNames,GanttView[[#This Row],[_Row]])&amp;"")</f>
        <v/>
      </c>
      <c r="G182" s="89" t="str">
        <f aca="false">IF(IFERROR(INDEX(tsk_Name,GanttView[[#This Row],[_Row]])="",TRUE()),"",INDEX(tsk_WBS,GanttView[[#This Row],[_Row]]))</f>
        <v/>
      </c>
      <c r="H182" s="89" t="str">
        <f aca="false">IF(IFERROR(INDEX(tsk_Name,GanttView[[#This Row],[_Row]])="",TRUE()),"",IF(INDEX(tsk_IsSummary,GanttView[[#This Row],[_Row]]),NETWORKDAYS.INTL(INDEX(tsk_FcStart,GanttView[[#This Row],[_Row]]),INDEX(tsk_FcFinish,GanttView[[#This Row],[_Row]]),WorkWeek,Holidays),N(INDEX(tsk_Duration,GanttView[[#This Row],[_Row]]))))</f>
        <v/>
      </c>
      <c r="I182" s="91" t="str">
        <f aca="false">IF(IFERROR(INDEX(tsk_Name,GanttView[[#This Row],[_Row]])="",TRUE()),"",INDEX(tsk_PlanStart,GanttView[[#This Row],[_Row]]))</f>
        <v/>
      </c>
      <c r="J182" s="91" t="str">
        <f aca="false">IF(IFERROR(INDEX(tsk_Name,GanttView[[#This Row],[_Row]])="",TRUE()),"",INDEX(tsk_PlanFinish,GanttView[[#This Row],[_Row]]))</f>
        <v/>
      </c>
      <c r="K182" s="93" t="str">
        <f aca="false">IF(IFERROR(INDEX(tsk_Name,GanttView[[#This Row],[_Row]])="",TRUE()),"",INDEX(tsk_Status,GanttView[[#This Row],[_Row]]))</f>
        <v/>
      </c>
      <c r="L182" s="93" t="str">
        <f aca="false">IF(IFERROR(INDEX(tsk_Name,GanttView[[#This Row],[_Row]])="",TRUE()),"",INDEX(tsk_Show,GanttView[[#This Row],[_Row]])&amp;"")</f>
        <v/>
      </c>
      <c r="M182" s="94" t="n">
        <f aca="false">ROW()-ROW(GanttView[[#Headers],[ID]])</f>
        <v>177</v>
      </c>
      <c r="N182" s="95" t="b">
        <f aca="false">IF(IFERROR(INDEX(tsk_Name,GanttView[[#This Row],[_Row]])="",TRUE()),FALSE(),INDEX(tsk_IsSummary,GanttView[[#This Row],[_Row]]))</f>
        <v>0</v>
      </c>
      <c r="O182" s="95" t="b">
        <f aca="false">IF(IFERROR(INDEX(tsk_Name,GanttView[[#This Row],[_Row]])="",TRUE()),FALSE(),AND(INDEX(tsk_IsLeaf,GanttView[[#This Row],[_Row]])=1,N(INDEX(tsk_Duration,GanttView[[#This Row],[_Row]]))=0))</f>
        <v>0</v>
      </c>
      <c r="P182" s="96" t="n">
        <f aca="false">IF(IFERROR(INDEX(tsk_Name,GanttView[[#This Row],[_Row]])="",TRUE()),0,IF(AND(INDEX(tsk_IsLeaf,GanttView[[#This Row],[_Row]])=1,NOT(GanttView[[#This Row],[_IsMilestone]]),N(GanttView[[#This Row],[%]])&gt;0),GanttView[[#This Row],[Start]],0))</f>
        <v>0</v>
      </c>
      <c r="Q182" s="96" t="n">
        <f aca="false">IF(GanttView[[#This Row],[_DoneFrom]]=0,0,IF(GanttView[[#This Row],[%]]&gt;=1,GanttView[[#This Row],[Finish]],MAX(GanttView[[#This Row],[_DoneFrom]],GanttView[[#This Row],[Start]]+ROUND((GanttView[[#This Row],[Finish]]-GanttView[[#This Row],[Start]]+1)*GanttView[[#This Row],[%]],0)-1)))</f>
        <v>0</v>
      </c>
      <c r="R182" s="96" t="n">
        <f aca="false">IF(IFERROR(INDEX(tsk_Name,GanttView[[#This Row],[_Row]])="",TRUE()),0,IF(OR(INDEX(tsk_IsLeaf,GanttView[[#This Row],[_Row]])&lt;&gt;1,GanttView[[#This Row],[_IsMilestone]],N(GanttView[[#This Row],[%]])&gt;=1),0,IF(GanttView[[#This Row],[_DoneTo]]&gt;0,GanttView[[#This Row],[_DoneTo]]+1,GanttView[[#This Row],[Start]])))</f>
        <v>0</v>
      </c>
      <c r="S182" s="96" t="n">
        <f aca="false">IF(GanttView[[#This Row],[_RemFrom]]=0,0,GanttView[[#This Row],[Finish]])</f>
        <v>0</v>
      </c>
      <c r="T182" s="95" t="b">
        <f aca="false">IF(IFERROR(INDEX(tsk_Name,GanttView[[#This Row],[_Row]])="",TRUE()),FALSE(),N(INDEX(tsk_Variance,GanttView[[#This Row],[_Row]]))&gt;0)</f>
        <v>0</v>
      </c>
      <c r="U182" s="96" t="n">
        <f aca="false">IF(IFERROR(INDEX(tsk_Name,GanttView[[#This Row],[_Row]])="",TRUE()),0,N(INDEX(tsk_Deadline,GanttView[[#This Row],[_Row]])))</f>
        <v>0</v>
      </c>
      <c r="V182" s="95" t="b">
        <f aca="false">IF(IFERROR(INDEX(tsk_Name,GanttView[[#This Row],[_Row]])="",TRUE()),FALSE(),INDEX(tsk_Critical,GanttView[[#This Row],[_Row]])="Yes")</f>
        <v>0</v>
      </c>
    </row>
    <row r="183" customFormat="false" ht="15" hidden="false" customHeight="false" outlineLevel="0" collapsed="false">
      <c r="A183" s="89" t="str">
        <f aca="false">IF(IFERROR(INDEX(tsk_Name,GanttView[[#This Row],[_Row]])="",TRUE()),"",INDEX(tsk_ID,GanttView[[#This Row],[_Row]]))</f>
        <v/>
      </c>
      <c r="B183" s="90" t="str">
        <f aca="false">IF(IFERROR(INDEX(tsk_Name,GanttView[[#This Row],[_Row]])="",TRUE()),"",REPT("    ",INDEX(tsk_Level,GanttView[[#This Row],[_Row]])-1)&amp;INDEX(tsk_Name,GanttView[[#This Row],[_Row]]))</f>
        <v/>
      </c>
      <c r="C183" s="91" t="str">
        <f aca="false">IF(IFERROR(INDEX(tsk_Name,GanttView[[#This Row],[_Row]])="",TRUE()),"",INDEX(tsk_FcStart,GanttView[[#This Row],[_Row]]))</f>
        <v/>
      </c>
      <c r="D183" s="91" t="str">
        <f aca="false">IF(IFERROR(INDEX(tsk_Name,GanttView[[#This Row],[_Row]])="",TRUE()),"",INDEX(tsk_FcFinish,GanttView[[#This Row],[_Row]]))</f>
        <v/>
      </c>
      <c r="E183" s="92" t="str">
        <f aca="false">IF(IFERROR(INDEX(tsk_Name,GanttView[[#This Row],[_Row]])="",TRUE()),"",INDEX(tsk_Progress,GanttView[[#This Row],[_Row]]))</f>
        <v/>
      </c>
      <c r="F183" s="90" t="str">
        <f aca="false">IF(IFERROR(INDEX(tsk_Name,GanttView[[#This Row],[_Row]])="",TRUE()),"",INDEX(tsk_ResourceNames,GanttView[[#This Row],[_Row]])&amp;"")</f>
        <v/>
      </c>
      <c r="G183" s="89" t="str">
        <f aca="false">IF(IFERROR(INDEX(tsk_Name,GanttView[[#This Row],[_Row]])="",TRUE()),"",INDEX(tsk_WBS,GanttView[[#This Row],[_Row]]))</f>
        <v/>
      </c>
      <c r="H183" s="89" t="str">
        <f aca="false">IF(IFERROR(INDEX(tsk_Name,GanttView[[#This Row],[_Row]])="",TRUE()),"",IF(INDEX(tsk_IsSummary,GanttView[[#This Row],[_Row]]),NETWORKDAYS.INTL(INDEX(tsk_FcStart,GanttView[[#This Row],[_Row]]),INDEX(tsk_FcFinish,GanttView[[#This Row],[_Row]]),WorkWeek,Holidays),N(INDEX(tsk_Duration,GanttView[[#This Row],[_Row]]))))</f>
        <v/>
      </c>
      <c r="I183" s="91" t="str">
        <f aca="false">IF(IFERROR(INDEX(tsk_Name,GanttView[[#This Row],[_Row]])="",TRUE()),"",INDEX(tsk_PlanStart,GanttView[[#This Row],[_Row]]))</f>
        <v/>
      </c>
      <c r="J183" s="91" t="str">
        <f aca="false">IF(IFERROR(INDEX(tsk_Name,GanttView[[#This Row],[_Row]])="",TRUE()),"",INDEX(tsk_PlanFinish,GanttView[[#This Row],[_Row]]))</f>
        <v/>
      </c>
      <c r="K183" s="93" t="str">
        <f aca="false">IF(IFERROR(INDEX(tsk_Name,GanttView[[#This Row],[_Row]])="",TRUE()),"",INDEX(tsk_Status,GanttView[[#This Row],[_Row]]))</f>
        <v/>
      </c>
      <c r="L183" s="93" t="str">
        <f aca="false">IF(IFERROR(INDEX(tsk_Name,GanttView[[#This Row],[_Row]])="",TRUE()),"",INDEX(tsk_Show,GanttView[[#This Row],[_Row]])&amp;"")</f>
        <v/>
      </c>
      <c r="M183" s="94" t="n">
        <f aca="false">ROW()-ROW(GanttView[[#Headers],[ID]])</f>
        <v>178</v>
      </c>
      <c r="N183" s="95" t="b">
        <f aca="false">IF(IFERROR(INDEX(tsk_Name,GanttView[[#This Row],[_Row]])="",TRUE()),FALSE(),INDEX(tsk_IsSummary,GanttView[[#This Row],[_Row]]))</f>
        <v>0</v>
      </c>
      <c r="O183" s="95" t="b">
        <f aca="false">IF(IFERROR(INDEX(tsk_Name,GanttView[[#This Row],[_Row]])="",TRUE()),FALSE(),AND(INDEX(tsk_IsLeaf,GanttView[[#This Row],[_Row]])=1,N(INDEX(tsk_Duration,GanttView[[#This Row],[_Row]]))=0))</f>
        <v>0</v>
      </c>
      <c r="P183" s="96" t="n">
        <f aca="false">IF(IFERROR(INDEX(tsk_Name,GanttView[[#This Row],[_Row]])="",TRUE()),0,IF(AND(INDEX(tsk_IsLeaf,GanttView[[#This Row],[_Row]])=1,NOT(GanttView[[#This Row],[_IsMilestone]]),N(GanttView[[#This Row],[%]])&gt;0),GanttView[[#This Row],[Start]],0))</f>
        <v>0</v>
      </c>
      <c r="Q183" s="96" t="n">
        <f aca="false">IF(GanttView[[#This Row],[_DoneFrom]]=0,0,IF(GanttView[[#This Row],[%]]&gt;=1,GanttView[[#This Row],[Finish]],MAX(GanttView[[#This Row],[_DoneFrom]],GanttView[[#This Row],[Start]]+ROUND((GanttView[[#This Row],[Finish]]-GanttView[[#This Row],[Start]]+1)*GanttView[[#This Row],[%]],0)-1)))</f>
        <v>0</v>
      </c>
      <c r="R183" s="96" t="n">
        <f aca="false">IF(IFERROR(INDEX(tsk_Name,GanttView[[#This Row],[_Row]])="",TRUE()),0,IF(OR(INDEX(tsk_IsLeaf,GanttView[[#This Row],[_Row]])&lt;&gt;1,GanttView[[#This Row],[_IsMilestone]],N(GanttView[[#This Row],[%]])&gt;=1),0,IF(GanttView[[#This Row],[_DoneTo]]&gt;0,GanttView[[#This Row],[_DoneTo]]+1,GanttView[[#This Row],[Start]])))</f>
        <v>0</v>
      </c>
      <c r="S183" s="96" t="n">
        <f aca="false">IF(GanttView[[#This Row],[_RemFrom]]=0,0,GanttView[[#This Row],[Finish]])</f>
        <v>0</v>
      </c>
      <c r="T183" s="95" t="b">
        <f aca="false">IF(IFERROR(INDEX(tsk_Name,GanttView[[#This Row],[_Row]])="",TRUE()),FALSE(),N(INDEX(tsk_Variance,GanttView[[#This Row],[_Row]]))&gt;0)</f>
        <v>0</v>
      </c>
      <c r="U183" s="96" t="n">
        <f aca="false">IF(IFERROR(INDEX(tsk_Name,GanttView[[#This Row],[_Row]])="",TRUE()),0,N(INDEX(tsk_Deadline,GanttView[[#This Row],[_Row]])))</f>
        <v>0</v>
      </c>
      <c r="V183" s="95" t="b">
        <f aca="false">IF(IFERROR(INDEX(tsk_Name,GanttView[[#This Row],[_Row]])="",TRUE()),FALSE(),INDEX(tsk_Critical,GanttView[[#This Row],[_Row]])="Yes")</f>
        <v>0</v>
      </c>
    </row>
    <row r="184" customFormat="false" ht="15" hidden="false" customHeight="false" outlineLevel="0" collapsed="false">
      <c r="A184" s="89" t="str">
        <f aca="false">IF(IFERROR(INDEX(tsk_Name,GanttView[[#This Row],[_Row]])="",TRUE()),"",INDEX(tsk_ID,GanttView[[#This Row],[_Row]]))</f>
        <v/>
      </c>
      <c r="B184" s="90" t="str">
        <f aca="false">IF(IFERROR(INDEX(tsk_Name,GanttView[[#This Row],[_Row]])="",TRUE()),"",REPT("    ",INDEX(tsk_Level,GanttView[[#This Row],[_Row]])-1)&amp;INDEX(tsk_Name,GanttView[[#This Row],[_Row]]))</f>
        <v/>
      </c>
      <c r="C184" s="91" t="str">
        <f aca="false">IF(IFERROR(INDEX(tsk_Name,GanttView[[#This Row],[_Row]])="",TRUE()),"",INDEX(tsk_FcStart,GanttView[[#This Row],[_Row]]))</f>
        <v/>
      </c>
      <c r="D184" s="91" t="str">
        <f aca="false">IF(IFERROR(INDEX(tsk_Name,GanttView[[#This Row],[_Row]])="",TRUE()),"",INDEX(tsk_FcFinish,GanttView[[#This Row],[_Row]]))</f>
        <v/>
      </c>
      <c r="E184" s="92" t="str">
        <f aca="false">IF(IFERROR(INDEX(tsk_Name,GanttView[[#This Row],[_Row]])="",TRUE()),"",INDEX(tsk_Progress,GanttView[[#This Row],[_Row]]))</f>
        <v/>
      </c>
      <c r="F184" s="90" t="str">
        <f aca="false">IF(IFERROR(INDEX(tsk_Name,GanttView[[#This Row],[_Row]])="",TRUE()),"",INDEX(tsk_ResourceNames,GanttView[[#This Row],[_Row]])&amp;"")</f>
        <v/>
      </c>
      <c r="G184" s="89" t="str">
        <f aca="false">IF(IFERROR(INDEX(tsk_Name,GanttView[[#This Row],[_Row]])="",TRUE()),"",INDEX(tsk_WBS,GanttView[[#This Row],[_Row]]))</f>
        <v/>
      </c>
      <c r="H184" s="89" t="str">
        <f aca="false">IF(IFERROR(INDEX(tsk_Name,GanttView[[#This Row],[_Row]])="",TRUE()),"",IF(INDEX(tsk_IsSummary,GanttView[[#This Row],[_Row]]),NETWORKDAYS.INTL(INDEX(tsk_FcStart,GanttView[[#This Row],[_Row]]),INDEX(tsk_FcFinish,GanttView[[#This Row],[_Row]]),WorkWeek,Holidays),N(INDEX(tsk_Duration,GanttView[[#This Row],[_Row]]))))</f>
        <v/>
      </c>
      <c r="I184" s="91" t="str">
        <f aca="false">IF(IFERROR(INDEX(tsk_Name,GanttView[[#This Row],[_Row]])="",TRUE()),"",INDEX(tsk_PlanStart,GanttView[[#This Row],[_Row]]))</f>
        <v/>
      </c>
      <c r="J184" s="91" t="str">
        <f aca="false">IF(IFERROR(INDEX(tsk_Name,GanttView[[#This Row],[_Row]])="",TRUE()),"",INDEX(tsk_PlanFinish,GanttView[[#This Row],[_Row]]))</f>
        <v/>
      </c>
      <c r="K184" s="93" t="str">
        <f aca="false">IF(IFERROR(INDEX(tsk_Name,GanttView[[#This Row],[_Row]])="",TRUE()),"",INDEX(tsk_Status,GanttView[[#This Row],[_Row]]))</f>
        <v/>
      </c>
      <c r="L184" s="93" t="str">
        <f aca="false">IF(IFERROR(INDEX(tsk_Name,GanttView[[#This Row],[_Row]])="",TRUE()),"",INDEX(tsk_Show,GanttView[[#This Row],[_Row]])&amp;"")</f>
        <v/>
      </c>
      <c r="M184" s="94" t="n">
        <f aca="false">ROW()-ROW(GanttView[[#Headers],[ID]])</f>
        <v>179</v>
      </c>
      <c r="N184" s="95" t="b">
        <f aca="false">IF(IFERROR(INDEX(tsk_Name,GanttView[[#This Row],[_Row]])="",TRUE()),FALSE(),INDEX(tsk_IsSummary,GanttView[[#This Row],[_Row]]))</f>
        <v>0</v>
      </c>
      <c r="O184" s="95" t="b">
        <f aca="false">IF(IFERROR(INDEX(tsk_Name,GanttView[[#This Row],[_Row]])="",TRUE()),FALSE(),AND(INDEX(tsk_IsLeaf,GanttView[[#This Row],[_Row]])=1,N(INDEX(tsk_Duration,GanttView[[#This Row],[_Row]]))=0))</f>
        <v>0</v>
      </c>
      <c r="P184" s="96" t="n">
        <f aca="false">IF(IFERROR(INDEX(tsk_Name,GanttView[[#This Row],[_Row]])="",TRUE()),0,IF(AND(INDEX(tsk_IsLeaf,GanttView[[#This Row],[_Row]])=1,NOT(GanttView[[#This Row],[_IsMilestone]]),N(GanttView[[#This Row],[%]])&gt;0),GanttView[[#This Row],[Start]],0))</f>
        <v>0</v>
      </c>
      <c r="Q184" s="96" t="n">
        <f aca="false">IF(GanttView[[#This Row],[_DoneFrom]]=0,0,IF(GanttView[[#This Row],[%]]&gt;=1,GanttView[[#This Row],[Finish]],MAX(GanttView[[#This Row],[_DoneFrom]],GanttView[[#This Row],[Start]]+ROUND((GanttView[[#This Row],[Finish]]-GanttView[[#This Row],[Start]]+1)*GanttView[[#This Row],[%]],0)-1)))</f>
        <v>0</v>
      </c>
      <c r="R184" s="96" t="n">
        <f aca="false">IF(IFERROR(INDEX(tsk_Name,GanttView[[#This Row],[_Row]])="",TRUE()),0,IF(OR(INDEX(tsk_IsLeaf,GanttView[[#This Row],[_Row]])&lt;&gt;1,GanttView[[#This Row],[_IsMilestone]],N(GanttView[[#This Row],[%]])&gt;=1),0,IF(GanttView[[#This Row],[_DoneTo]]&gt;0,GanttView[[#This Row],[_DoneTo]]+1,GanttView[[#This Row],[Start]])))</f>
        <v>0</v>
      </c>
      <c r="S184" s="96" t="n">
        <f aca="false">IF(GanttView[[#This Row],[_RemFrom]]=0,0,GanttView[[#This Row],[Finish]])</f>
        <v>0</v>
      </c>
      <c r="T184" s="95" t="b">
        <f aca="false">IF(IFERROR(INDEX(tsk_Name,GanttView[[#This Row],[_Row]])="",TRUE()),FALSE(),N(INDEX(tsk_Variance,GanttView[[#This Row],[_Row]]))&gt;0)</f>
        <v>0</v>
      </c>
      <c r="U184" s="96" t="n">
        <f aca="false">IF(IFERROR(INDEX(tsk_Name,GanttView[[#This Row],[_Row]])="",TRUE()),0,N(INDEX(tsk_Deadline,GanttView[[#This Row],[_Row]])))</f>
        <v>0</v>
      </c>
      <c r="V184" s="95" t="b">
        <f aca="false">IF(IFERROR(INDEX(tsk_Name,GanttView[[#This Row],[_Row]])="",TRUE()),FALSE(),INDEX(tsk_Critical,GanttView[[#This Row],[_Row]])="Yes")</f>
        <v>0</v>
      </c>
    </row>
    <row r="185" customFormat="false" ht="15" hidden="false" customHeight="false" outlineLevel="0" collapsed="false">
      <c r="A185" s="89" t="str">
        <f aca="false">IF(IFERROR(INDEX(tsk_Name,GanttView[[#This Row],[_Row]])="",TRUE()),"",INDEX(tsk_ID,GanttView[[#This Row],[_Row]]))</f>
        <v/>
      </c>
      <c r="B185" s="90" t="str">
        <f aca="false">IF(IFERROR(INDEX(tsk_Name,GanttView[[#This Row],[_Row]])="",TRUE()),"",REPT("    ",INDEX(tsk_Level,GanttView[[#This Row],[_Row]])-1)&amp;INDEX(tsk_Name,GanttView[[#This Row],[_Row]]))</f>
        <v/>
      </c>
      <c r="C185" s="91" t="str">
        <f aca="false">IF(IFERROR(INDEX(tsk_Name,GanttView[[#This Row],[_Row]])="",TRUE()),"",INDEX(tsk_FcStart,GanttView[[#This Row],[_Row]]))</f>
        <v/>
      </c>
      <c r="D185" s="91" t="str">
        <f aca="false">IF(IFERROR(INDEX(tsk_Name,GanttView[[#This Row],[_Row]])="",TRUE()),"",INDEX(tsk_FcFinish,GanttView[[#This Row],[_Row]]))</f>
        <v/>
      </c>
      <c r="E185" s="92" t="str">
        <f aca="false">IF(IFERROR(INDEX(tsk_Name,GanttView[[#This Row],[_Row]])="",TRUE()),"",INDEX(tsk_Progress,GanttView[[#This Row],[_Row]]))</f>
        <v/>
      </c>
      <c r="F185" s="90" t="str">
        <f aca="false">IF(IFERROR(INDEX(tsk_Name,GanttView[[#This Row],[_Row]])="",TRUE()),"",INDEX(tsk_ResourceNames,GanttView[[#This Row],[_Row]])&amp;"")</f>
        <v/>
      </c>
      <c r="G185" s="89" t="str">
        <f aca="false">IF(IFERROR(INDEX(tsk_Name,GanttView[[#This Row],[_Row]])="",TRUE()),"",INDEX(tsk_WBS,GanttView[[#This Row],[_Row]]))</f>
        <v/>
      </c>
      <c r="H185" s="89" t="str">
        <f aca="false">IF(IFERROR(INDEX(tsk_Name,GanttView[[#This Row],[_Row]])="",TRUE()),"",IF(INDEX(tsk_IsSummary,GanttView[[#This Row],[_Row]]),NETWORKDAYS.INTL(INDEX(tsk_FcStart,GanttView[[#This Row],[_Row]]),INDEX(tsk_FcFinish,GanttView[[#This Row],[_Row]]),WorkWeek,Holidays),N(INDEX(tsk_Duration,GanttView[[#This Row],[_Row]]))))</f>
        <v/>
      </c>
      <c r="I185" s="91" t="str">
        <f aca="false">IF(IFERROR(INDEX(tsk_Name,GanttView[[#This Row],[_Row]])="",TRUE()),"",INDEX(tsk_PlanStart,GanttView[[#This Row],[_Row]]))</f>
        <v/>
      </c>
      <c r="J185" s="91" t="str">
        <f aca="false">IF(IFERROR(INDEX(tsk_Name,GanttView[[#This Row],[_Row]])="",TRUE()),"",INDEX(tsk_PlanFinish,GanttView[[#This Row],[_Row]]))</f>
        <v/>
      </c>
      <c r="K185" s="93" t="str">
        <f aca="false">IF(IFERROR(INDEX(tsk_Name,GanttView[[#This Row],[_Row]])="",TRUE()),"",INDEX(tsk_Status,GanttView[[#This Row],[_Row]]))</f>
        <v/>
      </c>
      <c r="L185" s="93" t="str">
        <f aca="false">IF(IFERROR(INDEX(tsk_Name,GanttView[[#This Row],[_Row]])="",TRUE()),"",INDEX(tsk_Show,GanttView[[#This Row],[_Row]])&amp;"")</f>
        <v/>
      </c>
      <c r="M185" s="94" t="n">
        <f aca="false">ROW()-ROW(GanttView[[#Headers],[ID]])</f>
        <v>180</v>
      </c>
      <c r="N185" s="95" t="b">
        <f aca="false">IF(IFERROR(INDEX(tsk_Name,GanttView[[#This Row],[_Row]])="",TRUE()),FALSE(),INDEX(tsk_IsSummary,GanttView[[#This Row],[_Row]]))</f>
        <v>0</v>
      </c>
      <c r="O185" s="95" t="b">
        <f aca="false">IF(IFERROR(INDEX(tsk_Name,GanttView[[#This Row],[_Row]])="",TRUE()),FALSE(),AND(INDEX(tsk_IsLeaf,GanttView[[#This Row],[_Row]])=1,N(INDEX(tsk_Duration,GanttView[[#This Row],[_Row]]))=0))</f>
        <v>0</v>
      </c>
      <c r="P185" s="96" t="n">
        <f aca="false">IF(IFERROR(INDEX(tsk_Name,GanttView[[#This Row],[_Row]])="",TRUE()),0,IF(AND(INDEX(tsk_IsLeaf,GanttView[[#This Row],[_Row]])=1,NOT(GanttView[[#This Row],[_IsMilestone]]),N(GanttView[[#This Row],[%]])&gt;0),GanttView[[#This Row],[Start]],0))</f>
        <v>0</v>
      </c>
      <c r="Q185" s="96" t="n">
        <f aca="false">IF(GanttView[[#This Row],[_DoneFrom]]=0,0,IF(GanttView[[#This Row],[%]]&gt;=1,GanttView[[#This Row],[Finish]],MAX(GanttView[[#This Row],[_DoneFrom]],GanttView[[#This Row],[Start]]+ROUND((GanttView[[#This Row],[Finish]]-GanttView[[#This Row],[Start]]+1)*GanttView[[#This Row],[%]],0)-1)))</f>
        <v>0</v>
      </c>
      <c r="R185" s="96" t="n">
        <f aca="false">IF(IFERROR(INDEX(tsk_Name,GanttView[[#This Row],[_Row]])="",TRUE()),0,IF(OR(INDEX(tsk_IsLeaf,GanttView[[#This Row],[_Row]])&lt;&gt;1,GanttView[[#This Row],[_IsMilestone]],N(GanttView[[#This Row],[%]])&gt;=1),0,IF(GanttView[[#This Row],[_DoneTo]]&gt;0,GanttView[[#This Row],[_DoneTo]]+1,GanttView[[#This Row],[Start]])))</f>
        <v>0</v>
      </c>
      <c r="S185" s="96" t="n">
        <f aca="false">IF(GanttView[[#This Row],[_RemFrom]]=0,0,GanttView[[#This Row],[Finish]])</f>
        <v>0</v>
      </c>
      <c r="T185" s="95" t="b">
        <f aca="false">IF(IFERROR(INDEX(tsk_Name,GanttView[[#This Row],[_Row]])="",TRUE()),FALSE(),N(INDEX(tsk_Variance,GanttView[[#This Row],[_Row]]))&gt;0)</f>
        <v>0</v>
      </c>
      <c r="U185" s="96" t="n">
        <f aca="false">IF(IFERROR(INDEX(tsk_Name,GanttView[[#This Row],[_Row]])="",TRUE()),0,N(INDEX(tsk_Deadline,GanttView[[#This Row],[_Row]])))</f>
        <v>0</v>
      </c>
      <c r="V185" s="95" t="b">
        <f aca="false">IF(IFERROR(INDEX(tsk_Name,GanttView[[#This Row],[_Row]])="",TRUE()),FALSE(),INDEX(tsk_Critical,GanttView[[#This Row],[_Row]])="Yes")</f>
        <v>0</v>
      </c>
    </row>
    <row r="186" customFormat="false" ht="15" hidden="false" customHeight="false" outlineLevel="0" collapsed="false">
      <c r="A186" s="89" t="str">
        <f aca="false">IF(IFERROR(INDEX(tsk_Name,GanttView[[#This Row],[_Row]])="",TRUE()),"",INDEX(tsk_ID,GanttView[[#This Row],[_Row]]))</f>
        <v/>
      </c>
      <c r="B186" s="90" t="str">
        <f aca="false">IF(IFERROR(INDEX(tsk_Name,GanttView[[#This Row],[_Row]])="",TRUE()),"",REPT("    ",INDEX(tsk_Level,GanttView[[#This Row],[_Row]])-1)&amp;INDEX(tsk_Name,GanttView[[#This Row],[_Row]]))</f>
        <v/>
      </c>
      <c r="C186" s="91" t="str">
        <f aca="false">IF(IFERROR(INDEX(tsk_Name,GanttView[[#This Row],[_Row]])="",TRUE()),"",INDEX(tsk_FcStart,GanttView[[#This Row],[_Row]]))</f>
        <v/>
      </c>
      <c r="D186" s="91" t="str">
        <f aca="false">IF(IFERROR(INDEX(tsk_Name,GanttView[[#This Row],[_Row]])="",TRUE()),"",INDEX(tsk_FcFinish,GanttView[[#This Row],[_Row]]))</f>
        <v/>
      </c>
      <c r="E186" s="92" t="str">
        <f aca="false">IF(IFERROR(INDEX(tsk_Name,GanttView[[#This Row],[_Row]])="",TRUE()),"",INDEX(tsk_Progress,GanttView[[#This Row],[_Row]]))</f>
        <v/>
      </c>
      <c r="F186" s="90" t="str">
        <f aca="false">IF(IFERROR(INDEX(tsk_Name,GanttView[[#This Row],[_Row]])="",TRUE()),"",INDEX(tsk_ResourceNames,GanttView[[#This Row],[_Row]])&amp;"")</f>
        <v/>
      </c>
      <c r="G186" s="89" t="str">
        <f aca="false">IF(IFERROR(INDEX(tsk_Name,GanttView[[#This Row],[_Row]])="",TRUE()),"",INDEX(tsk_WBS,GanttView[[#This Row],[_Row]]))</f>
        <v/>
      </c>
      <c r="H186" s="89" t="str">
        <f aca="false">IF(IFERROR(INDEX(tsk_Name,GanttView[[#This Row],[_Row]])="",TRUE()),"",IF(INDEX(tsk_IsSummary,GanttView[[#This Row],[_Row]]),NETWORKDAYS.INTL(INDEX(tsk_FcStart,GanttView[[#This Row],[_Row]]),INDEX(tsk_FcFinish,GanttView[[#This Row],[_Row]]),WorkWeek,Holidays),N(INDEX(tsk_Duration,GanttView[[#This Row],[_Row]]))))</f>
        <v/>
      </c>
      <c r="I186" s="91" t="str">
        <f aca="false">IF(IFERROR(INDEX(tsk_Name,GanttView[[#This Row],[_Row]])="",TRUE()),"",INDEX(tsk_PlanStart,GanttView[[#This Row],[_Row]]))</f>
        <v/>
      </c>
      <c r="J186" s="91" t="str">
        <f aca="false">IF(IFERROR(INDEX(tsk_Name,GanttView[[#This Row],[_Row]])="",TRUE()),"",INDEX(tsk_PlanFinish,GanttView[[#This Row],[_Row]]))</f>
        <v/>
      </c>
      <c r="K186" s="93" t="str">
        <f aca="false">IF(IFERROR(INDEX(tsk_Name,GanttView[[#This Row],[_Row]])="",TRUE()),"",INDEX(tsk_Status,GanttView[[#This Row],[_Row]]))</f>
        <v/>
      </c>
      <c r="L186" s="93" t="str">
        <f aca="false">IF(IFERROR(INDEX(tsk_Name,GanttView[[#This Row],[_Row]])="",TRUE()),"",INDEX(tsk_Show,GanttView[[#This Row],[_Row]])&amp;"")</f>
        <v/>
      </c>
      <c r="M186" s="94" t="n">
        <f aca="false">ROW()-ROW(GanttView[[#Headers],[ID]])</f>
        <v>181</v>
      </c>
      <c r="N186" s="95" t="b">
        <f aca="false">IF(IFERROR(INDEX(tsk_Name,GanttView[[#This Row],[_Row]])="",TRUE()),FALSE(),INDEX(tsk_IsSummary,GanttView[[#This Row],[_Row]]))</f>
        <v>0</v>
      </c>
      <c r="O186" s="95" t="b">
        <f aca="false">IF(IFERROR(INDEX(tsk_Name,GanttView[[#This Row],[_Row]])="",TRUE()),FALSE(),AND(INDEX(tsk_IsLeaf,GanttView[[#This Row],[_Row]])=1,N(INDEX(tsk_Duration,GanttView[[#This Row],[_Row]]))=0))</f>
        <v>0</v>
      </c>
      <c r="P186" s="96" t="n">
        <f aca="false">IF(IFERROR(INDEX(tsk_Name,GanttView[[#This Row],[_Row]])="",TRUE()),0,IF(AND(INDEX(tsk_IsLeaf,GanttView[[#This Row],[_Row]])=1,NOT(GanttView[[#This Row],[_IsMilestone]]),N(GanttView[[#This Row],[%]])&gt;0),GanttView[[#This Row],[Start]],0))</f>
        <v>0</v>
      </c>
      <c r="Q186" s="96" t="n">
        <f aca="false">IF(GanttView[[#This Row],[_DoneFrom]]=0,0,IF(GanttView[[#This Row],[%]]&gt;=1,GanttView[[#This Row],[Finish]],MAX(GanttView[[#This Row],[_DoneFrom]],GanttView[[#This Row],[Start]]+ROUND((GanttView[[#This Row],[Finish]]-GanttView[[#This Row],[Start]]+1)*GanttView[[#This Row],[%]],0)-1)))</f>
        <v>0</v>
      </c>
      <c r="R186" s="96" t="n">
        <f aca="false">IF(IFERROR(INDEX(tsk_Name,GanttView[[#This Row],[_Row]])="",TRUE()),0,IF(OR(INDEX(tsk_IsLeaf,GanttView[[#This Row],[_Row]])&lt;&gt;1,GanttView[[#This Row],[_IsMilestone]],N(GanttView[[#This Row],[%]])&gt;=1),0,IF(GanttView[[#This Row],[_DoneTo]]&gt;0,GanttView[[#This Row],[_DoneTo]]+1,GanttView[[#This Row],[Start]])))</f>
        <v>0</v>
      </c>
      <c r="S186" s="96" t="n">
        <f aca="false">IF(GanttView[[#This Row],[_RemFrom]]=0,0,GanttView[[#This Row],[Finish]])</f>
        <v>0</v>
      </c>
      <c r="T186" s="95" t="b">
        <f aca="false">IF(IFERROR(INDEX(tsk_Name,GanttView[[#This Row],[_Row]])="",TRUE()),FALSE(),N(INDEX(tsk_Variance,GanttView[[#This Row],[_Row]]))&gt;0)</f>
        <v>0</v>
      </c>
      <c r="U186" s="96" t="n">
        <f aca="false">IF(IFERROR(INDEX(tsk_Name,GanttView[[#This Row],[_Row]])="",TRUE()),0,N(INDEX(tsk_Deadline,GanttView[[#This Row],[_Row]])))</f>
        <v>0</v>
      </c>
      <c r="V186" s="95" t="b">
        <f aca="false">IF(IFERROR(INDEX(tsk_Name,GanttView[[#This Row],[_Row]])="",TRUE()),FALSE(),INDEX(tsk_Critical,GanttView[[#This Row],[_Row]])="Yes")</f>
        <v>0</v>
      </c>
    </row>
    <row r="187" customFormat="false" ht="15" hidden="false" customHeight="false" outlineLevel="0" collapsed="false">
      <c r="A187" s="89" t="str">
        <f aca="false">IF(IFERROR(INDEX(tsk_Name,GanttView[[#This Row],[_Row]])="",TRUE()),"",INDEX(tsk_ID,GanttView[[#This Row],[_Row]]))</f>
        <v/>
      </c>
      <c r="B187" s="90" t="str">
        <f aca="false">IF(IFERROR(INDEX(tsk_Name,GanttView[[#This Row],[_Row]])="",TRUE()),"",REPT("    ",INDEX(tsk_Level,GanttView[[#This Row],[_Row]])-1)&amp;INDEX(tsk_Name,GanttView[[#This Row],[_Row]]))</f>
        <v/>
      </c>
      <c r="C187" s="91" t="str">
        <f aca="false">IF(IFERROR(INDEX(tsk_Name,GanttView[[#This Row],[_Row]])="",TRUE()),"",INDEX(tsk_FcStart,GanttView[[#This Row],[_Row]]))</f>
        <v/>
      </c>
      <c r="D187" s="91" t="str">
        <f aca="false">IF(IFERROR(INDEX(tsk_Name,GanttView[[#This Row],[_Row]])="",TRUE()),"",INDEX(tsk_FcFinish,GanttView[[#This Row],[_Row]]))</f>
        <v/>
      </c>
      <c r="E187" s="92" t="str">
        <f aca="false">IF(IFERROR(INDEX(tsk_Name,GanttView[[#This Row],[_Row]])="",TRUE()),"",INDEX(tsk_Progress,GanttView[[#This Row],[_Row]]))</f>
        <v/>
      </c>
      <c r="F187" s="90" t="str">
        <f aca="false">IF(IFERROR(INDEX(tsk_Name,GanttView[[#This Row],[_Row]])="",TRUE()),"",INDEX(tsk_ResourceNames,GanttView[[#This Row],[_Row]])&amp;"")</f>
        <v/>
      </c>
      <c r="G187" s="89" t="str">
        <f aca="false">IF(IFERROR(INDEX(tsk_Name,GanttView[[#This Row],[_Row]])="",TRUE()),"",INDEX(tsk_WBS,GanttView[[#This Row],[_Row]]))</f>
        <v/>
      </c>
      <c r="H187" s="89" t="str">
        <f aca="false">IF(IFERROR(INDEX(tsk_Name,GanttView[[#This Row],[_Row]])="",TRUE()),"",IF(INDEX(tsk_IsSummary,GanttView[[#This Row],[_Row]]),NETWORKDAYS.INTL(INDEX(tsk_FcStart,GanttView[[#This Row],[_Row]]),INDEX(tsk_FcFinish,GanttView[[#This Row],[_Row]]),WorkWeek,Holidays),N(INDEX(tsk_Duration,GanttView[[#This Row],[_Row]]))))</f>
        <v/>
      </c>
      <c r="I187" s="91" t="str">
        <f aca="false">IF(IFERROR(INDEX(tsk_Name,GanttView[[#This Row],[_Row]])="",TRUE()),"",INDEX(tsk_PlanStart,GanttView[[#This Row],[_Row]]))</f>
        <v/>
      </c>
      <c r="J187" s="91" t="str">
        <f aca="false">IF(IFERROR(INDEX(tsk_Name,GanttView[[#This Row],[_Row]])="",TRUE()),"",INDEX(tsk_PlanFinish,GanttView[[#This Row],[_Row]]))</f>
        <v/>
      </c>
      <c r="K187" s="93" t="str">
        <f aca="false">IF(IFERROR(INDEX(tsk_Name,GanttView[[#This Row],[_Row]])="",TRUE()),"",INDEX(tsk_Status,GanttView[[#This Row],[_Row]]))</f>
        <v/>
      </c>
      <c r="L187" s="93" t="str">
        <f aca="false">IF(IFERROR(INDEX(tsk_Name,GanttView[[#This Row],[_Row]])="",TRUE()),"",INDEX(tsk_Show,GanttView[[#This Row],[_Row]])&amp;"")</f>
        <v/>
      </c>
      <c r="M187" s="94" t="n">
        <f aca="false">ROW()-ROW(GanttView[[#Headers],[ID]])</f>
        <v>182</v>
      </c>
      <c r="N187" s="95" t="b">
        <f aca="false">IF(IFERROR(INDEX(tsk_Name,GanttView[[#This Row],[_Row]])="",TRUE()),FALSE(),INDEX(tsk_IsSummary,GanttView[[#This Row],[_Row]]))</f>
        <v>0</v>
      </c>
      <c r="O187" s="95" t="b">
        <f aca="false">IF(IFERROR(INDEX(tsk_Name,GanttView[[#This Row],[_Row]])="",TRUE()),FALSE(),AND(INDEX(tsk_IsLeaf,GanttView[[#This Row],[_Row]])=1,N(INDEX(tsk_Duration,GanttView[[#This Row],[_Row]]))=0))</f>
        <v>0</v>
      </c>
      <c r="P187" s="96" t="n">
        <f aca="false">IF(IFERROR(INDEX(tsk_Name,GanttView[[#This Row],[_Row]])="",TRUE()),0,IF(AND(INDEX(tsk_IsLeaf,GanttView[[#This Row],[_Row]])=1,NOT(GanttView[[#This Row],[_IsMilestone]]),N(GanttView[[#This Row],[%]])&gt;0),GanttView[[#This Row],[Start]],0))</f>
        <v>0</v>
      </c>
      <c r="Q187" s="96" t="n">
        <f aca="false">IF(GanttView[[#This Row],[_DoneFrom]]=0,0,IF(GanttView[[#This Row],[%]]&gt;=1,GanttView[[#This Row],[Finish]],MAX(GanttView[[#This Row],[_DoneFrom]],GanttView[[#This Row],[Start]]+ROUND((GanttView[[#This Row],[Finish]]-GanttView[[#This Row],[Start]]+1)*GanttView[[#This Row],[%]],0)-1)))</f>
        <v>0</v>
      </c>
      <c r="R187" s="96" t="n">
        <f aca="false">IF(IFERROR(INDEX(tsk_Name,GanttView[[#This Row],[_Row]])="",TRUE()),0,IF(OR(INDEX(tsk_IsLeaf,GanttView[[#This Row],[_Row]])&lt;&gt;1,GanttView[[#This Row],[_IsMilestone]],N(GanttView[[#This Row],[%]])&gt;=1),0,IF(GanttView[[#This Row],[_DoneTo]]&gt;0,GanttView[[#This Row],[_DoneTo]]+1,GanttView[[#This Row],[Start]])))</f>
        <v>0</v>
      </c>
      <c r="S187" s="96" t="n">
        <f aca="false">IF(GanttView[[#This Row],[_RemFrom]]=0,0,GanttView[[#This Row],[Finish]])</f>
        <v>0</v>
      </c>
      <c r="T187" s="95" t="b">
        <f aca="false">IF(IFERROR(INDEX(tsk_Name,GanttView[[#This Row],[_Row]])="",TRUE()),FALSE(),N(INDEX(tsk_Variance,GanttView[[#This Row],[_Row]]))&gt;0)</f>
        <v>0</v>
      </c>
      <c r="U187" s="96" t="n">
        <f aca="false">IF(IFERROR(INDEX(tsk_Name,GanttView[[#This Row],[_Row]])="",TRUE()),0,N(INDEX(tsk_Deadline,GanttView[[#This Row],[_Row]])))</f>
        <v>0</v>
      </c>
      <c r="V187" s="95" t="b">
        <f aca="false">IF(IFERROR(INDEX(tsk_Name,GanttView[[#This Row],[_Row]])="",TRUE()),FALSE(),INDEX(tsk_Critical,GanttView[[#This Row],[_Row]])="Yes")</f>
        <v>0</v>
      </c>
    </row>
    <row r="188" customFormat="false" ht="15" hidden="false" customHeight="false" outlineLevel="0" collapsed="false">
      <c r="A188" s="89" t="str">
        <f aca="false">IF(IFERROR(INDEX(tsk_Name,GanttView[[#This Row],[_Row]])="",TRUE()),"",INDEX(tsk_ID,GanttView[[#This Row],[_Row]]))</f>
        <v/>
      </c>
      <c r="B188" s="90" t="str">
        <f aca="false">IF(IFERROR(INDEX(tsk_Name,GanttView[[#This Row],[_Row]])="",TRUE()),"",REPT("    ",INDEX(tsk_Level,GanttView[[#This Row],[_Row]])-1)&amp;INDEX(tsk_Name,GanttView[[#This Row],[_Row]]))</f>
        <v/>
      </c>
      <c r="C188" s="91" t="str">
        <f aca="false">IF(IFERROR(INDEX(tsk_Name,GanttView[[#This Row],[_Row]])="",TRUE()),"",INDEX(tsk_FcStart,GanttView[[#This Row],[_Row]]))</f>
        <v/>
      </c>
      <c r="D188" s="91" t="str">
        <f aca="false">IF(IFERROR(INDEX(tsk_Name,GanttView[[#This Row],[_Row]])="",TRUE()),"",INDEX(tsk_FcFinish,GanttView[[#This Row],[_Row]]))</f>
        <v/>
      </c>
      <c r="E188" s="92" t="str">
        <f aca="false">IF(IFERROR(INDEX(tsk_Name,GanttView[[#This Row],[_Row]])="",TRUE()),"",INDEX(tsk_Progress,GanttView[[#This Row],[_Row]]))</f>
        <v/>
      </c>
      <c r="F188" s="90" t="str">
        <f aca="false">IF(IFERROR(INDEX(tsk_Name,GanttView[[#This Row],[_Row]])="",TRUE()),"",INDEX(tsk_ResourceNames,GanttView[[#This Row],[_Row]])&amp;"")</f>
        <v/>
      </c>
      <c r="G188" s="89" t="str">
        <f aca="false">IF(IFERROR(INDEX(tsk_Name,GanttView[[#This Row],[_Row]])="",TRUE()),"",INDEX(tsk_WBS,GanttView[[#This Row],[_Row]]))</f>
        <v/>
      </c>
      <c r="H188" s="89" t="str">
        <f aca="false">IF(IFERROR(INDEX(tsk_Name,GanttView[[#This Row],[_Row]])="",TRUE()),"",IF(INDEX(tsk_IsSummary,GanttView[[#This Row],[_Row]]),NETWORKDAYS.INTL(INDEX(tsk_FcStart,GanttView[[#This Row],[_Row]]),INDEX(tsk_FcFinish,GanttView[[#This Row],[_Row]]),WorkWeek,Holidays),N(INDEX(tsk_Duration,GanttView[[#This Row],[_Row]]))))</f>
        <v/>
      </c>
      <c r="I188" s="91" t="str">
        <f aca="false">IF(IFERROR(INDEX(tsk_Name,GanttView[[#This Row],[_Row]])="",TRUE()),"",INDEX(tsk_PlanStart,GanttView[[#This Row],[_Row]]))</f>
        <v/>
      </c>
      <c r="J188" s="91" t="str">
        <f aca="false">IF(IFERROR(INDEX(tsk_Name,GanttView[[#This Row],[_Row]])="",TRUE()),"",INDEX(tsk_PlanFinish,GanttView[[#This Row],[_Row]]))</f>
        <v/>
      </c>
      <c r="K188" s="93" t="str">
        <f aca="false">IF(IFERROR(INDEX(tsk_Name,GanttView[[#This Row],[_Row]])="",TRUE()),"",INDEX(tsk_Status,GanttView[[#This Row],[_Row]]))</f>
        <v/>
      </c>
      <c r="L188" s="93" t="str">
        <f aca="false">IF(IFERROR(INDEX(tsk_Name,GanttView[[#This Row],[_Row]])="",TRUE()),"",INDEX(tsk_Show,GanttView[[#This Row],[_Row]])&amp;"")</f>
        <v/>
      </c>
      <c r="M188" s="94" t="n">
        <f aca="false">ROW()-ROW(GanttView[[#Headers],[ID]])</f>
        <v>183</v>
      </c>
      <c r="N188" s="95" t="b">
        <f aca="false">IF(IFERROR(INDEX(tsk_Name,GanttView[[#This Row],[_Row]])="",TRUE()),FALSE(),INDEX(tsk_IsSummary,GanttView[[#This Row],[_Row]]))</f>
        <v>0</v>
      </c>
      <c r="O188" s="95" t="b">
        <f aca="false">IF(IFERROR(INDEX(tsk_Name,GanttView[[#This Row],[_Row]])="",TRUE()),FALSE(),AND(INDEX(tsk_IsLeaf,GanttView[[#This Row],[_Row]])=1,N(INDEX(tsk_Duration,GanttView[[#This Row],[_Row]]))=0))</f>
        <v>0</v>
      </c>
      <c r="P188" s="96" t="n">
        <f aca="false">IF(IFERROR(INDEX(tsk_Name,GanttView[[#This Row],[_Row]])="",TRUE()),0,IF(AND(INDEX(tsk_IsLeaf,GanttView[[#This Row],[_Row]])=1,NOT(GanttView[[#This Row],[_IsMilestone]]),N(GanttView[[#This Row],[%]])&gt;0),GanttView[[#This Row],[Start]],0))</f>
        <v>0</v>
      </c>
      <c r="Q188" s="96" t="n">
        <f aca="false">IF(GanttView[[#This Row],[_DoneFrom]]=0,0,IF(GanttView[[#This Row],[%]]&gt;=1,GanttView[[#This Row],[Finish]],MAX(GanttView[[#This Row],[_DoneFrom]],GanttView[[#This Row],[Start]]+ROUND((GanttView[[#This Row],[Finish]]-GanttView[[#This Row],[Start]]+1)*GanttView[[#This Row],[%]],0)-1)))</f>
        <v>0</v>
      </c>
      <c r="R188" s="96" t="n">
        <f aca="false">IF(IFERROR(INDEX(tsk_Name,GanttView[[#This Row],[_Row]])="",TRUE()),0,IF(OR(INDEX(tsk_IsLeaf,GanttView[[#This Row],[_Row]])&lt;&gt;1,GanttView[[#This Row],[_IsMilestone]],N(GanttView[[#This Row],[%]])&gt;=1),0,IF(GanttView[[#This Row],[_DoneTo]]&gt;0,GanttView[[#This Row],[_DoneTo]]+1,GanttView[[#This Row],[Start]])))</f>
        <v>0</v>
      </c>
      <c r="S188" s="96" t="n">
        <f aca="false">IF(GanttView[[#This Row],[_RemFrom]]=0,0,GanttView[[#This Row],[Finish]])</f>
        <v>0</v>
      </c>
      <c r="T188" s="95" t="b">
        <f aca="false">IF(IFERROR(INDEX(tsk_Name,GanttView[[#This Row],[_Row]])="",TRUE()),FALSE(),N(INDEX(tsk_Variance,GanttView[[#This Row],[_Row]]))&gt;0)</f>
        <v>0</v>
      </c>
      <c r="U188" s="96" t="n">
        <f aca="false">IF(IFERROR(INDEX(tsk_Name,GanttView[[#This Row],[_Row]])="",TRUE()),0,N(INDEX(tsk_Deadline,GanttView[[#This Row],[_Row]])))</f>
        <v>0</v>
      </c>
      <c r="V188" s="95" t="b">
        <f aca="false">IF(IFERROR(INDEX(tsk_Name,GanttView[[#This Row],[_Row]])="",TRUE()),FALSE(),INDEX(tsk_Critical,GanttView[[#This Row],[_Row]])="Yes")</f>
        <v>0</v>
      </c>
    </row>
    <row r="189" customFormat="false" ht="15" hidden="false" customHeight="false" outlineLevel="0" collapsed="false">
      <c r="A189" s="89" t="str">
        <f aca="false">IF(IFERROR(INDEX(tsk_Name,GanttView[[#This Row],[_Row]])="",TRUE()),"",INDEX(tsk_ID,GanttView[[#This Row],[_Row]]))</f>
        <v/>
      </c>
      <c r="B189" s="90" t="str">
        <f aca="false">IF(IFERROR(INDEX(tsk_Name,GanttView[[#This Row],[_Row]])="",TRUE()),"",REPT("    ",INDEX(tsk_Level,GanttView[[#This Row],[_Row]])-1)&amp;INDEX(tsk_Name,GanttView[[#This Row],[_Row]]))</f>
        <v/>
      </c>
      <c r="C189" s="91" t="str">
        <f aca="false">IF(IFERROR(INDEX(tsk_Name,GanttView[[#This Row],[_Row]])="",TRUE()),"",INDEX(tsk_FcStart,GanttView[[#This Row],[_Row]]))</f>
        <v/>
      </c>
      <c r="D189" s="91" t="str">
        <f aca="false">IF(IFERROR(INDEX(tsk_Name,GanttView[[#This Row],[_Row]])="",TRUE()),"",INDEX(tsk_FcFinish,GanttView[[#This Row],[_Row]]))</f>
        <v/>
      </c>
      <c r="E189" s="92" t="str">
        <f aca="false">IF(IFERROR(INDEX(tsk_Name,GanttView[[#This Row],[_Row]])="",TRUE()),"",INDEX(tsk_Progress,GanttView[[#This Row],[_Row]]))</f>
        <v/>
      </c>
      <c r="F189" s="90" t="str">
        <f aca="false">IF(IFERROR(INDEX(tsk_Name,GanttView[[#This Row],[_Row]])="",TRUE()),"",INDEX(tsk_ResourceNames,GanttView[[#This Row],[_Row]])&amp;"")</f>
        <v/>
      </c>
      <c r="G189" s="89" t="str">
        <f aca="false">IF(IFERROR(INDEX(tsk_Name,GanttView[[#This Row],[_Row]])="",TRUE()),"",INDEX(tsk_WBS,GanttView[[#This Row],[_Row]]))</f>
        <v/>
      </c>
      <c r="H189" s="89" t="str">
        <f aca="false">IF(IFERROR(INDEX(tsk_Name,GanttView[[#This Row],[_Row]])="",TRUE()),"",IF(INDEX(tsk_IsSummary,GanttView[[#This Row],[_Row]]),NETWORKDAYS.INTL(INDEX(tsk_FcStart,GanttView[[#This Row],[_Row]]),INDEX(tsk_FcFinish,GanttView[[#This Row],[_Row]]),WorkWeek,Holidays),N(INDEX(tsk_Duration,GanttView[[#This Row],[_Row]]))))</f>
        <v/>
      </c>
      <c r="I189" s="91" t="str">
        <f aca="false">IF(IFERROR(INDEX(tsk_Name,GanttView[[#This Row],[_Row]])="",TRUE()),"",INDEX(tsk_PlanStart,GanttView[[#This Row],[_Row]]))</f>
        <v/>
      </c>
      <c r="J189" s="91" t="str">
        <f aca="false">IF(IFERROR(INDEX(tsk_Name,GanttView[[#This Row],[_Row]])="",TRUE()),"",INDEX(tsk_PlanFinish,GanttView[[#This Row],[_Row]]))</f>
        <v/>
      </c>
      <c r="K189" s="93" t="str">
        <f aca="false">IF(IFERROR(INDEX(tsk_Name,GanttView[[#This Row],[_Row]])="",TRUE()),"",INDEX(tsk_Status,GanttView[[#This Row],[_Row]]))</f>
        <v/>
      </c>
      <c r="L189" s="93" t="str">
        <f aca="false">IF(IFERROR(INDEX(tsk_Name,GanttView[[#This Row],[_Row]])="",TRUE()),"",INDEX(tsk_Show,GanttView[[#This Row],[_Row]])&amp;"")</f>
        <v/>
      </c>
      <c r="M189" s="94" t="n">
        <f aca="false">ROW()-ROW(GanttView[[#Headers],[ID]])</f>
        <v>184</v>
      </c>
      <c r="N189" s="95" t="b">
        <f aca="false">IF(IFERROR(INDEX(tsk_Name,GanttView[[#This Row],[_Row]])="",TRUE()),FALSE(),INDEX(tsk_IsSummary,GanttView[[#This Row],[_Row]]))</f>
        <v>0</v>
      </c>
      <c r="O189" s="95" t="b">
        <f aca="false">IF(IFERROR(INDEX(tsk_Name,GanttView[[#This Row],[_Row]])="",TRUE()),FALSE(),AND(INDEX(tsk_IsLeaf,GanttView[[#This Row],[_Row]])=1,N(INDEX(tsk_Duration,GanttView[[#This Row],[_Row]]))=0))</f>
        <v>0</v>
      </c>
      <c r="P189" s="96" t="n">
        <f aca="false">IF(IFERROR(INDEX(tsk_Name,GanttView[[#This Row],[_Row]])="",TRUE()),0,IF(AND(INDEX(tsk_IsLeaf,GanttView[[#This Row],[_Row]])=1,NOT(GanttView[[#This Row],[_IsMilestone]]),N(GanttView[[#This Row],[%]])&gt;0),GanttView[[#This Row],[Start]],0))</f>
        <v>0</v>
      </c>
      <c r="Q189" s="96" t="n">
        <f aca="false">IF(GanttView[[#This Row],[_DoneFrom]]=0,0,IF(GanttView[[#This Row],[%]]&gt;=1,GanttView[[#This Row],[Finish]],MAX(GanttView[[#This Row],[_DoneFrom]],GanttView[[#This Row],[Start]]+ROUND((GanttView[[#This Row],[Finish]]-GanttView[[#This Row],[Start]]+1)*GanttView[[#This Row],[%]],0)-1)))</f>
        <v>0</v>
      </c>
      <c r="R189" s="96" t="n">
        <f aca="false">IF(IFERROR(INDEX(tsk_Name,GanttView[[#This Row],[_Row]])="",TRUE()),0,IF(OR(INDEX(tsk_IsLeaf,GanttView[[#This Row],[_Row]])&lt;&gt;1,GanttView[[#This Row],[_IsMilestone]],N(GanttView[[#This Row],[%]])&gt;=1),0,IF(GanttView[[#This Row],[_DoneTo]]&gt;0,GanttView[[#This Row],[_DoneTo]]+1,GanttView[[#This Row],[Start]])))</f>
        <v>0</v>
      </c>
      <c r="S189" s="96" t="n">
        <f aca="false">IF(GanttView[[#This Row],[_RemFrom]]=0,0,GanttView[[#This Row],[Finish]])</f>
        <v>0</v>
      </c>
      <c r="T189" s="95" t="b">
        <f aca="false">IF(IFERROR(INDEX(tsk_Name,GanttView[[#This Row],[_Row]])="",TRUE()),FALSE(),N(INDEX(tsk_Variance,GanttView[[#This Row],[_Row]]))&gt;0)</f>
        <v>0</v>
      </c>
      <c r="U189" s="96" t="n">
        <f aca="false">IF(IFERROR(INDEX(tsk_Name,GanttView[[#This Row],[_Row]])="",TRUE()),0,N(INDEX(tsk_Deadline,GanttView[[#This Row],[_Row]])))</f>
        <v>0</v>
      </c>
      <c r="V189" s="95" t="b">
        <f aca="false">IF(IFERROR(INDEX(tsk_Name,GanttView[[#This Row],[_Row]])="",TRUE()),FALSE(),INDEX(tsk_Critical,GanttView[[#This Row],[_Row]])="Yes")</f>
        <v>0</v>
      </c>
    </row>
    <row r="190" customFormat="false" ht="15" hidden="false" customHeight="false" outlineLevel="0" collapsed="false">
      <c r="A190" s="89" t="str">
        <f aca="false">IF(IFERROR(INDEX(tsk_Name,GanttView[[#This Row],[_Row]])="",TRUE()),"",INDEX(tsk_ID,GanttView[[#This Row],[_Row]]))</f>
        <v/>
      </c>
      <c r="B190" s="90" t="str">
        <f aca="false">IF(IFERROR(INDEX(tsk_Name,GanttView[[#This Row],[_Row]])="",TRUE()),"",REPT("    ",INDEX(tsk_Level,GanttView[[#This Row],[_Row]])-1)&amp;INDEX(tsk_Name,GanttView[[#This Row],[_Row]]))</f>
        <v/>
      </c>
      <c r="C190" s="91" t="str">
        <f aca="false">IF(IFERROR(INDEX(tsk_Name,GanttView[[#This Row],[_Row]])="",TRUE()),"",INDEX(tsk_FcStart,GanttView[[#This Row],[_Row]]))</f>
        <v/>
      </c>
      <c r="D190" s="91" t="str">
        <f aca="false">IF(IFERROR(INDEX(tsk_Name,GanttView[[#This Row],[_Row]])="",TRUE()),"",INDEX(tsk_FcFinish,GanttView[[#This Row],[_Row]]))</f>
        <v/>
      </c>
      <c r="E190" s="92" t="str">
        <f aca="false">IF(IFERROR(INDEX(tsk_Name,GanttView[[#This Row],[_Row]])="",TRUE()),"",INDEX(tsk_Progress,GanttView[[#This Row],[_Row]]))</f>
        <v/>
      </c>
      <c r="F190" s="90" t="str">
        <f aca="false">IF(IFERROR(INDEX(tsk_Name,GanttView[[#This Row],[_Row]])="",TRUE()),"",INDEX(tsk_ResourceNames,GanttView[[#This Row],[_Row]])&amp;"")</f>
        <v/>
      </c>
      <c r="G190" s="89" t="str">
        <f aca="false">IF(IFERROR(INDEX(tsk_Name,GanttView[[#This Row],[_Row]])="",TRUE()),"",INDEX(tsk_WBS,GanttView[[#This Row],[_Row]]))</f>
        <v/>
      </c>
      <c r="H190" s="89" t="str">
        <f aca="false">IF(IFERROR(INDEX(tsk_Name,GanttView[[#This Row],[_Row]])="",TRUE()),"",IF(INDEX(tsk_IsSummary,GanttView[[#This Row],[_Row]]),NETWORKDAYS.INTL(INDEX(tsk_FcStart,GanttView[[#This Row],[_Row]]),INDEX(tsk_FcFinish,GanttView[[#This Row],[_Row]]),WorkWeek,Holidays),N(INDEX(tsk_Duration,GanttView[[#This Row],[_Row]]))))</f>
        <v/>
      </c>
      <c r="I190" s="91" t="str">
        <f aca="false">IF(IFERROR(INDEX(tsk_Name,GanttView[[#This Row],[_Row]])="",TRUE()),"",INDEX(tsk_PlanStart,GanttView[[#This Row],[_Row]]))</f>
        <v/>
      </c>
      <c r="J190" s="91" t="str">
        <f aca="false">IF(IFERROR(INDEX(tsk_Name,GanttView[[#This Row],[_Row]])="",TRUE()),"",INDEX(tsk_PlanFinish,GanttView[[#This Row],[_Row]]))</f>
        <v/>
      </c>
      <c r="K190" s="93" t="str">
        <f aca="false">IF(IFERROR(INDEX(tsk_Name,GanttView[[#This Row],[_Row]])="",TRUE()),"",INDEX(tsk_Status,GanttView[[#This Row],[_Row]]))</f>
        <v/>
      </c>
      <c r="L190" s="93" t="str">
        <f aca="false">IF(IFERROR(INDEX(tsk_Name,GanttView[[#This Row],[_Row]])="",TRUE()),"",INDEX(tsk_Show,GanttView[[#This Row],[_Row]])&amp;"")</f>
        <v/>
      </c>
      <c r="M190" s="94" t="n">
        <f aca="false">ROW()-ROW(GanttView[[#Headers],[ID]])</f>
        <v>185</v>
      </c>
      <c r="N190" s="95" t="b">
        <f aca="false">IF(IFERROR(INDEX(tsk_Name,GanttView[[#This Row],[_Row]])="",TRUE()),FALSE(),INDEX(tsk_IsSummary,GanttView[[#This Row],[_Row]]))</f>
        <v>0</v>
      </c>
      <c r="O190" s="95" t="b">
        <f aca="false">IF(IFERROR(INDEX(tsk_Name,GanttView[[#This Row],[_Row]])="",TRUE()),FALSE(),AND(INDEX(tsk_IsLeaf,GanttView[[#This Row],[_Row]])=1,N(INDEX(tsk_Duration,GanttView[[#This Row],[_Row]]))=0))</f>
        <v>0</v>
      </c>
      <c r="P190" s="96" t="n">
        <f aca="false">IF(IFERROR(INDEX(tsk_Name,GanttView[[#This Row],[_Row]])="",TRUE()),0,IF(AND(INDEX(tsk_IsLeaf,GanttView[[#This Row],[_Row]])=1,NOT(GanttView[[#This Row],[_IsMilestone]]),N(GanttView[[#This Row],[%]])&gt;0),GanttView[[#This Row],[Start]],0))</f>
        <v>0</v>
      </c>
      <c r="Q190" s="96" t="n">
        <f aca="false">IF(GanttView[[#This Row],[_DoneFrom]]=0,0,IF(GanttView[[#This Row],[%]]&gt;=1,GanttView[[#This Row],[Finish]],MAX(GanttView[[#This Row],[_DoneFrom]],GanttView[[#This Row],[Start]]+ROUND((GanttView[[#This Row],[Finish]]-GanttView[[#This Row],[Start]]+1)*GanttView[[#This Row],[%]],0)-1)))</f>
        <v>0</v>
      </c>
      <c r="R190" s="96" t="n">
        <f aca="false">IF(IFERROR(INDEX(tsk_Name,GanttView[[#This Row],[_Row]])="",TRUE()),0,IF(OR(INDEX(tsk_IsLeaf,GanttView[[#This Row],[_Row]])&lt;&gt;1,GanttView[[#This Row],[_IsMilestone]],N(GanttView[[#This Row],[%]])&gt;=1),0,IF(GanttView[[#This Row],[_DoneTo]]&gt;0,GanttView[[#This Row],[_DoneTo]]+1,GanttView[[#This Row],[Start]])))</f>
        <v>0</v>
      </c>
      <c r="S190" s="96" t="n">
        <f aca="false">IF(GanttView[[#This Row],[_RemFrom]]=0,0,GanttView[[#This Row],[Finish]])</f>
        <v>0</v>
      </c>
      <c r="T190" s="95" t="b">
        <f aca="false">IF(IFERROR(INDEX(tsk_Name,GanttView[[#This Row],[_Row]])="",TRUE()),FALSE(),N(INDEX(tsk_Variance,GanttView[[#This Row],[_Row]]))&gt;0)</f>
        <v>0</v>
      </c>
      <c r="U190" s="96" t="n">
        <f aca="false">IF(IFERROR(INDEX(tsk_Name,GanttView[[#This Row],[_Row]])="",TRUE()),0,N(INDEX(tsk_Deadline,GanttView[[#This Row],[_Row]])))</f>
        <v>0</v>
      </c>
      <c r="V190" s="95" t="b">
        <f aca="false">IF(IFERROR(INDEX(tsk_Name,GanttView[[#This Row],[_Row]])="",TRUE()),FALSE(),INDEX(tsk_Critical,GanttView[[#This Row],[_Row]])="Yes")</f>
        <v>0</v>
      </c>
    </row>
    <row r="191" customFormat="false" ht="15" hidden="false" customHeight="false" outlineLevel="0" collapsed="false">
      <c r="A191" s="89" t="str">
        <f aca="false">IF(IFERROR(INDEX(tsk_Name,GanttView[[#This Row],[_Row]])="",TRUE()),"",INDEX(tsk_ID,GanttView[[#This Row],[_Row]]))</f>
        <v/>
      </c>
      <c r="B191" s="90" t="str">
        <f aca="false">IF(IFERROR(INDEX(tsk_Name,GanttView[[#This Row],[_Row]])="",TRUE()),"",REPT("    ",INDEX(tsk_Level,GanttView[[#This Row],[_Row]])-1)&amp;INDEX(tsk_Name,GanttView[[#This Row],[_Row]]))</f>
        <v/>
      </c>
      <c r="C191" s="91" t="str">
        <f aca="false">IF(IFERROR(INDEX(tsk_Name,GanttView[[#This Row],[_Row]])="",TRUE()),"",INDEX(tsk_FcStart,GanttView[[#This Row],[_Row]]))</f>
        <v/>
      </c>
      <c r="D191" s="91" t="str">
        <f aca="false">IF(IFERROR(INDEX(tsk_Name,GanttView[[#This Row],[_Row]])="",TRUE()),"",INDEX(tsk_FcFinish,GanttView[[#This Row],[_Row]]))</f>
        <v/>
      </c>
      <c r="E191" s="92" t="str">
        <f aca="false">IF(IFERROR(INDEX(tsk_Name,GanttView[[#This Row],[_Row]])="",TRUE()),"",INDEX(tsk_Progress,GanttView[[#This Row],[_Row]]))</f>
        <v/>
      </c>
      <c r="F191" s="90" t="str">
        <f aca="false">IF(IFERROR(INDEX(tsk_Name,GanttView[[#This Row],[_Row]])="",TRUE()),"",INDEX(tsk_ResourceNames,GanttView[[#This Row],[_Row]])&amp;"")</f>
        <v/>
      </c>
      <c r="G191" s="89" t="str">
        <f aca="false">IF(IFERROR(INDEX(tsk_Name,GanttView[[#This Row],[_Row]])="",TRUE()),"",INDEX(tsk_WBS,GanttView[[#This Row],[_Row]]))</f>
        <v/>
      </c>
      <c r="H191" s="89" t="str">
        <f aca="false">IF(IFERROR(INDEX(tsk_Name,GanttView[[#This Row],[_Row]])="",TRUE()),"",IF(INDEX(tsk_IsSummary,GanttView[[#This Row],[_Row]]),NETWORKDAYS.INTL(INDEX(tsk_FcStart,GanttView[[#This Row],[_Row]]),INDEX(tsk_FcFinish,GanttView[[#This Row],[_Row]]),WorkWeek,Holidays),N(INDEX(tsk_Duration,GanttView[[#This Row],[_Row]]))))</f>
        <v/>
      </c>
      <c r="I191" s="91" t="str">
        <f aca="false">IF(IFERROR(INDEX(tsk_Name,GanttView[[#This Row],[_Row]])="",TRUE()),"",INDEX(tsk_PlanStart,GanttView[[#This Row],[_Row]]))</f>
        <v/>
      </c>
      <c r="J191" s="91" t="str">
        <f aca="false">IF(IFERROR(INDEX(tsk_Name,GanttView[[#This Row],[_Row]])="",TRUE()),"",INDEX(tsk_PlanFinish,GanttView[[#This Row],[_Row]]))</f>
        <v/>
      </c>
      <c r="K191" s="93" t="str">
        <f aca="false">IF(IFERROR(INDEX(tsk_Name,GanttView[[#This Row],[_Row]])="",TRUE()),"",INDEX(tsk_Status,GanttView[[#This Row],[_Row]]))</f>
        <v/>
      </c>
      <c r="L191" s="93" t="str">
        <f aca="false">IF(IFERROR(INDEX(tsk_Name,GanttView[[#This Row],[_Row]])="",TRUE()),"",INDEX(tsk_Show,GanttView[[#This Row],[_Row]])&amp;"")</f>
        <v/>
      </c>
      <c r="M191" s="94" t="n">
        <f aca="false">ROW()-ROW(GanttView[[#Headers],[ID]])</f>
        <v>186</v>
      </c>
      <c r="N191" s="95" t="b">
        <f aca="false">IF(IFERROR(INDEX(tsk_Name,GanttView[[#This Row],[_Row]])="",TRUE()),FALSE(),INDEX(tsk_IsSummary,GanttView[[#This Row],[_Row]]))</f>
        <v>0</v>
      </c>
      <c r="O191" s="95" t="b">
        <f aca="false">IF(IFERROR(INDEX(tsk_Name,GanttView[[#This Row],[_Row]])="",TRUE()),FALSE(),AND(INDEX(tsk_IsLeaf,GanttView[[#This Row],[_Row]])=1,N(INDEX(tsk_Duration,GanttView[[#This Row],[_Row]]))=0))</f>
        <v>0</v>
      </c>
      <c r="P191" s="96" t="n">
        <f aca="false">IF(IFERROR(INDEX(tsk_Name,GanttView[[#This Row],[_Row]])="",TRUE()),0,IF(AND(INDEX(tsk_IsLeaf,GanttView[[#This Row],[_Row]])=1,NOT(GanttView[[#This Row],[_IsMilestone]]),N(GanttView[[#This Row],[%]])&gt;0),GanttView[[#This Row],[Start]],0))</f>
        <v>0</v>
      </c>
      <c r="Q191" s="96" t="n">
        <f aca="false">IF(GanttView[[#This Row],[_DoneFrom]]=0,0,IF(GanttView[[#This Row],[%]]&gt;=1,GanttView[[#This Row],[Finish]],MAX(GanttView[[#This Row],[_DoneFrom]],GanttView[[#This Row],[Start]]+ROUND((GanttView[[#This Row],[Finish]]-GanttView[[#This Row],[Start]]+1)*GanttView[[#This Row],[%]],0)-1)))</f>
        <v>0</v>
      </c>
      <c r="R191" s="96" t="n">
        <f aca="false">IF(IFERROR(INDEX(tsk_Name,GanttView[[#This Row],[_Row]])="",TRUE()),0,IF(OR(INDEX(tsk_IsLeaf,GanttView[[#This Row],[_Row]])&lt;&gt;1,GanttView[[#This Row],[_IsMilestone]],N(GanttView[[#This Row],[%]])&gt;=1),0,IF(GanttView[[#This Row],[_DoneTo]]&gt;0,GanttView[[#This Row],[_DoneTo]]+1,GanttView[[#This Row],[Start]])))</f>
        <v>0</v>
      </c>
      <c r="S191" s="96" t="n">
        <f aca="false">IF(GanttView[[#This Row],[_RemFrom]]=0,0,GanttView[[#This Row],[Finish]])</f>
        <v>0</v>
      </c>
      <c r="T191" s="95" t="b">
        <f aca="false">IF(IFERROR(INDEX(tsk_Name,GanttView[[#This Row],[_Row]])="",TRUE()),FALSE(),N(INDEX(tsk_Variance,GanttView[[#This Row],[_Row]]))&gt;0)</f>
        <v>0</v>
      </c>
      <c r="U191" s="96" t="n">
        <f aca="false">IF(IFERROR(INDEX(tsk_Name,GanttView[[#This Row],[_Row]])="",TRUE()),0,N(INDEX(tsk_Deadline,GanttView[[#This Row],[_Row]])))</f>
        <v>0</v>
      </c>
      <c r="V191" s="95" t="b">
        <f aca="false">IF(IFERROR(INDEX(tsk_Name,GanttView[[#This Row],[_Row]])="",TRUE()),FALSE(),INDEX(tsk_Critical,GanttView[[#This Row],[_Row]])="Yes")</f>
        <v>0</v>
      </c>
    </row>
    <row r="192" customFormat="false" ht="15" hidden="false" customHeight="false" outlineLevel="0" collapsed="false">
      <c r="A192" s="89" t="str">
        <f aca="false">IF(IFERROR(INDEX(tsk_Name,GanttView[[#This Row],[_Row]])="",TRUE()),"",INDEX(tsk_ID,GanttView[[#This Row],[_Row]]))</f>
        <v/>
      </c>
      <c r="B192" s="90" t="str">
        <f aca="false">IF(IFERROR(INDEX(tsk_Name,GanttView[[#This Row],[_Row]])="",TRUE()),"",REPT("    ",INDEX(tsk_Level,GanttView[[#This Row],[_Row]])-1)&amp;INDEX(tsk_Name,GanttView[[#This Row],[_Row]]))</f>
        <v/>
      </c>
      <c r="C192" s="91" t="str">
        <f aca="false">IF(IFERROR(INDEX(tsk_Name,GanttView[[#This Row],[_Row]])="",TRUE()),"",INDEX(tsk_FcStart,GanttView[[#This Row],[_Row]]))</f>
        <v/>
      </c>
      <c r="D192" s="91" t="str">
        <f aca="false">IF(IFERROR(INDEX(tsk_Name,GanttView[[#This Row],[_Row]])="",TRUE()),"",INDEX(tsk_FcFinish,GanttView[[#This Row],[_Row]]))</f>
        <v/>
      </c>
      <c r="E192" s="92" t="str">
        <f aca="false">IF(IFERROR(INDEX(tsk_Name,GanttView[[#This Row],[_Row]])="",TRUE()),"",INDEX(tsk_Progress,GanttView[[#This Row],[_Row]]))</f>
        <v/>
      </c>
      <c r="F192" s="90" t="str">
        <f aca="false">IF(IFERROR(INDEX(tsk_Name,GanttView[[#This Row],[_Row]])="",TRUE()),"",INDEX(tsk_ResourceNames,GanttView[[#This Row],[_Row]])&amp;"")</f>
        <v/>
      </c>
      <c r="G192" s="89" t="str">
        <f aca="false">IF(IFERROR(INDEX(tsk_Name,GanttView[[#This Row],[_Row]])="",TRUE()),"",INDEX(tsk_WBS,GanttView[[#This Row],[_Row]]))</f>
        <v/>
      </c>
      <c r="H192" s="89" t="str">
        <f aca="false">IF(IFERROR(INDEX(tsk_Name,GanttView[[#This Row],[_Row]])="",TRUE()),"",IF(INDEX(tsk_IsSummary,GanttView[[#This Row],[_Row]]),NETWORKDAYS.INTL(INDEX(tsk_FcStart,GanttView[[#This Row],[_Row]]),INDEX(tsk_FcFinish,GanttView[[#This Row],[_Row]]),WorkWeek,Holidays),N(INDEX(tsk_Duration,GanttView[[#This Row],[_Row]]))))</f>
        <v/>
      </c>
      <c r="I192" s="91" t="str">
        <f aca="false">IF(IFERROR(INDEX(tsk_Name,GanttView[[#This Row],[_Row]])="",TRUE()),"",INDEX(tsk_PlanStart,GanttView[[#This Row],[_Row]]))</f>
        <v/>
      </c>
      <c r="J192" s="91" t="str">
        <f aca="false">IF(IFERROR(INDEX(tsk_Name,GanttView[[#This Row],[_Row]])="",TRUE()),"",INDEX(tsk_PlanFinish,GanttView[[#This Row],[_Row]]))</f>
        <v/>
      </c>
      <c r="K192" s="93" t="str">
        <f aca="false">IF(IFERROR(INDEX(tsk_Name,GanttView[[#This Row],[_Row]])="",TRUE()),"",INDEX(tsk_Status,GanttView[[#This Row],[_Row]]))</f>
        <v/>
      </c>
      <c r="L192" s="93" t="str">
        <f aca="false">IF(IFERROR(INDEX(tsk_Name,GanttView[[#This Row],[_Row]])="",TRUE()),"",INDEX(tsk_Show,GanttView[[#This Row],[_Row]])&amp;"")</f>
        <v/>
      </c>
      <c r="M192" s="94" t="n">
        <f aca="false">ROW()-ROW(GanttView[[#Headers],[ID]])</f>
        <v>187</v>
      </c>
      <c r="N192" s="95" t="b">
        <f aca="false">IF(IFERROR(INDEX(tsk_Name,GanttView[[#This Row],[_Row]])="",TRUE()),FALSE(),INDEX(tsk_IsSummary,GanttView[[#This Row],[_Row]]))</f>
        <v>0</v>
      </c>
      <c r="O192" s="95" t="b">
        <f aca="false">IF(IFERROR(INDEX(tsk_Name,GanttView[[#This Row],[_Row]])="",TRUE()),FALSE(),AND(INDEX(tsk_IsLeaf,GanttView[[#This Row],[_Row]])=1,N(INDEX(tsk_Duration,GanttView[[#This Row],[_Row]]))=0))</f>
        <v>0</v>
      </c>
      <c r="P192" s="96" t="n">
        <f aca="false">IF(IFERROR(INDEX(tsk_Name,GanttView[[#This Row],[_Row]])="",TRUE()),0,IF(AND(INDEX(tsk_IsLeaf,GanttView[[#This Row],[_Row]])=1,NOT(GanttView[[#This Row],[_IsMilestone]]),N(GanttView[[#This Row],[%]])&gt;0),GanttView[[#This Row],[Start]],0))</f>
        <v>0</v>
      </c>
      <c r="Q192" s="96" t="n">
        <f aca="false">IF(GanttView[[#This Row],[_DoneFrom]]=0,0,IF(GanttView[[#This Row],[%]]&gt;=1,GanttView[[#This Row],[Finish]],MAX(GanttView[[#This Row],[_DoneFrom]],GanttView[[#This Row],[Start]]+ROUND((GanttView[[#This Row],[Finish]]-GanttView[[#This Row],[Start]]+1)*GanttView[[#This Row],[%]],0)-1)))</f>
        <v>0</v>
      </c>
      <c r="R192" s="96" t="n">
        <f aca="false">IF(IFERROR(INDEX(tsk_Name,GanttView[[#This Row],[_Row]])="",TRUE()),0,IF(OR(INDEX(tsk_IsLeaf,GanttView[[#This Row],[_Row]])&lt;&gt;1,GanttView[[#This Row],[_IsMilestone]],N(GanttView[[#This Row],[%]])&gt;=1),0,IF(GanttView[[#This Row],[_DoneTo]]&gt;0,GanttView[[#This Row],[_DoneTo]]+1,GanttView[[#This Row],[Start]])))</f>
        <v>0</v>
      </c>
      <c r="S192" s="96" t="n">
        <f aca="false">IF(GanttView[[#This Row],[_RemFrom]]=0,0,GanttView[[#This Row],[Finish]])</f>
        <v>0</v>
      </c>
      <c r="T192" s="95" t="b">
        <f aca="false">IF(IFERROR(INDEX(tsk_Name,GanttView[[#This Row],[_Row]])="",TRUE()),FALSE(),N(INDEX(tsk_Variance,GanttView[[#This Row],[_Row]]))&gt;0)</f>
        <v>0</v>
      </c>
      <c r="U192" s="96" t="n">
        <f aca="false">IF(IFERROR(INDEX(tsk_Name,GanttView[[#This Row],[_Row]])="",TRUE()),0,N(INDEX(tsk_Deadline,GanttView[[#This Row],[_Row]])))</f>
        <v>0</v>
      </c>
      <c r="V192" s="95" t="b">
        <f aca="false">IF(IFERROR(INDEX(tsk_Name,GanttView[[#This Row],[_Row]])="",TRUE()),FALSE(),INDEX(tsk_Critical,GanttView[[#This Row],[_Row]])="Yes")</f>
        <v>0</v>
      </c>
    </row>
    <row r="193" customFormat="false" ht="15" hidden="false" customHeight="false" outlineLevel="0" collapsed="false">
      <c r="A193" s="89" t="str">
        <f aca="false">IF(IFERROR(INDEX(tsk_Name,GanttView[[#This Row],[_Row]])="",TRUE()),"",INDEX(tsk_ID,GanttView[[#This Row],[_Row]]))</f>
        <v/>
      </c>
      <c r="B193" s="90" t="str">
        <f aca="false">IF(IFERROR(INDEX(tsk_Name,GanttView[[#This Row],[_Row]])="",TRUE()),"",REPT("    ",INDEX(tsk_Level,GanttView[[#This Row],[_Row]])-1)&amp;INDEX(tsk_Name,GanttView[[#This Row],[_Row]]))</f>
        <v/>
      </c>
      <c r="C193" s="91" t="str">
        <f aca="false">IF(IFERROR(INDEX(tsk_Name,GanttView[[#This Row],[_Row]])="",TRUE()),"",INDEX(tsk_FcStart,GanttView[[#This Row],[_Row]]))</f>
        <v/>
      </c>
      <c r="D193" s="91" t="str">
        <f aca="false">IF(IFERROR(INDEX(tsk_Name,GanttView[[#This Row],[_Row]])="",TRUE()),"",INDEX(tsk_FcFinish,GanttView[[#This Row],[_Row]]))</f>
        <v/>
      </c>
      <c r="E193" s="92" t="str">
        <f aca="false">IF(IFERROR(INDEX(tsk_Name,GanttView[[#This Row],[_Row]])="",TRUE()),"",INDEX(tsk_Progress,GanttView[[#This Row],[_Row]]))</f>
        <v/>
      </c>
      <c r="F193" s="90" t="str">
        <f aca="false">IF(IFERROR(INDEX(tsk_Name,GanttView[[#This Row],[_Row]])="",TRUE()),"",INDEX(tsk_ResourceNames,GanttView[[#This Row],[_Row]])&amp;"")</f>
        <v/>
      </c>
      <c r="G193" s="89" t="str">
        <f aca="false">IF(IFERROR(INDEX(tsk_Name,GanttView[[#This Row],[_Row]])="",TRUE()),"",INDEX(tsk_WBS,GanttView[[#This Row],[_Row]]))</f>
        <v/>
      </c>
      <c r="H193" s="89" t="str">
        <f aca="false">IF(IFERROR(INDEX(tsk_Name,GanttView[[#This Row],[_Row]])="",TRUE()),"",IF(INDEX(tsk_IsSummary,GanttView[[#This Row],[_Row]]),NETWORKDAYS.INTL(INDEX(tsk_FcStart,GanttView[[#This Row],[_Row]]),INDEX(tsk_FcFinish,GanttView[[#This Row],[_Row]]),WorkWeek,Holidays),N(INDEX(tsk_Duration,GanttView[[#This Row],[_Row]]))))</f>
        <v/>
      </c>
      <c r="I193" s="91" t="str">
        <f aca="false">IF(IFERROR(INDEX(tsk_Name,GanttView[[#This Row],[_Row]])="",TRUE()),"",INDEX(tsk_PlanStart,GanttView[[#This Row],[_Row]]))</f>
        <v/>
      </c>
      <c r="J193" s="91" t="str">
        <f aca="false">IF(IFERROR(INDEX(tsk_Name,GanttView[[#This Row],[_Row]])="",TRUE()),"",INDEX(tsk_PlanFinish,GanttView[[#This Row],[_Row]]))</f>
        <v/>
      </c>
      <c r="K193" s="93" t="str">
        <f aca="false">IF(IFERROR(INDEX(tsk_Name,GanttView[[#This Row],[_Row]])="",TRUE()),"",INDEX(tsk_Status,GanttView[[#This Row],[_Row]]))</f>
        <v/>
      </c>
      <c r="L193" s="93" t="str">
        <f aca="false">IF(IFERROR(INDEX(tsk_Name,GanttView[[#This Row],[_Row]])="",TRUE()),"",INDEX(tsk_Show,GanttView[[#This Row],[_Row]])&amp;"")</f>
        <v/>
      </c>
      <c r="M193" s="94" t="n">
        <f aca="false">ROW()-ROW(GanttView[[#Headers],[ID]])</f>
        <v>188</v>
      </c>
      <c r="N193" s="95" t="b">
        <f aca="false">IF(IFERROR(INDEX(tsk_Name,GanttView[[#This Row],[_Row]])="",TRUE()),FALSE(),INDEX(tsk_IsSummary,GanttView[[#This Row],[_Row]]))</f>
        <v>0</v>
      </c>
      <c r="O193" s="95" t="b">
        <f aca="false">IF(IFERROR(INDEX(tsk_Name,GanttView[[#This Row],[_Row]])="",TRUE()),FALSE(),AND(INDEX(tsk_IsLeaf,GanttView[[#This Row],[_Row]])=1,N(INDEX(tsk_Duration,GanttView[[#This Row],[_Row]]))=0))</f>
        <v>0</v>
      </c>
      <c r="P193" s="96" t="n">
        <f aca="false">IF(IFERROR(INDEX(tsk_Name,GanttView[[#This Row],[_Row]])="",TRUE()),0,IF(AND(INDEX(tsk_IsLeaf,GanttView[[#This Row],[_Row]])=1,NOT(GanttView[[#This Row],[_IsMilestone]]),N(GanttView[[#This Row],[%]])&gt;0),GanttView[[#This Row],[Start]],0))</f>
        <v>0</v>
      </c>
      <c r="Q193" s="96" t="n">
        <f aca="false">IF(GanttView[[#This Row],[_DoneFrom]]=0,0,IF(GanttView[[#This Row],[%]]&gt;=1,GanttView[[#This Row],[Finish]],MAX(GanttView[[#This Row],[_DoneFrom]],GanttView[[#This Row],[Start]]+ROUND((GanttView[[#This Row],[Finish]]-GanttView[[#This Row],[Start]]+1)*GanttView[[#This Row],[%]],0)-1)))</f>
        <v>0</v>
      </c>
      <c r="R193" s="96" t="n">
        <f aca="false">IF(IFERROR(INDEX(tsk_Name,GanttView[[#This Row],[_Row]])="",TRUE()),0,IF(OR(INDEX(tsk_IsLeaf,GanttView[[#This Row],[_Row]])&lt;&gt;1,GanttView[[#This Row],[_IsMilestone]],N(GanttView[[#This Row],[%]])&gt;=1),0,IF(GanttView[[#This Row],[_DoneTo]]&gt;0,GanttView[[#This Row],[_DoneTo]]+1,GanttView[[#This Row],[Start]])))</f>
        <v>0</v>
      </c>
      <c r="S193" s="96" t="n">
        <f aca="false">IF(GanttView[[#This Row],[_RemFrom]]=0,0,GanttView[[#This Row],[Finish]])</f>
        <v>0</v>
      </c>
      <c r="T193" s="95" t="b">
        <f aca="false">IF(IFERROR(INDEX(tsk_Name,GanttView[[#This Row],[_Row]])="",TRUE()),FALSE(),N(INDEX(tsk_Variance,GanttView[[#This Row],[_Row]]))&gt;0)</f>
        <v>0</v>
      </c>
      <c r="U193" s="96" t="n">
        <f aca="false">IF(IFERROR(INDEX(tsk_Name,GanttView[[#This Row],[_Row]])="",TRUE()),0,N(INDEX(tsk_Deadline,GanttView[[#This Row],[_Row]])))</f>
        <v>0</v>
      </c>
      <c r="V193" s="95" t="b">
        <f aca="false">IF(IFERROR(INDEX(tsk_Name,GanttView[[#This Row],[_Row]])="",TRUE()),FALSE(),INDEX(tsk_Critical,GanttView[[#This Row],[_Row]])="Yes")</f>
        <v>0</v>
      </c>
    </row>
    <row r="194" customFormat="false" ht="15" hidden="false" customHeight="false" outlineLevel="0" collapsed="false">
      <c r="A194" s="89" t="str">
        <f aca="false">IF(IFERROR(INDEX(tsk_Name,GanttView[[#This Row],[_Row]])="",TRUE()),"",INDEX(tsk_ID,GanttView[[#This Row],[_Row]]))</f>
        <v/>
      </c>
      <c r="B194" s="90" t="str">
        <f aca="false">IF(IFERROR(INDEX(tsk_Name,GanttView[[#This Row],[_Row]])="",TRUE()),"",REPT("    ",INDEX(tsk_Level,GanttView[[#This Row],[_Row]])-1)&amp;INDEX(tsk_Name,GanttView[[#This Row],[_Row]]))</f>
        <v/>
      </c>
      <c r="C194" s="91" t="str">
        <f aca="false">IF(IFERROR(INDEX(tsk_Name,GanttView[[#This Row],[_Row]])="",TRUE()),"",INDEX(tsk_FcStart,GanttView[[#This Row],[_Row]]))</f>
        <v/>
      </c>
      <c r="D194" s="91" t="str">
        <f aca="false">IF(IFERROR(INDEX(tsk_Name,GanttView[[#This Row],[_Row]])="",TRUE()),"",INDEX(tsk_FcFinish,GanttView[[#This Row],[_Row]]))</f>
        <v/>
      </c>
      <c r="E194" s="92" t="str">
        <f aca="false">IF(IFERROR(INDEX(tsk_Name,GanttView[[#This Row],[_Row]])="",TRUE()),"",INDEX(tsk_Progress,GanttView[[#This Row],[_Row]]))</f>
        <v/>
      </c>
      <c r="F194" s="90" t="str">
        <f aca="false">IF(IFERROR(INDEX(tsk_Name,GanttView[[#This Row],[_Row]])="",TRUE()),"",INDEX(tsk_ResourceNames,GanttView[[#This Row],[_Row]])&amp;"")</f>
        <v/>
      </c>
      <c r="G194" s="89" t="str">
        <f aca="false">IF(IFERROR(INDEX(tsk_Name,GanttView[[#This Row],[_Row]])="",TRUE()),"",INDEX(tsk_WBS,GanttView[[#This Row],[_Row]]))</f>
        <v/>
      </c>
      <c r="H194" s="89" t="str">
        <f aca="false">IF(IFERROR(INDEX(tsk_Name,GanttView[[#This Row],[_Row]])="",TRUE()),"",IF(INDEX(tsk_IsSummary,GanttView[[#This Row],[_Row]]),NETWORKDAYS.INTL(INDEX(tsk_FcStart,GanttView[[#This Row],[_Row]]),INDEX(tsk_FcFinish,GanttView[[#This Row],[_Row]]),WorkWeek,Holidays),N(INDEX(tsk_Duration,GanttView[[#This Row],[_Row]]))))</f>
        <v/>
      </c>
      <c r="I194" s="91" t="str">
        <f aca="false">IF(IFERROR(INDEX(tsk_Name,GanttView[[#This Row],[_Row]])="",TRUE()),"",INDEX(tsk_PlanStart,GanttView[[#This Row],[_Row]]))</f>
        <v/>
      </c>
      <c r="J194" s="91" t="str">
        <f aca="false">IF(IFERROR(INDEX(tsk_Name,GanttView[[#This Row],[_Row]])="",TRUE()),"",INDEX(tsk_PlanFinish,GanttView[[#This Row],[_Row]]))</f>
        <v/>
      </c>
      <c r="K194" s="93" t="str">
        <f aca="false">IF(IFERROR(INDEX(tsk_Name,GanttView[[#This Row],[_Row]])="",TRUE()),"",INDEX(tsk_Status,GanttView[[#This Row],[_Row]]))</f>
        <v/>
      </c>
      <c r="L194" s="93" t="str">
        <f aca="false">IF(IFERROR(INDEX(tsk_Name,GanttView[[#This Row],[_Row]])="",TRUE()),"",INDEX(tsk_Show,GanttView[[#This Row],[_Row]])&amp;"")</f>
        <v/>
      </c>
      <c r="M194" s="94" t="n">
        <f aca="false">ROW()-ROW(GanttView[[#Headers],[ID]])</f>
        <v>189</v>
      </c>
      <c r="N194" s="95" t="b">
        <f aca="false">IF(IFERROR(INDEX(tsk_Name,GanttView[[#This Row],[_Row]])="",TRUE()),FALSE(),INDEX(tsk_IsSummary,GanttView[[#This Row],[_Row]]))</f>
        <v>0</v>
      </c>
      <c r="O194" s="95" t="b">
        <f aca="false">IF(IFERROR(INDEX(tsk_Name,GanttView[[#This Row],[_Row]])="",TRUE()),FALSE(),AND(INDEX(tsk_IsLeaf,GanttView[[#This Row],[_Row]])=1,N(INDEX(tsk_Duration,GanttView[[#This Row],[_Row]]))=0))</f>
        <v>0</v>
      </c>
      <c r="P194" s="96" t="n">
        <f aca="false">IF(IFERROR(INDEX(tsk_Name,GanttView[[#This Row],[_Row]])="",TRUE()),0,IF(AND(INDEX(tsk_IsLeaf,GanttView[[#This Row],[_Row]])=1,NOT(GanttView[[#This Row],[_IsMilestone]]),N(GanttView[[#This Row],[%]])&gt;0),GanttView[[#This Row],[Start]],0))</f>
        <v>0</v>
      </c>
      <c r="Q194" s="96" t="n">
        <f aca="false">IF(GanttView[[#This Row],[_DoneFrom]]=0,0,IF(GanttView[[#This Row],[%]]&gt;=1,GanttView[[#This Row],[Finish]],MAX(GanttView[[#This Row],[_DoneFrom]],GanttView[[#This Row],[Start]]+ROUND((GanttView[[#This Row],[Finish]]-GanttView[[#This Row],[Start]]+1)*GanttView[[#This Row],[%]],0)-1)))</f>
        <v>0</v>
      </c>
      <c r="R194" s="96" t="n">
        <f aca="false">IF(IFERROR(INDEX(tsk_Name,GanttView[[#This Row],[_Row]])="",TRUE()),0,IF(OR(INDEX(tsk_IsLeaf,GanttView[[#This Row],[_Row]])&lt;&gt;1,GanttView[[#This Row],[_IsMilestone]],N(GanttView[[#This Row],[%]])&gt;=1),0,IF(GanttView[[#This Row],[_DoneTo]]&gt;0,GanttView[[#This Row],[_DoneTo]]+1,GanttView[[#This Row],[Start]])))</f>
        <v>0</v>
      </c>
      <c r="S194" s="96" t="n">
        <f aca="false">IF(GanttView[[#This Row],[_RemFrom]]=0,0,GanttView[[#This Row],[Finish]])</f>
        <v>0</v>
      </c>
      <c r="T194" s="95" t="b">
        <f aca="false">IF(IFERROR(INDEX(tsk_Name,GanttView[[#This Row],[_Row]])="",TRUE()),FALSE(),N(INDEX(tsk_Variance,GanttView[[#This Row],[_Row]]))&gt;0)</f>
        <v>0</v>
      </c>
      <c r="U194" s="96" t="n">
        <f aca="false">IF(IFERROR(INDEX(tsk_Name,GanttView[[#This Row],[_Row]])="",TRUE()),0,N(INDEX(tsk_Deadline,GanttView[[#This Row],[_Row]])))</f>
        <v>0</v>
      </c>
      <c r="V194" s="95" t="b">
        <f aca="false">IF(IFERROR(INDEX(tsk_Name,GanttView[[#This Row],[_Row]])="",TRUE()),FALSE(),INDEX(tsk_Critical,GanttView[[#This Row],[_Row]])="Yes")</f>
        <v>0</v>
      </c>
    </row>
    <row r="195" customFormat="false" ht="15" hidden="false" customHeight="false" outlineLevel="0" collapsed="false">
      <c r="A195" s="89" t="str">
        <f aca="false">IF(IFERROR(INDEX(tsk_Name,GanttView[[#This Row],[_Row]])="",TRUE()),"",INDEX(tsk_ID,GanttView[[#This Row],[_Row]]))</f>
        <v/>
      </c>
      <c r="B195" s="90" t="str">
        <f aca="false">IF(IFERROR(INDEX(tsk_Name,GanttView[[#This Row],[_Row]])="",TRUE()),"",REPT("    ",INDEX(tsk_Level,GanttView[[#This Row],[_Row]])-1)&amp;INDEX(tsk_Name,GanttView[[#This Row],[_Row]]))</f>
        <v/>
      </c>
      <c r="C195" s="91" t="str">
        <f aca="false">IF(IFERROR(INDEX(tsk_Name,GanttView[[#This Row],[_Row]])="",TRUE()),"",INDEX(tsk_FcStart,GanttView[[#This Row],[_Row]]))</f>
        <v/>
      </c>
      <c r="D195" s="91" t="str">
        <f aca="false">IF(IFERROR(INDEX(tsk_Name,GanttView[[#This Row],[_Row]])="",TRUE()),"",INDEX(tsk_FcFinish,GanttView[[#This Row],[_Row]]))</f>
        <v/>
      </c>
      <c r="E195" s="92" t="str">
        <f aca="false">IF(IFERROR(INDEX(tsk_Name,GanttView[[#This Row],[_Row]])="",TRUE()),"",INDEX(tsk_Progress,GanttView[[#This Row],[_Row]]))</f>
        <v/>
      </c>
      <c r="F195" s="90" t="str">
        <f aca="false">IF(IFERROR(INDEX(tsk_Name,GanttView[[#This Row],[_Row]])="",TRUE()),"",INDEX(tsk_ResourceNames,GanttView[[#This Row],[_Row]])&amp;"")</f>
        <v/>
      </c>
      <c r="G195" s="89" t="str">
        <f aca="false">IF(IFERROR(INDEX(tsk_Name,GanttView[[#This Row],[_Row]])="",TRUE()),"",INDEX(tsk_WBS,GanttView[[#This Row],[_Row]]))</f>
        <v/>
      </c>
      <c r="H195" s="89" t="str">
        <f aca="false">IF(IFERROR(INDEX(tsk_Name,GanttView[[#This Row],[_Row]])="",TRUE()),"",IF(INDEX(tsk_IsSummary,GanttView[[#This Row],[_Row]]),NETWORKDAYS.INTL(INDEX(tsk_FcStart,GanttView[[#This Row],[_Row]]),INDEX(tsk_FcFinish,GanttView[[#This Row],[_Row]]),WorkWeek,Holidays),N(INDEX(tsk_Duration,GanttView[[#This Row],[_Row]]))))</f>
        <v/>
      </c>
      <c r="I195" s="91" t="str">
        <f aca="false">IF(IFERROR(INDEX(tsk_Name,GanttView[[#This Row],[_Row]])="",TRUE()),"",INDEX(tsk_PlanStart,GanttView[[#This Row],[_Row]]))</f>
        <v/>
      </c>
      <c r="J195" s="91" t="str">
        <f aca="false">IF(IFERROR(INDEX(tsk_Name,GanttView[[#This Row],[_Row]])="",TRUE()),"",INDEX(tsk_PlanFinish,GanttView[[#This Row],[_Row]]))</f>
        <v/>
      </c>
      <c r="K195" s="93" t="str">
        <f aca="false">IF(IFERROR(INDEX(tsk_Name,GanttView[[#This Row],[_Row]])="",TRUE()),"",INDEX(tsk_Status,GanttView[[#This Row],[_Row]]))</f>
        <v/>
      </c>
      <c r="L195" s="93" t="str">
        <f aca="false">IF(IFERROR(INDEX(tsk_Name,GanttView[[#This Row],[_Row]])="",TRUE()),"",INDEX(tsk_Show,GanttView[[#This Row],[_Row]])&amp;"")</f>
        <v/>
      </c>
      <c r="M195" s="94" t="n">
        <f aca="false">ROW()-ROW(GanttView[[#Headers],[ID]])</f>
        <v>190</v>
      </c>
      <c r="N195" s="95" t="b">
        <f aca="false">IF(IFERROR(INDEX(tsk_Name,GanttView[[#This Row],[_Row]])="",TRUE()),FALSE(),INDEX(tsk_IsSummary,GanttView[[#This Row],[_Row]]))</f>
        <v>0</v>
      </c>
      <c r="O195" s="95" t="b">
        <f aca="false">IF(IFERROR(INDEX(tsk_Name,GanttView[[#This Row],[_Row]])="",TRUE()),FALSE(),AND(INDEX(tsk_IsLeaf,GanttView[[#This Row],[_Row]])=1,N(INDEX(tsk_Duration,GanttView[[#This Row],[_Row]]))=0))</f>
        <v>0</v>
      </c>
      <c r="P195" s="96" t="n">
        <f aca="false">IF(IFERROR(INDEX(tsk_Name,GanttView[[#This Row],[_Row]])="",TRUE()),0,IF(AND(INDEX(tsk_IsLeaf,GanttView[[#This Row],[_Row]])=1,NOT(GanttView[[#This Row],[_IsMilestone]]),N(GanttView[[#This Row],[%]])&gt;0),GanttView[[#This Row],[Start]],0))</f>
        <v>0</v>
      </c>
      <c r="Q195" s="96" t="n">
        <f aca="false">IF(GanttView[[#This Row],[_DoneFrom]]=0,0,IF(GanttView[[#This Row],[%]]&gt;=1,GanttView[[#This Row],[Finish]],MAX(GanttView[[#This Row],[_DoneFrom]],GanttView[[#This Row],[Start]]+ROUND((GanttView[[#This Row],[Finish]]-GanttView[[#This Row],[Start]]+1)*GanttView[[#This Row],[%]],0)-1)))</f>
        <v>0</v>
      </c>
      <c r="R195" s="96" t="n">
        <f aca="false">IF(IFERROR(INDEX(tsk_Name,GanttView[[#This Row],[_Row]])="",TRUE()),0,IF(OR(INDEX(tsk_IsLeaf,GanttView[[#This Row],[_Row]])&lt;&gt;1,GanttView[[#This Row],[_IsMilestone]],N(GanttView[[#This Row],[%]])&gt;=1),0,IF(GanttView[[#This Row],[_DoneTo]]&gt;0,GanttView[[#This Row],[_DoneTo]]+1,GanttView[[#This Row],[Start]])))</f>
        <v>0</v>
      </c>
      <c r="S195" s="96" t="n">
        <f aca="false">IF(GanttView[[#This Row],[_RemFrom]]=0,0,GanttView[[#This Row],[Finish]])</f>
        <v>0</v>
      </c>
      <c r="T195" s="95" t="b">
        <f aca="false">IF(IFERROR(INDEX(tsk_Name,GanttView[[#This Row],[_Row]])="",TRUE()),FALSE(),N(INDEX(tsk_Variance,GanttView[[#This Row],[_Row]]))&gt;0)</f>
        <v>0</v>
      </c>
      <c r="U195" s="96" t="n">
        <f aca="false">IF(IFERROR(INDEX(tsk_Name,GanttView[[#This Row],[_Row]])="",TRUE()),0,N(INDEX(tsk_Deadline,GanttView[[#This Row],[_Row]])))</f>
        <v>0</v>
      </c>
      <c r="V195" s="95" t="b">
        <f aca="false">IF(IFERROR(INDEX(tsk_Name,GanttView[[#This Row],[_Row]])="",TRUE()),FALSE(),INDEX(tsk_Critical,GanttView[[#This Row],[_Row]])="Yes")</f>
        <v>0</v>
      </c>
    </row>
    <row r="196" customFormat="false" ht="15" hidden="false" customHeight="false" outlineLevel="0" collapsed="false">
      <c r="A196" s="89" t="str">
        <f aca="false">IF(IFERROR(INDEX(tsk_Name,GanttView[[#This Row],[_Row]])="",TRUE()),"",INDEX(tsk_ID,GanttView[[#This Row],[_Row]]))</f>
        <v/>
      </c>
      <c r="B196" s="90" t="str">
        <f aca="false">IF(IFERROR(INDEX(tsk_Name,GanttView[[#This Row],[_Row]])="",TRUE()),"",REPT("    ",INDEX(tsk_Level,GanttView[[#This Row],[_Row]])-1)&amp;INDEX(tsk_Name,GanttView[[#This Row],[_Row]]))</f>
        <v/>
      </c>
      <c r="C196" s="91" t="str">
        <f aca="false">IF(IFERROR(INDEX(tsk_Name,GanttView[[#This Row],[_Row]])="",TRUE()),"",INDEX(tsk_FcStart,GanttView[[#This Row],[_Row]]))</f>
        <v/>
      </c>
      <c r="D196" s="91" t="str">
        <f aca="false">IF(IFERROR(INDEX(tsk_Name,GanttView[[#This Row],[_Row]])="",TRUE()),"",INDEX(tsk_FcFinish,GanttView[[#This Row],[_Row]]))</f>
        <v/>
      </c>
      <c r="E196" s="92" t="str">
        <f aca="false">IF(IFERROR(INDEX(tsk_Name,GanttView[[#This Row],[_Row]])="",TRUE()),"",INDEX(tsk_Progress,GanttView[[#This Row],[_Row]]))</f>
        <v/>
      </c>
      <c r="F196" s="90" t="str">
        <f aca="false">IF(IFERROR(INDEX(tsk_Name,GanttView[[#This Row],[_Row]])="",TRUE()),"",INDEX(tsk_ResourceNames,GanttView[[#This Row],[_Row]])&amp;"")</f>
        <v/>
      </c>
      <c r="G196" s="89" t="str">
        <f aca="false">IF(IFERROR(INDEX(tsk_Name,GanttView[[#This Row],[_Row]])="",TRUE()),"",INDEX(tsk_WBS,GanttView[[#This Row],[_Row]]))</f>
        <v/>
      </c>
      <c r="H196" s="89" t="str">
        <f aca="false">IF(IFERROR(INDEX(tsk_Name,GanttView[[#This Row],[_Row]])="",TRUE()),"",IF(INDEX(tsk_IsSummary,GanttView[[#This Row],[_Row]]),NETWORKDAYS.INTL(INDEX(tsk_FcStart,GanttView[[#This Row],[_Row]]),INDEX(tsk_FcFinish,GanttView[[#This Row],[_Row]]),WorkWeek,Holidays),N(INDEX(tsk_Duration,GanttView[[#This Row],[_Row]]))))</f>
        <v/>
      </c>
      <c r="I196" s="91" t="str">
        <f aca="false">IF(IFERROR(INDEX(tsk_Name,GanttView[[#This Row],[_Row]])="",TRUE()),"",INDEX(tsk_PlanStart,GanttView[[#This Row],[_Row]]))</f>
        <v/>
      </c>
      <c r="J196" s="91" t="str">
        <f aca="false">IF(IFERROR(INDEX(tsk_Name,GanttView[[#This Row],[_Row]])="",TRUE()),"",INDEX(tsk_PlanFinish,GanttView[[#This Row],[_Row]]))</f>
        <v/>
      </c>
      <c r="K196" s="93" t="str">
        <f aca="false">IF(IFERROR(INDEX(tsk_Name,GanttView[[#This Row],[_Row]])="",TRUE()),"",INDEX(tsk_Status,GanttView[[#This Row],[_Row]]))</f>
        <v/>
      </c>
      <c r="L196" s="93" t="str">
        <f aca="false">IF(IFERROR(INDEX(tsk_Name,GanttView[[#This Row],[_Row]])="",TRUE()),"",INDEX(tsk_Show,GanttView[[#This Row],[_Row]])&amp;"")</f>
        <v/>
      </c>
      <c r="M196" s="94" t="n">
        <f aca="false">ROW()-ROW(GanttView[[#Headers],[ID]])</f>
        <v>191</v>
      </c>
      <c r="N196" s="95" t="b">
        <f aca="false">IF(IFERROR(INDEX(tsk_Name,GanttView[[#This Row],[_Row]])="",TRUE()),FALSE(),INDEX(tsk_IsSummary,GanttView[[#This Row],[_Row]]))</f>
        <v>0</v>
      </c>
      <c r="O196" s="95" t="b">
        <f aca="false">IF(IFERROR(INDEX(tsk_Name,GanttView[[#This Row],[_Row]])="",TRUE()),FALSE(),AND(INDEX(tsk_IsLeaf,GanttView[[#This Row],[_Row]])=1,N(INDEX(tsk_Duration,GanttView[[#This Row],[_Row]]))=0))</f>
        <v>0</v>
      </c>
      <c r="P196" s="96" t="n">
        <f aca="false">IF(IFERROR(INDEX(tsk_Name,GanttView[[#This Row],[_Row]])="",TRUE()),0,IF(AND(INDEX(tsk_IsLeaf,GanttView[[#This Row],[_Row]])=1,NOT(GanttView[[#This Row],[_IsMilestone]]),N(GanttView[[#This Row],[%]])&gt;0),GanttView[[#This Row],[Start]],0))</f>
        <v>0</v>
      </c>
      <c r="Q196" s="96" t="n">
        <f aca="false">IF(GanttView[[#This Row],[_DoneFrom]]=0,0,IF(GanttView[[#This Row],[%]]&gt;=1,GanttView[[#This Row],[Finish]],MAX(GanttView[[#This Row],[_DoneFrom]],GanttView[[#This Row],[Start]]+ROUND((GanttView[[#This Row],[Finish]]-GanttView[[#This Row],[Start]]+1)*GanttView[[#This Row],[%]],0)-1)))</f>
        <v>0</v>
      </c>
      <c r="R196" s="96" t="n">
        <f aca="false">IF(IFERROR(INDEX(tsk_Name,GanttView[[#This Row],[_Row]])="",TRUE()),0,IF(OR(INDEX(tsk_IsLeaf,GanttView[[#This Row],[_Row]])&lt;&gt;1,GanttView[[#This Row],[_IsMilestone]],N(GanttView[[#This Row],[%]])&gt;=1),0,IF(GanttView[[#This Row],[_DoneTo]]&gt;0,GanttView[[#This Row],[_DoneTo]]+1,GanttView[[#This Row],[Start]])))</f>
        <v>0</v>
      </c>
      <c r="S196" s="96" t="n">
        <f aca="false">IF(GanttView[[#This Row],[_RemFrom]]=0,0,GanttView[[#This Row],[Finish]])</f>
        <v>0</v>
      </c>
      <c r="T196" s="95" t="b">
        <f aca="false">IF(IFERROR(INDEX(tsk_Name,GanttView[[#This Row],[_Row]])="",TRUE()),FALSE(),N(INDEX(tsk_Variance,GanttView[[#This Row],[_Row]]))&gt;0)</f>
        <v>0</v>
      </c>
      <c r="U196" s="96" t="n">
        <f aca="false">IF(IFERROR(INDEX(tsk_Name,GanttView[[#This Row],[_Row]])="",TRUE()),0,N(INDEX(tsk_Deadline,GanttView[[#This Row],[_Row]])))</f>
        <v>0</v>
      </c>
      <c r="V196" s="95" t="b">
        <f aca="false">IF(IFERROR(INDEX(tsk_Name,GanttView[[#This Row],[_Row]])="",TRUE()),FALSE(),INDEX(tsk_Critical,GanttView[[#This Row],[_Row]])="Yes")</f>
        <v>0</v>
      </c>
    </row>
    <row r="197" customFormat="false" ht="15" hidden="false" customHeight="false" outlineLevel="0" collapsed="false">
      <c r="A197" s="89" t="str">
        <f aca="false">IF(IFERROR(INDEX(tsk_Name,GanttView[[#This Row],[_Row]])="",TRUE()),"",INDEX(tsk_ID,GanttView[[#This Row],[_Row]]))</f>
        <v/>
      </c>
      <c r="B197" s="90" t="str">
        <f aca="false">IF(IFERROR(INDEX(tsk_Name,GanttView[[#This Row],[_Row]])="",TRUE()),"",REPT("    ",INDEX(tsk_Level,GanttView[[#This Row],[_Row]])-1)&amp;INDEX(tsk_Name,GanttView[[#This Row],[_Row]]))</f>
        <v/>
      </c>
      <c r="C197" s="91" t="str">
        <f aca="false">IF(IFERROR(INDEX(tsk_Name,GanttView[[#This Row],[_Row]])="",TRUE()),"",INDEX(tsk_FcStart,GanttView[[#This Row],[_Row]]))</f>
        <v/>
      </c>
      <c r="D197" s="91" t="str">
        <f aca="false">IF(IFERROR(INDEX(tsk_Name,GanttView[[#This Row],[_Row]])="",TRUE()),"",INDEX(tsk_FcFinish,GanttView[[#This Row],[_Row]]))</f>
        <v/>
      </c>
      <c r="E197" s="92" t="str">
        <f aca="false">IF(IFERROR(INDEX(tsk_Name,GanttView[[#This Row],[_Row]])="",TRUE()),"",INDEX(tsk_Progress,GanttView[[#This Row],[_Row]]))</f>
        <v/>
      </c>
      <c r="F197" s="90" t="str">
        <f aca="false">IF(IFERROR(INDEX(tsk_Name,GanttView[[#This Row],[_Row]])="",TRUE()),"",INDEX(tsk_ResourceNames,GanttView[[#This Row],[_Row]])&amp;"")</f>
        <v/>
      </c>
      <c r="G197" s="89" t="str">
        <f aca="false">IF(IFERROR(INDEX(tsk_Name,GanttView[[#This Row],[_Row]])="",TRUE()),"",INDEX(tsk_WBS,GanttView[[#This Row],[_Row]]))</f>
        <v/>
      </c>
      <c r="H197" s="89" t="str">
        <f aca="false">IF(IFERROR(INDEX(tsk_Name,GanttView[[#This Row],[_Row]])="",TRUE()),"",IF(INDEX(tsk_IsSummary,GanttView[[#This Row],[_Row]]),NETWORKDAYS.INTL(INDEX(tsk_FcStart,GanttView[[#This Row],[_Row]]),INDEX(tsk_FcFinish,GanttView[[#This Row],[_Row]]),WorkWeek,Holidays),N(INDEX(tsk_Duration,GanttView[[#This Row],[_Row]]))))</f>
        <v/>
      </c>
      <c r="I197" s="91" t="str">
        <f aca="false">IF(IFERROR(INDEX(tsk_Name,GanttView[[#This Row],[_Row]])="",TRUE()),"",INDEX(tsk_PlanStart,GanttView[[#This Row],[_Row]]))</f>
        <v/>
      </c>
      <c r="J197" s="91" t="str">
        <f aca="false">IF(IFERROR(INDEX(tsk_Name,GanttView[[#This Row],[_Row]])="",TRUE()),"",INDEX(tsk_PlanFinish,GanttView[[#This Row],[_Row]]))</f>
        <v/>
      </c>
      <c r="K197" s="93" t="str">
        <f aca="false">IF(IFERROR(INDEX(tsk_Name,GanttView[[#This Row],[_Row]])="",TRUE()),"",INDEX(tsk_Status,GanttView[[#This Row],[_Row]]))</f>
        <v/>
      </c>
      <c r="L197" s="93" t="str">
        <f aca="false">IF(IFERROR(INDEX(tsk_Name,GanttView[[#This Row],[_Row]])="",TRUE()),"",INDEX(tsk_Show,GanttView[[#This Row],[_Row]])&amp;"")</f>
        <v/>
      </c>
      <c r="M197" s="94" t="n">
        <f aca="false">ROW()-ROW(GanttView[[#Headers],[ID]])</f>
        <v>192</v>
      </c>
      <c r="N197" s="95" t="b">
        <f aca="false">IF(IFERROR(INDEX(tsk_Name,GanttView[[#This Row],[_Row]])="",TRUE()),FALSE(),INDEX(tsk_IsSummary,GanttView[[#This Row],[_Row]]))</f>
        <v>0</v>
      </c>
      <c r="O197" s="95" t="b">
        <f aca="false">IF(IFERROR(INDEX(tsk_Name,GanttView[[#This Row],[_Row]])="",TRUE()),FALSE(),AND(INDEX(tsk_IsLeaf,GanttView[[#This Row],[_Row]])=1,N(INDEX(tsk_Duration,GanttView[[#This Row],[_Row]]))=0))</f>
        <v>0</v>
      </c>
      <c r="P197" s="96" t="n">
        <f aca="false">IF(IFERROR(INDEX(tsk_Name,GanttView[[#This Row],[_Row]])="",TRUE()),0,IF(AND(INDEX(tsk_IsLeaf,GanttView[[#This Row],[_Row]])=1,NOT(GanttView[[#This Row],[_IsMilestone]]),N(GanttView[[#This Row],[%]])&gt;0),GanttView[[#This Row],[Start]],0))</f>
        <v>0</v>
      </c>
      <c r="Q197" s="96" t="n">
        <f aca="false">IF(GanttView[[#This Row],[_DoneFrom]]=0,0,IF(GanttView[[#This Row],[%]]&gt;=1,GanttView[[#This Row],[Finish]],MAX(GanttView[[#This Row],[_DoneFrom]],GanttView[[#This Row],[Start]]+ROUND((GanttView[[#This Row],[Finish]]-GanttView[[#This Row],[Start]]+1)*GanttView[[#This Row],[%]],0)-1)))</f>
        <v>0</v>
      </c>
      <c r="R197" s="96" t="n">
        <f aca="false">IF(IFERROR(INDEX(tsk_Name,GanttView[[#This Row],[_Row]])="",TRUE()),0,IF(OR(INDEX(tsk_IsLeaf,GanttView[[#This Row],[_Row]])&lt;&gt;1,GanttView[[#This Row],[_IsMilestone]],N(GanttView[[#This Row],[%]])&gt;=1),0,IF(GanttView[[#This Row],[_DoneTo]]&gt;0,GanttView[[#This Row],[_DoneTo]]+1,GanttView[[#This Row],[Start]])))</f>
        <v>0</v>
      </c>
      <c r="S197" s="96" t="n">
        <f aca="false">IF(GanttView[[#This Row],[_RemFrom]]=0,0,GanttView[[#This Row],[Finish]])</f>
        <v>0</v>
      </c>
      <c r="T197" s="95" t="b">
        <f aca="false">IF(IFERROR(INDEX(tsk_Name,GanttView[[#This Row],[_Row]])="",TRUE()),FALSE(),N(INDEX(tsk_Variance,GanttView[[#This Row],[_Row]]))&gt;0)</f>
        <v>0</v>
      </c>
      <c r="U197" s="96" t="n">
        <f aca="false">IF(IFERROR(INDEX(tsk_Name,GanttView[[#This Row],[_Row]])="",TRUE()),0,N(INDEX(tsk_Deadline,GanttView[[#This Row],[_Row]])))</f>
        <v>0</v>
      </c>
      <c r="V197" s="95" t="b">
        <f aca="false">IF(IFERROR(INDEX(tsk_Name,GanttView[[#This Row],[_Row]])="",TRUE()),FALSE(),INDEX(tsk_Critical,GanttView[[#This Row],[_Row]])="Yes")</f>
        <v>0</v>
      </c>
    </row>
    <row r="198" customFormat="false" ht="15" hidden="false" customHeight="false" outlineLevel="0" collapsed="false">
      <c r="A198" s="89" t="str">
        <f aca="false">IF(IFERROR(INDEX(tsk_Name,GanttView[[#This Row],[_Row]])="",TRUE()),"",INDEX(tsk_ID,GanttView[[#This Row],[_Row]]))</f>
        <v/>
      </c>
      <c r="B198" s="90" t="str">
        <f aca="false">IF(IFERROR(INDEX(tsk_Name,GanttView[[#This Row],[_Row]])="",TRUE()),"",REPT("    ",INDEX(tsk_Level,GanttView[[#This Row],[_Row]])-1)&amp;INDEX(tsk_Name,GanttView[[#This Row],[_Row]]))</f>
        <v/>
      </c>
      <c r="C198" s="91" t="str">
        <f aca="false">IF(IFERROR(INDEX(tsk_Name,GanttView[[#This Row],[_Row]])="",TRUE()),"",INDEX(tsk_FcStart,GanttView[[#This Row],[_Row]]))</f>
        <v/>
      </c>
      <c r="D198" s="91" t="str">
        <f aca="false">IF(IFERROR(INDEX(tsk_Name,GanttView[[#This Row],[_Row]])="",TRUE()),"",INDEX(tsk_FcFinish,GanttView[[#This Row],[_Row]]))</f>
        <v/>
      </c>
      <c r="E198" s="92" t="str">
        <f aca="false">IF(IFERROR(INDEX(tsk_Name,GanttView[[#This Row],[_Row]])="",TRUE()),"",INDEX(tsk_Progress,GanttView[[#This Row],[_Row]]))</f>
        <v/>
      </c>
      <c r="F198" s="90" t="str">
        <f aca="false">IF(IFERROR(INDEX(tsk_Name,GanttView[[#This Row],[_Row]])="",TRUE()),"",INDEX(tsk_ResourceNames,GanttView[[#This Row],[_Row]])&amp;"")</f>
        <v/>
      </c>
      <c r="G198" s="89" t="str">
        <f aca="false">IF(IFERROR(INDEX(tsk_Name,GanttView[[#This Row],[_Row]])="",TRUE()),"",INDEX(tsk_WBS,GanttView[[#This Row],[_Row]]))</f>
        <v/>
      </c>
      <c r="H198" s="89" t="str">
        <f aca="false">IF(IFERROR(INDEX(tsk_Name,GanttView[[#This Row],[_Row]])="",TRUE()),"",IF(INDEX(tsk_IsSummary,GanttView[[#This Row],[_Row]]),NETWORKDAYS.INTL(INDEX(tsk_FcStart,GanttView[[#This Row],[_Row]]),INDEX(tsk_FcFinish,GanttView[[#This Row],[_Row]]),WorkWeek,Holidays),N(INDEX(tsk_Duration,GanttView[[#This Row],[_Row]]))))</f>
        <v/>
      </c>
      <c r="I198" s="91" t="str">
        <f aca="false">IF(IFERROR(INDEX(tsk_Name,GanttView[[#This Row],[_Row]])="",TRUE()),"",INDEX(tsk_PlanStart,GanttView[[#This Row],[_Row]]))</f>
        <v/>
      </c>
      <c r="J198" s="91" t="str">
        <f aca="false">IF(IFERROR(INDEX(tsk_Name,GanttView[[#This Row],[_Row]])="",TRUE()),"",INDEX(tsk_PlanFinish,GanttView[[#This Row],[_Row]]))</f>
        <v/>
      </c>
      <c r="K198" s="93" t="str">
        <f aca="false">IF(IFERROR(INDEX(tsk_Name,GanttView[[#This Row],[_Row]])="",TRUE()),"",INDEX(tsk_Status,GanttView[[#This Row],[_Row]]))</f>
        <v/>
      </c>
      <c r="L198" s="93" t="str">
        <f aca="false">IF(IFERROR(INDEX(tsk_Name,GanttView[[#This Row],[_Row]])="",TRUE()),"",INDEX(tsk_Show,GanttView[[#This Row],[_Row]])&amp;"")</f>
        <v/>
      </c>
      <c r="M198" s="94" t="n">
        <f aca="false">ROW()-ROW(GanttView[[#Headers],[ID]])</f>
        <v>193</v>
      </c>
      <c r="N198" s="95" t="b">
        <f aca="false">IF(IFERROR(INDEX(tsk_Name,GanttView[[#This Row],[_Row]])="",TRUE()),FALSE(),INDEX(tsk_IsSummary,GanttView[[#This Row],[_Row]]))</f>
        <v>0</v>
      </c>
      <c r="O198" s="95" t="b">
        <f aca="false">IF(IFERROR(INDEX(tsk_Name,GanttView[[#This Row],[_Row]])="",TRUE()),FALSE(),AND(INDEX(tsk_IsLeaf,GanttView[[#This Row],[_Row]])=1,N(INDEX(tsk_Duration,GanttView[[#This Row],[_Row]]))=0))</f>
        <v>0</v>
      </c>
      <c r="P198" s="96" t="n">
        <f aca="false">IF(IFERROR(INDEX(tsk_Name,GanttView[[#This Row],[_Row]])="",TRUE()),0,IF(AND(INDEX(tsk_IsLeaf,GanttView[[#This Row],[_Row]])=1,NOT(GanttView[[#This Row],[_IsMilestone]]),N(GanttView[[#This Row],[%]])&gt;0),GanttView[[#This Row],[Start]],0))</f>
        <v>0</v>
      </c>
      <c r="Q198" s="96" t="n">
        <f aca="false">IF(GanttView[[#This Row],[_DoneFrom]]=0,0,IF(GanttView[[#This Row],[%]]&gt;=1,GanttView[[#This Row],[Finish]],MAX(GanttView[[#This Row],[_DoneFrom]],GanttView[[#This Row],[Start]]+ROUND((GanttView[[#This Row],[Finish]]-GanttView[[#This Row],[Start]]+1)*GanttView[[#This Row],[%]],0)-1)))</f>
        <v>0</v>
      </c>
      <c r="R198" s="96" t="n">
        <f aca="false">IF(IFERROR(INDEX(tsk_Name,GanttView[[#This Row],[_Row]])="",TRUE()),0,IF(OR(INDEX(tsk_IsLeaf,GanttView[[#This Row],[_Row]])&lt;&gt;1,GanttView[[#This Row],[_IsMilestone]],N(GanttView[[#This Row],[%]])&gt;=1),0,IF(GanttView[[#This Row],[_DoneTo]]&gt;0,GanttView[[#This Row],[_DoneTo]]+1,GanttView[[#This Row],[Start]])))</f>
        <v>0</v>
      </c>
      <c r="S198" s="96" t="n">
        <f aca="false">IF(GanttView[[#This Row],[_RemFrom]]=0,0,GanttView[[#This Row],[Finish]])</f>
        <v>0</v>
      </c>
      <c r="T198" s="95" t="b">
        <f aca="false">IF(IFERROR(INDEX(tsk_Name,GanttView[[#This Row],[_Row]])="",TRUE()),FALSE(),N(INDEX(tsk_Variance,GanttView[[#This Row],[_Row]]))&gt;0)</f>
        <v>0</v>
      </c>
      <c r="U198" s="96" t="n">
        <f aca="false">IF(IFERROR(INDEX(tsk_Name,GanttView[[#This Row],[_Row]])="",TRUE()),0,N(INDEX(tsk_Deadline,GanttView[[#This Row],[_Row]])))</f>
        <v>0</v>
      </c>
      <c r="V198" s="95" t="b">
        <f aca="false">IF(IFERROR(INDEX(tsk_Name,GanttView[[#This Row],[_Row]])="",TRUE()),FALSE(),INDEX(tsk_Critical,GanttView[[#This Row],[_Row]])="Yes")</f>
        <v>0</v>
      </c>
    </row>
    <row r="199" customFormat="false" ht="15" hidden="false" customHeight="false" outlineLevel="0" collapsed="false">
      <c r="A199" s="89" t="str">
        <f aca="false">IF(IFERROR(INDEX(tsk_Name,GanttView[[#This Row],[_Row]])="",TRUE()),"",INDEX(tsk_ID,GanttView[[#This Row],[_Row]]))</f>
        <v/>
      </c>
      <c r="B199" s="90" t="str">
        <f aca="false">IF(IFERROR(INDEX(tsk_Name,GanttView[[#This Row],[_Row]])="",TRUE()),"",REPT("    ",INDEX(tsk_Level,GanttView[[#This Row],[_Row]])-1)&amp;INDEX(tsk_Name,GanttView[[#This Row],[_Row]]))</f>
        <v/>
      </c>
      <c r="C199" s="91" t="str">
        <f aca="false">IF(IFERROR(INDEX(tsk_Name,GanttView[[#This Row],[_Row]])="",TRUE()),"",INDEX(tsk_FcStart,GanttView[[#This Row],[_Row]]))</f>
        <v/>
      </c>
      <c r="D199" s="91" t="str">
        <f aca="false">IF(IFERROR(INDEX(tsk_Name,GanttView[[#This Row],[_Row]])="",TRUE()),"",INDEX(tsk_FcFinish,GanttView[[#This Row],[_Row]]))</f>
        <v/>
      </c>
      <c r="E199" s="92" t="str">
        <f aca="false">IF(IFERROR(INDEX(tsk_Name,GanttView[[#This Row],[_Row]])="",TRUE()),"",INDEX(tsk_Progress,GanttView[[#This Row],[_Row]]))</f>
        <v/>
      </c>
      <c r="F199" s="90" t="str">
        <f aca="false">IF(IFERROR(INDEX(tsk_Name,GanttView[[#This Row],[_Row]])="",TRUE()),"",INDEX(tsk_ResourceNames,GanttView[[#This Row],[_Row]])&amp;"")</f>
        <v/>
      </c>
      <c r="G199" s="89" t="str">
        <f aca="false">IF(IFERROR(INDEX(tsk_Name,GanttView[[#This Row],[_Row]])="",TRUE()),"",INDEX(tsk_WBS,GanttView[[#This Row],[_Row]]))</f>
        <v/>
      </c>
      <c r="H199" s="89" t="str">
        <f aca="false">IF(IFERROR(INDEX(tsk_Name,GanttView[[#This Row],[_Row]])="",TRUE()),"",IF(INDEX(tsk_IsSummary,GanttView[[#This Row],[_Row]]),NETWORKDAYS.INTL(INDEX(tsk_FcStart,GanttView[[#This Row],[_Row]]),INDEX(tsk_FcFinish,GanttView[[#This Row],[_Row]]),WorkWeek,Holidays),N(INDEX(tsk_Duration,GanttView[[#This Row],[_Row]]))))</f>
        <v/>
      </c>
      <c r="I199" s="91" t="str">
        <f aca="false">IF(IFERROR(INDEX(tsk_Name,GanttView[[#This Row],[_Row]])="",TRUE()),"",INDEX(tsk_PlanStart,GanttView[[#This Row],[_Row]]))</f>
        <v/>
      </c>
      <c r="J199" s="91" t="str">
        <f aca="false">IF(IFERROR(INDEX(tsk_Name,GanttView[[#This Row],[_Row]])="",TRUE()),"",INDEX(tsk_PlanFinish,GanttView[[#This Row],[_Row]]))</f>
        <v/>
      </c>
      <c r="K199" s="93" t="str">
        <f aca="false">IF(IFERROR(INDEX(tsk_Name,GanttView[[#This Row],[_Row]])="",TRUE()),"",INDEX(tsk_Status,GanttView[[#This Row],[_Row]]))</f>
        <v/>
      </c>
      <c r="L199" s="93" t="str">
        <f aca="false">IF(IFERROR(INDEX(tsk_Name,GanttView[[#This Row],[_Row]])="",TRUE()),"",INDEX(tsk_Show,GanttView[[#This Row],[_Row]])&amp;"")</f>
        <v/>
      </c>
      <c r="M199" s="94" t="n">
        <f aca="false">ROW()-ROW(GanttView[[#Headers],[ID]])</f>
        <v>194</v>
      </c>
      <c r="N199" s="95" t="b">
        <f aca="false">IF(IFERROR(INDEX(tsk_Name,GanttView[[#This Row],[_Row]])="",TRUE()),FALSE(),INDEX(tsk_IsSummary,GanttView[[#This Row],[_Row]]))</f>
        <v>0</v>
      </c>
      <c r="O199" s="95" t="b">
        <f aca="false">IF(IFERROR(INDEX(tsk_Name,GanttView[[#This Row],[_Row]])="",TRUE()),FALSE(),AND(INDEX(tsk_IsLeaf,GanttView[[#This Row],[_Row]])=1,N(INDEX(tsk_Duration,GanttView[[#This Row],[_Row]]))=0))</f>
        <v>0</v>
      </c>
      <c r="P199" s="96" t="n">
        <f aca="false">IF(IFERROR(INDEX(tsk_Name,GanttView[[#This Row],[_Row]])="",TRUE()),0,IF(AND(INDEX(tsk_IsLeaf,GanttView[[#This Row],[_Row]])=1,NOT(GanttView[[#This Row],[_IsMilestone]]),N(GanttView[[#This Row],[%]])&gt;0),GanttView[[#This Row],[Start]],0))</f>
        <v>0</v>
      </c>
      <c r="Q199" s="96" t="n">
        <f aca="false">IF(GanttView[[#This Row],[_DoneFrom]]=0,0,IF(GanttView[[#This Row],[%]]&gt;=1,GanttView[[#This Row],[Finish]],MAX(GanttView[[#This Row],[_DoneFrom]],GanttView[[#This Row],[Start]]+ROUND((GanttView[[#This Row],[Finish]]-GanttView[[#This Row],[Start]]+1)*GanttView[[#This Row],[%]],0)-1)))</f>
        <v>0</v>
      </c>
      <c r="R199" s="96" t="n">
        <f aca="false">IF(IFERROR(INDEX(tsk_Name,GanttView[[#This Row],[_Row]])="",TRUE()),0,IF(OR(INDEX(tsk_IsLeaf,GanttView[[#This Row],[_Row]])&lt;&gt;1,GanttView[[#This Row],[_IsMilestone]],N(GanttView[[#This Row],[%]])&gt;=1),0,IF(GanttView[[#This Row],[_DoneTo]]&gt;0,GanttView[[#This Row],[_DoneTo]]+1,GanttView[[#This Row],[Start]])))</f>
        <v>0</v>
      </c>
      <c r="S199" s="96" t="n">
        <f aca="false">IF(GanttView[[#This Row],[_RemFrom]]=0,0,GanttView[[#This Row],[Finish]])</f>
        <v>0</v>
      </c>
      <c r="T199" s="95" t="b">
        <f aca="false">IF(IFERROR(INDEX(tsk_Name,GanttView[[#This Row],[_Row]])="",TRUE()),FALSE(),N(INDEX(tsk_Variance,GanttView[[#This Row],[_Row]]))&gt;0)</f>
        <v>0</v>
      </c>
      <c r="U199" s="96" t="n">
        <f aca="false">IF(IFERROR(INDEX(tsk_Name,GanttView[[#This Row],[_Row]])="",TRUE()),0,N(INDEX(tsk_Deadline,GanttView[[#This Row],[_Row]])))</f>
        <v>0</v>
      </c>
      <c r="V199" s="95" t="b">
        <f aca="false">IF(IFERROR(INDEX(tsk_Name,GanttView[[#This Row],[_Row]])="",TRUE()),FALSE(),INDEX(tsk_Critical,GanttView[[#This Row],[_Row]])="Yes")</f>
        <v>0</v>
      </c>
    </row>
    <row r="200" customFormat="false" ht="15" hidden="false" customHeight="false" outlineLevel="0" collapsed="false">
      <c r="A200" s="89" t="str">
        <f aca="false">IF(IFERROR(INDEX(tsk_Name,GanttView[[#This Row],[_Row]])="",TRUE()),"",INDEX(tsk_ID,GanttView[[#This Row],[_Row]]))</f>
        <v/>
      </c>
      <c r="B200" s="90" t="str">
        <f aca="false">IF(IFERROR(INDEX(tsk_Name,GanttView[[#This Row],[_Row]])="",TRUE()),"",REPT("    ",INDEX(tsk_Level,GanttView[[#This Row],[_Row]])-1)&amp;INDEX(tsk_Name,GanttView[[#This Row],[_Row]]))</f>
        <v/>
      </c>
      <c r="C200" s="91" t="str">
        <f aca="false">IF(IFERROR(INDEX(tsk_Name,GanttView[[#This Row],[_Row]])="",TRUE()),"",INDEX(tsk_FcStart,GanttView[[#This Row],[_Row]]))</f>
        <v/>
      </c>
      <c r="D200" s="91" t="str">
        <f aca="false">IF(IFERROR(INDEX(tsk_Name,GanttView[[#This Row],[_Row]])="",TRUE()),"",INDEX(tsk_FcFinish,GanttView[[#This Row],[_Row]]))</f>
        <v/>
      </c>
      <c r="E200" s="92" t="str">
        <f aca="false">IF(IFERROR(INDEX(tsk_Name,GanttView[[#This Row],[_Row]])="",TRUE()),"",INDEX(tsk_Progress,GanttView[[#This Row],[_Row]]))</f>
        <v/>
      </c>
      <c r="F200" s="90" t="str">
        <f aca="false">IF(IFERROR(INDEX(tsk_Name,GanttView[[#This Row],[_Row]])="",TRUE()),"",INDEX(tsk_ResourceNames,GanttView[[#This Row],[_Row]])&amp;"")</f>
        <v/>
      </c>
      <c r="G200" s="89" t="str">
        <f aca="false">IF(IFERROR(INDEX(tsk_Name,GanttView[[#This Row],[_Row]])="",TRUE()),"",INDEX(tsk_WBS,GanttView[[#This Row],[_Row]]))</f>
        <v/>
      </c>
      <c r="H200" s="89" t="str">
        <f aca="false">IF(IFERROR(INDEX(tsk_Name,GanttView[[#This Row],[_Row]])="",TRUE()),"",IF(INDEX(tsk_IsSummary,GanttView[[#This Row],[_Row]]),NETWORKDAYS.INTL(INDEX(tsk_FcStart,GanttView[[#This Row],[_Row]]),INDEX(tsk_FcFinish,GanttView[[#This Row],[_Row]]),WorkWeek,Holidays),N(INDEX(tsk_Duration,GanttView[[#This Row],[_Row]]))))</f>
        <v/>
      </c>
      <c r="I200" s="91" t="str">
        <f aca="false">IF(IFERROR(INDEX(tsk_Name,GanttView[[#This Row],[_Row]])="",TRUE()),"",INDEX(tsk_PlanStart,GanttView[[#This Row],[_Row]]))</f>
        <v/>
      </c>
      <c r="J200" s="91" t="str">
        <f aca="false">IF(IFERROR(INDEX(tsk_Name,GanttView[[#This Row],[_Row]])="",TRUE()),"",INDEX(tsk_PlanFinish,GanttView[[#This Row],[_Row]]))</f>
        <v/>
      </c>
      <c r="K200" s="93" t="str">
        <f aca="false">IF(IFERROR(INDEX(tsk_Name,GanttView[[#This Row],[_Row]])="",TRUE()),"",INDEX(tsk_Status,GanttView[[#This Row],[_Row]]))</f>
        <v/>
      </c>
      <c r="L200" s="93" t="str">
        <f aca="false">IF(IFERROR(INDEX(tsk_Name,GanttView[[#This Row],[_Row]])="",TRUE()),"",INDEX(tsk_Show,GanttView[[#This Row],[_Row]])&amp;"")</f>
        <v/>
      </c>
      <c r="M200" s="94" t="n">
        <f aca="false">ROW()-ROW(GanttView[[#Headers],[ID]])</f>
        <v>195</v>
      </c>
      <c r="N200" s="95" t="b">
        <f aca="false">IF(IFERROR(INDEX(tsk_Name,GanttView[[#This Row],[_Row]])="",TRUE()),FALSE(),INDEX(tsk_IsSummary,GanttView[[#This Row],[_Row]]))</f>
        <v>0</v>
      </c>
      <c r="O200" s="95" t="b">
        <f aca="false">IF(IFERROR(INDEX(tsk_Name,GanttView[[#This Row],[_Row]])="",TRUE()),FALSE(),AND(INDEX(tsk_IsLeaf,GanttView[[#This Row],[_Row]])=1,N(INDEX(tsk_Duration,GanttView[[#This Row],[_Row]]))=0))</f>
        <v>0</v>
      </c>
      <c r="P200" s="96" t="n">
        <f aca="false">IF(IFERROR(INDEX(tsk_Name,GanttView[[#This Row],[_Row]])="",TRUE()),0,IF(AND(INDEX(tsk_IsLeaf,GanttView[[#This Row],[_Row]])=1,NOT(GanttView[[#This Row],[_IsMilestone]]),N(GanttView[[#This Row],[%]])&gt;0),GanttView[[#This Row],[Start]],0))</f>
        <v>0</v>
      </c>
      <c r="Q200" s="96" t="n">
        <f aca="false">IF(GanttView[[#This Row],[_DoneFrom]]=0,0,IF(GanttView[[#This Row],[%]]&gt;=1,GanttView[[#This Row],[Finish]],MAX(GanttView[[#This Row],[_DoneFrom]],GanttView[[#This Row],[Start]]+ROUND((GanttView[[#This Row],[Finish]]-GanttView[[#This Row],[Start]]+1)*GanttView[[#This Row],[%]],0)-1)))</f>
        <v>0</v>
      </c>
      <c r="R200" s="96" t="n">
        <f aca="false">IF(IFERROR(INDEX(tsk_Name,GanttView[[#This Row],[_Row]])="",TRUE()),0,IF(OR(INDEX(tsk_IsLeaf,GanttView[[#This Row],[_Row]])&lt;&gt;1,GanttView[[#This Row],[_IsMilestone]],N(GanttView[[#This Row],[%]])&gt;=1),0,IF(GanttView[[#This Row],[_DoneTo]]&gt;0,GanttView[[#This Row],[_DoneTo]]+1,GanttView[[#This Row],[Start]])))</f>
        <v>0</v>
      </c>
      <c r="S200" s="96" t="n">
        <f aca="false">IF(GanttView[[#This Row],[_RemFrom]]=0,0,GanttView[[#This Row],[Finish]])</f>
        <v>0</v>
      </c>
      <c r="T200" s="95" t="b">
        <f aca="false">IF(IFERROR(INDEX(tsk_Name,GanttView[[#This Row],[_Row]])="",TRUE()),FALSE(),N(INDEX(tsk_Variance,GanttView[[#This Row],[_Row]]))&gt;0)</f>
        <v>0</v>
      </c>
      <c r="U200" s="96" t="n">
        <f aca="false">IF(IFERROR(INDEX(tsk_Name,GanttView[[#This Row],[_Row]])="",TRUE()),0,N(INDEX(tsk_Deadline,GanttView[[#This Row],[_Row]])))</f>
        <v>0</v>
      </c>
      <c r="V200" s="95" t="b">
        <f aca="false">IF(IFERROR(INDEX(tsk_Name,GanttView[[#This Row],[_Row]])="",TRUE()),FALSE(),INDEX(tsk_Critical,GanttView[[#This Row],[_Row]])="Yes")</f>
        <v>0</v>
      </c>
    </row>
    <row r="201" customFormat="false" ht="15" hidden="false" customHeight="false" outlineLevel="0" collapsed="false">
      <c r="A201" s="89" t="str">
        <f aca="false">IF(IFERROR(INDEX(tsk_Name,GanttView[[#This Row],[_Row]])="",TRUE()),"",INDEX(tsk_ID,GanttView[[#This Row],[_Row]]))</f>
        <v/>
      </c>
      <c r="B201" s="90" t="str">
        <f aca="false">IF(IFERROR(INDEX(tsk_Name,GanttView[[#This Row],[_Row]])="",TRUE()),"",REPT("    ",INDEX(tsk_Level,GanttView[[#This Row],[_Row]])-1)&amp;INDEX(tsk_Name,GanttView[[#This Row],[_Row]]))</f>
        <v/>
      </c>
      <c r="C201" s="91" t="str">
        <f aca="false">IF(IFERROR(INDEX(tsk_Name,GanttView[[#This Row],[_Row]])="",TRUE()),"",INDEX(tsk_FcStart,GanttView[[#This Row],[_Row]]))</f>
        <v/>
      </c>
      <c r="D201" s="91" t="str">
        <f aca="false">IF(IFERROR(INDEX(tsk_Name,GanttView[[#This Row],[_Row]])="",TRUE()),"",INDEX(tsk_FcFinish,GanttView[[#This Row],[_Row]]))</f>
        <v/>
      </c>
      <c r="E201" s="92" t="str">
        <f aca="false">IF(IFERROR(INDEX(tsk_Name,GanttView[[#This Row],[_Row]])="",TRUE()),"",INDEX(tsk_Progress,GanttView[[#This Row],[_Row]]))</f>
        <v/>
      </c>
      <c r="F201" s="90" t="str">
        <f aca="false">IF(IFERROR(INDEX(tsk_Name,GanttView[[#This Row],[_Row]])="",TRUE()),"",INDEX(tsk_ResourceNames,GanttView[[#This Row],[_Row]])&amp;"")</f>
        <v/>
      </c>
      <c r="G201" s="89" t="str">
        <f aca="false">IF(IFERROR(INDEX(tsk_Name,GanttView[[#This Row],[_Row]])="",TRUE()),"",INDEX(tsk_WBS,GanttView[[#This Row],[_Row]]))</f>
        <v/>
      </c>
      <c r="H201" s="89" t="str">
        <f aca="false">IF(IFERROR(INDEX(tsk_Name,GanttView[[#This Row],[_Row]])="",TRUE()),"",IF(INDEX(tsk_IsSummary,GanttView[[#This Row],[_Row]]),NETWORKDAYS.INTL(INDEX(tsk_FcStart,GanttView[[#This Row],[_Row]]),INDEX(tsk_FcFinish,GanttView[[#This Row],[_Row]]),WorkWeek,Holidays),N(INDEX(tsk_Duration,GanttView[[#This Row],[_Row]]))))</f>
        <v/>
      </c>
      <c r="I201" s="91" t="str">
        <f aca="false">IF(IFERROR(INDEX(tsk_Name,GanttView[[#This Row],[_Row]])="",TRUE()),"",INDEX(tsk_PlanStart,GanttView[[#This Row],[_Row]]))</f>
        <v/>
      </c>
      <c r="J201" s="91" t="str">
        <f aca="false">IF(IFERROR(INDEX(tsk_Name,GanttView[[#This Row],[_Row]])="",TRUE()),"",INDEX(tsk_PlanFinish,GanttView[[#This Row],[_Row]]))</f>
        <v/>
      </c>
      <c r="K201" s="93" t="str">
        <f aca="false">IF(IFERROR(INDEX(tsk_Name,GanttView[[#This Row],[_Row]])="",TRUE()),"",INDEX(tsk_Status,GanttView[[#This Row],[_Row]]))</f>
        <v/>
      </c>
      <c r="L201" s="93" t="str">
        <f aca="false">IF(IFERROR(INDEX(tsk_Name,GanttView[[#This Row],[_Row]])="",TRUE()),"",INDEX(tsk_Show,GanttView[[#This Row],[_Row]])&amp;"")</f>
        <v/>
      </c>
      <c r="M201" s="94" t="n">
        <f aca="false">ROW()-ROW(GanttView[[#Headers],[ID]])</f>
        <v>196</v>
      </c>
      <c r="N201" s="95" t="b">
        <f aca="false">IF(IFERROR(INDEX(tsk_Name,GanttView[[#This Row],[_Row]])="",TRUE()),FALSE(),INDEX(tsk_IsSummary,GanttView[[#This Row],[_Row]]))</f>
        <v>0</v>
      </c>
      <c r="O201" s="95" t="b">
        <f aca="false">IF(IFERROR(INDEX(tsk_Name,GanttView[[#This Row],[_Row]])="",TRUE()),FALSE(),AND(INDEX(tsk_IsLeaf,GanttView[[#This Row],[_Row]])=1,N(INDEX(tsk_Duration,GanttView[[#This Row],[_Row]]))=0))</f>
        <v>0</v>
      </c>
      <c r="P201" s="96" t="n">
        <f aca="false">IF(IFERROR(INDEX(tsk_Name,GanttView[[#This Row],[_Row]])="",TRUE()),0,IF(AND(INDEX(tsk_IsLeaf,GanttView[[#This Row],[_Row]])=1,NOT(GanttView[[#This Row],[_IsMilestone]]),N(GanttView[[#This Row],[%]])&gt;0),GanttView[[#This Row],[Start]],0))</f>
        <v>0</v>
      </c>
      <c r="Q201" s="96" t="n">
        <f aca="false">IF(GanttView[[#This Row],[_DoneFrom]]=0,0,IF(GanttView[[#This Row],[%]]&gt;=1,GanttView[[#This Row],[Finish]],MAX(GanttView[[#This Row],[_DoneFrom]],GanttView[[#This Row],[Start]]+ROUND((GanttView[[#This Row],[Finish]]-GanttView[[#This Row],[Start]]+1)*GanttView[[#This Row],[%]],0)-1)))</f>
        <v>0</v>
      </c>
      <c r="R201" s="96" t="n">
        <f aca="false">IF(IFERROR(INDEX(tsk_Name,GanttView[[#This Row],[_Row]])="",TRUE()),0,IF(OR(INDEX(tsk_IsLeaf,GanttView[[#This Row],[_Row]])&lt;&gt;1,GanttView[[#This Row],[_IsMilestone]],N(GanttView[[#This Row],[%]])&gt;=1),0,IF(GanttView[[#This Row],[_DoneTo]]&gt;0,GanttView[[#This Row],[_DoneTo]]+1,GanttView[[#This Row],[Start]])))</f>
        <v>0</v>
      </c>
      <c r="S201" s="96" t="n">
        <f aca="false">IF(GanttView[[#This Row],[_RemFrom]]=0,0,GanttView[[#This Row],[Finish]])</f>
        <v>0</v>
      </c>
      <c r="T201" s="95" t="b">
        <f aca="false">IF(IFERROR(INDEX(tsk_Name,GanttView[[#This Row],[_Row]])="",TRUE()),FALSE(),N(INDEX(tsk_Variance,GanttView[[#This Row],[_Row]]))&gt;0)</f>
        <v>0</v>
      </c>
      <c r="U201" s="96" t="n">
        <f aca="false">IF(IFERROR(INDEX(tsk_Name,GanttView[[#This Row],[_Row]])="",TRUE()),0,N(INDEX(tsk_Deadline,GanttView[[#This Row],[_Row]])))</f>
        <v>0</v>
      </c>
      <c r="V201" s="95" t="b">
        <f aca="false">IF(IFERROR(INDEX(tsk_Name,GanttView[[#This Row],[_Row]])="",TRUE()),FALSE(),INDEX(tsk_Critical,GanttView[[#This Row],[_Row]])="Yes")</f>
        <v>0</v>
      </c>
    </row>
    <row r="202" customFormat="false" ht="15" hidden="false" customHeight="false" outlineLevel="0" collapsed="false">
      <c r="A202" s="89" t="str">
        <f aca="false">IF(IFERROR(INDEX(tsk_Name,GanttView[[#This Row],[_Row]])="",TRUE()),"",INDEX(tsk_ID,GanttView[[#This Row],[_Row]]))</f>
        <v/>
      </c>
      <c r="B202" s="90" t="str">
        <f aca="false">IF(IFERROR(INDEX(tsk_Name,GanttView[[#This Row],[_Row]])="",TRUE()),"",REPT("    ",INDEX(tsk_Level,GanttView[[#This Row],[_Row]])-1)&amp;INDEX(tsk_Name,GanttView[[#This Row],[_Row]]))</f>
        <v/>
      </c>
      <c r="C202" s="91" t="str">
        <f aca="false">IF(IFERROR(INDEX(tsk_Name,GanttView[[#This Row],[_Row]])="",TRUE()),"",INDEX(tsk_FcStart,GanttView[[#This Row],[_Row]]))</f>
        <v/>
      </c>
      <c r="D202" s="91" t="str">
        <f aca="false">IF(IFERROR(INDEX(tsk_Name,GanttView[[#This Row],[_Row]])="",TRUE()),"",INDEX(tsk_FcFinish,GanttView[[#This Row],[_Row]]))</f>
        <v/>
      </c>
      <c r="E202" s="92" t="str">
        <f aca="false">IF(IFERROR(INDEX(tsk_Name,GanttView[[#This Row],[_Row]])="",TRUE()),"",INDEX(tsk_Progress,GanttView[[#This Row],[_Row]]))</f>
        <v/>
      </c>
      <c r="F202" s="90" t="str">
        <f aca="false">IF(IFERROR(INDEX(tsk_Name,GanttView[[#This Row],[_Row]])="",TRUE()),"",INDEX(tsk_ResourceNames,GanttView[[#This Row],[_Row]])&amp;"")</f>
        <v/>
      </c>
      <c r="G202" s="89" t="str">
        <f aca="false">IF(IFERROR(INDEX(tsk_Name,GanttView[[#This Row],[_Row]])="",TRUE()),"",INDEX(tsk_WBS,GanttView[[#This Row],[_Row]]))</f>
        <v/>
      </c>
      <c r="H202" s="89" t="str">
        <f aca="false">IF(IFERROR(INDEX(tsk_Name,GanttView[[#This Row],[_Row]])="",TRUE()),"",IF(INDEX(tsk_IsSummary,GanttView[[#This Row],[_Row]]),NETWORKDAYS.INTL(INDEX(tsk_FcStart,GanttView[[#This Row],[_Row]]),INDEX(tsk_FcFinish,GanttView[[#This Row],[_Row]]),WorkWeek,Holidays),N(INDEX(tsk_Duration,GanttView[[#This Row],[_Row]]))))</f>
        <v/>
      </c>
      <c r="I202" s="91" t="str">
        <f aca="false">IF(IFERROR(INDEX(tsk_Name,GanttView[[#This Row],[_Row]])="",TRUE()),"",INDEX(tsk_PlanStart,GanttView[[#This Row],[_Row]]))</f>
        <v/>
      </c>
      <c r="J202" s="91" t="str">
        <f aca="false">IF(IFERROR(INDEX(tsk_Name,GanttView[[#This Row],[_Row]])="",TRUE()),"",INDEX(tsk_PlanFinish,GanttView[[#This Row],[_Row]]))</f>
        <v/>
      </c>
      <c r="K202" s="93" t="str">
        <f aca="false">IF(IFERROR(INDEX(tsk_Name,GanttView[[#This Row],[_Row]])="",TRUE()),"",INDEX(tsk_Status,GanttView[[#This Row],[_Row]]))</f>
        <v/>
      </c>
      <c r="L202" s="93" t="str">
        <f aca="false">IF(IFERROR(INDEX(tsk_Name,GanttView[[#This Row],[_Row]])="",TRUE()),"",INDEX(tsk_Show,GanttView[[#This Row],[_Row]])&amp;"")</f>
        <v/>
      </c>
      <c r="M202" s="94" t="n">
        <f aca="false">ROW()-ROW(GanttView[[#Headers],[ID]])</f>
        <v>197</v>
      </c>
      <c r="N202" s="95" t="b">
        <f aca="false">IF(IFERROR(INDEX(tsk_Name,GanttView[[#This Row],[_Row]])="",TRUE()),FALSE(),INDEX(tsk_IsSummary,GanttView[[#This Row],[_Row]]))</f>
        <v>0</v>
      </c>
      <c r="O202" s="95" t="b">
        <f aca="false">IF(IFERROR(INDEX(tsk_Name,GanttView[[#This Row],[_Row]])="",TRUE()),FALSE(),AND(INDEX(tsk_IsLeaf,GanttView[[#This Row],[_Row]])=1,N(INDEX(tsk_Duration,GanttView[[#This Row],[_Row]]))=0))</f>
        <v>0</v>
      </c>
      <c r="P202" s="96" t="n">
        <f aca="false">IF(IFERROR(INDEX(tsk_Name,GanttView[[#This Row],[_Row]])="",TRUE()),0,IF(AND(INDEX(tsk_IsLeaf,GanttView[[#This Row],[_Row]])=1,NOT(GanttView[[#This Row],[_IsMilestone]]),N(GanttView[[#This Row],[%]])&gt;0),GanttView[[#This Row],[Start]],0))</f>
        <v>0</v>
      </c>
      <c r="Q202" s="96" t="n">
        <f aca="false">IF(GanttView[[#This Row],[_DoneFrom]]=0,0,IF(GanttView[[#This Row],[%]]&gt;=1,GanttView[[#This Row],[Finish]],MAX(GanttView[[#This Row],[_DoneFrom]],GanttView[[#This Row],[Start]]+ROUND((GanttView[[#This Row],[Finish]]-GanttView[[#This Row],[Start]]+1)*GanttView[[#This Row],[%]],0)-1)))</f>
        <v>0</v>
      </c>
      <c r="R202" s="96" t="n">
        <f aca="false">IF(IFERROR(INDEX(tsk_Name,GanttView[[#This Row],[_Row]])="",TRUE()),0,IF(OR(INDEX(tsk_IsLeaf,GanttView[[#This Row],[_Row]])&lt;&gt;1,GanttView[[#This Row],[_IsMilestone]],N(GanttView[[#This Row],[%]])&gt;=1),0,IF(GanttView[[#This Row],[_DoneTo]]&gt;0,GanttView[[#This Row],[_DoneTo]]+1,GanttView[[#This Row],[Start]])))</f>
        <v>0</v>
      </c>
      <c r="S202" s="96" t="n">
        <f aca="false">IF(GanttView[[#This Row],[_RemFrom]]=0,0,GanttView[[#This Row],[Finish]])</f>
        <v>0</v>
      </c>
      <c r="T202" s="95" t="b">
        <f aca="false">IF(IFERROR(INDEX(tsk_Name,GanttView[[#This Row],[_Row]])="",TRUE()),FALSE(),N(INDEX(tsk_Variance,GanttView[[#This Row],[_Row]]))&gt;0)</f>
        <v>0</v>
      </c>
      <c r="U202" s="96" t="n">
        <f aca="false">IF(IFERROR(INDEX(tsk_Name,GanttView[[#This Row],[_Row]])="",TRUE()),0,N(INDEX(tsk_Deadline,GanttView[[#This Row],[_Row]])))</f>
        <v>0</v>
      </c>
      <c r="V202" s="95" t="b">
        <f aca="false">IF(IFERROR(INDEX(tsk_Name,GanttView[[#This Row],[_Row]])="",TRUE()),FALSE(),INDEX(tsk_Critical,GanttView[[#This Row],[_Row]])="Yes")</f>
        <v>0</v>
      </c>
    </row>
    <row r="203" customFormat="false" ht="15" hidden="false" customHeight="false" outlineLevel="0" collapsed="false">
      <c r="A203" s="89" t="str">
        <f aca="false">IF(IFERROR(INDEX(tsk_Name,GanttView[[#This Row],[_Row]])="",TRUE()),"",INDEX(tsk_ID,GanttView[[#This Row],[_Row]]))</f>
        <v/>
      </c>
      <c r="B203" s="90" t="str">
        <f aca="false">IF(IFERROR(INDEX(tsk_Name,GanttView[[#This Row],[_Row]])="",TRUE()),"",REPT("    ",INDEX(tsk_Level,GanttView[[#This Row],[_Row]])-1)&amp;INDEX(tsk_Name,GanttView[[#This Row],[_Row]]))</f>
        <v/>
      </c>
      <c r="C203" s="91" t="str">
        <f aca="false">IF(IFERROR(INDEX(tsk_Name,GanttView[[#This Row],[_Row]])="",TRUE()),"",INDEX(tsk_FcStart,GanttView[[#This Row],[_Row]]))</f>
        <v/>
      </c>
      <c r="D203" s="91" t="str">
        <f aca="false">IF(IFERROR(INDEX(tsk_Name,GanttView[[#This Row],[_Row]])="",TRUE()),"",INDEX(tsk_FcFinish,GanttView[[#This Row],[_Row]]))</f>
        <v/>
      </c>
      <c r="E203" s="92" t="str">
        <f aca="false">IF(IFERROR(INDEX(tsk_Name,GanttView[[#This Row],[_Row]])="",TRUE()),"",INDEX(tsk_Progress,GanttView[[#This Row],[_Row]]))</f>
        <v/>
      </c>
      <c r="F203" s="90" t="str">
        <f aca="false">IF(IFERROR(INDEX(tsk_Name,GanttView[[#This Row],[_Row]])="",TRUE()),"",INDEX(tsk_ResourceNames,GanttView[[#This Row],[_Row]])&amp;"")</f>
        <v/>
      </c>
      <c r="G203" s="89" t="str">
        <f aca="false">IF(IFERROR(INDEX(tsk_Name,GanttView[[#This Row],[_Row]])="",TRUE()),"",INDEX(tsk_WBS,GanttView[[#This Row],[_Row]]))</f>
        <v/>
      </c>
      <c r="H203" s="89" t="str">
        <f aca="false">IF(IFERROR(INDEX(tsk_Name,GanttView[[#This Row],[_Row]])="",TRUE()),"",IF(INDEX(tsk_IsSummary,GanttView[[#This Row],[_Row]]),NETWORKDAYS.INTL(INDEX(tsk_FcStart,GanttView[[#This Row],[_Row]]),INDEX(tsk_FcFinish,GanttView[[#This Row],[_Row]]),WorkWeek,Holidays),N(INDEX(tsk_Duration,GanttView[[#This Row],[_Row]]))))</f>
        <v/>
      </c>
      <c r="I203" s="91" t="str">
        <f aca="false">IF(IFERROR(INDEX(tsk_Name,GanttView[[#This Row],[_Row]])="",TRUE()),"",INDEX(tsk_PlanStart,GanttView[[#This Row],[_Row]]))</f>
        <v/>
      </c>
      <c r="J203" s="91" t="str">
        <f aca="false">IF(IFERROR(INDEX(tsk_Name,GanttView[[#This Row],[_Row]])="",TRUE()),"",INDEX(tsk_PlanFinish,GanttView[[#This Row],[_Row]]))</f>
        <v/>
      </c>
      <c r="K203" s="93" t="str">
        <f aca="false">IF(IFERROR(INDEX(tsk_Name,GanttView[[#This Row],[_Row]])="",TRUE()),"",INDEX(tsk_Status,GanttView[[#This Row],[_Row]]))</f>
        <v/>
      </c>
      <c r="L203" s="93" t="str">
        <f aca="false">IF(IFERROR(INDEX(tsk_Name,GanttView[[#This Row],[_Row]])="",TRUE()),"",INDEX(tsk_Show,GanttView[[#This Row],[_Row]])&amp;"")</f>
        <v/>
      </c>
      <c r="M203" s="94" t="n">
        <f aca="false">ROW()-ROW(GanttView[[#Headers],[ID]])</f>
        <v>198</v>
      </c>
      <c r="N203" s="95" t="b">
        <f aca="false">IF(IFERROR(INDEX(tsk_Name,GanttView[[#This Row],[_Row]])="",TRUE()),FALSE(),INDEX(tsk_IsSummary,GanttView[[#This Row],[_Row]]))</f>
        <v>0</v>
      </c>
      <c r="O203" s="95" t="b">
        <f aca="false">IF(IFERROR(INDEX(tsk_Name,GanttView[[#This Row],[_Row]])="",TRUE()),FALSE(),AND(INDEX(tsk_IsLeaf,GanttView[[#This Row],[_Row]])=1,N(INDEX(tsk_Duration,GanttView[[#This Row],[_Row]]))=0))</f>
        <v>0</v>
      </c>
      <c r="P203" s="96" t="n">
        <f aca="false">IF(IFERROR(INDEX(tsk_Name,GanttView[[#This Row],[_Row]])="",TRUE()),0,IF(AND(INDEX(tsk_IsLeaf,GanttView[[#This Row],[_Row]])=1,NOT(GanttView[[#This Row],[_IsMilestone]]),N(GanttView[[#This Row],[%]])&gt;0),GanttView[[#This Row],[Start]],0))</f>
        <v>0</v>
      </c>
      <c r="Q203" s="96" t="n">
        <f aca="false">IF(GanttView[[#This Row],[_DoneFrom]]=0,0,IF(GanttView[[#This Row],[%]]&gt;=1,GanttView[[#This Row],[Finish]],MAX(GanttView[[#This Row],[_DoneFrom]],GanttView[[#This Row],[Start]]+ROUND((GanttView[[#This Row],[Finish]]-GanttView[[#This Row],[Start]]+1)*GanttView[[#This Row],[%]],0)-1)))</f>
        <v>0</v>
      </c>
      <c r="R203" s="96" t="n">
        <f aca="false">IF(IFERROR(INDEX(tsk_Name,GanttView[[#This Row],[_Row]])="",TRUE()),0,IF(OR(INDEX(tsk_IsLeaf,GanttView[[#This Row],[_Row]])&lt;&gt;1,GanttView[[#This Row],[_IsMilestone]],N(GanttView[[#This Row],[%]])&gt;=1),0,IF(GanttView[[#This Row],[_DoneTo]]&gt;0,GanttView[[#This Row],[_DoneTo]]+1,GanttView[[#This Row],[Start]])))</f>
        <v>0</v>
      </c>
      <c r="S203" s="96" t="n">
        <f aca="false">IF(GanttView[[#This Row],[_RemFrom]]=0,0,GanttView[[#This Row],[Finish]])</f>
        <v>0</v>
      </c>
      <c r="T203" s="95" t="b">
        <f aca="false">IF(IFERROR(INDEX(tsk_Name,GanttView[[#This Row],[_Row]])="",TRUE()),FALSE(),N(INDEX(tsk_Variance,GanttView[[#This Row],[_Row]]))&gt;0)</f>
        <v>0</v>
      </c>
      <c r="U203" s="96" t="n">
        <f aca="false">IF(IFERROR(INDEX(tsk_Name,GanttView[[#This Row],[_Row]])="",TRUE()),0,N(INDEX(tsk_Deadline,GanttView[[#This Row],[_Row]])))</f>
        <v>0</v>
      </c>
      <c r="V203" s="95" t="b">
        <f aca="false">IF(IFERROR(INDEX(tsk_Name,GanttView[[#This Row],[_Row]])="",TRUE()),FALSE(),INDEX(tsk_Critical,GanttView[[#This Row],[_Row]])="Yes")</f>
        <v>0</v>
      </c>
    </row>
    <row r="204" customFormat="false" ht="15" hidden="false" customHeight="false" outlineLevel="0" collapsed="false">
      <c r="A204" s="89" t="str">
        <f aca="false">IF(IFERROR(INDEX(tsk_Name,GanttView[[#This Row],[_Row]])="",TRUE()),"",INDEX(tsk_ID,GanttView[[#This Row],[_Row]]))</f>
        <v/>
      </c>
      <c r="B204" s="90" t="str">
        <f aca="false">IF(IFERROR(INDEX(tsk_Name,GanttView[[#This Row],[_Row]])="",TRUE()),"",REPT("    ",INDEX(tsk_Level,GanttView[[#This Row],[_Row]])-1)&amp;INDEX(tsk_Name,GanttView[[#This Row],[_Row]]))</f>
        <v/>
      </c>
      <c r="C204" s="91" t="str">
        <f aca="false">IF(IFERROR(INDEX(tsk_Name,GanttView[[#This Row],[_Row]])="",TRUE()),"",INDEX(tsk_FcStart,GanttView[[#This Row],[_Row]]))</f>
        <v/>
      </c>
      <c r="D204" s="91" t="str">
        <f aca="false">IF(IFERROR(INDEX(tsk_Name,GanttView[[#This Row],[_Row]])="",TRUE()),"",INDEX(tsk_FcFinish,GanttView[[#This Row],[_Row]]))</f>
        <v/>
      </c>
      <c r="E204" s="92" t="str">
        <f aca="false">IF(IFERROR(INDEX(tsk_Name,GanttView[[#This Row],[_Row]])="",TRUE()),"",INDEX(tsk_Progress,GanttView[[#This Row],[_Row]]))</f>
        <v/>
      </c>
      <c r="F204" s="90" t="str">
        <f aca="false">IF(IFERROR(INDEX(tsk_Name,GanttView[[#This Row],[_Row]])="",TRUE()),"",INDEX(tsk_ResourceNames,GanttView[[#This Row],[_Row]])&amp;"")</f>
        <v/>
      </c>
      <c r="G204" s="89" t="str">
        <f aca="false">IF(IFERROR(INDEX(tsk_Name,GanttView[[#This Row],[_Row]])="",TRUE()),"",INDEX(tsk_WBS,GanttView[[#This Row],[_Row]]))</f>
        <v/>
      </c>
      <c r="H204" s="89" t="str">
        <f aca="false">IF(IFERROR(INDEX(tsk_Name,GanttView[[#This Row],[_Row]])="",TRUE()),"",IF(INDEX(tsk_IsSummary,GanttView[[#This Row],[_Row]]),NETWORKDAYS.INTL(INDEX(tsk_FcStart,GanttView[[#This Row],[_Row]]),INDEX(tsk_FcFinish,GanttView[[#This Row],[_Row]]),WorkWeek,Holidays),N(INDEX(tsk_Duration,GanttView[[#This Row],[_Row]]))))</f>
        <v/>
      </c>
      <c r="I204" s="91" t="str">
        <f aca="false">IF(IFERROR(INDEX(tsk_Name,GanttView[[#This Row],[_Row]])="",TRUE()),"",INDEX(tsk_PlanStart,GanttView[[#This Row],[_Row]]))</f>
        <v/>
      </c>
      <c r="J204" s="91" t="str">
        <f aca="false">IF(IFERROR(INDEX(tsk_Name,GanttView[[#This Row],[_Row]])="",TRUE()),"",INDEX(tsk_PlanFinish,GanttView[[#This Row],[_Row]]))</f>
        <v/>
      </c>
      <c r="K204" s="93" t="str">
        <f aca="false">IF(IFERROR(INDEX(tsk_Name,GanttView[[#This Row],[_Row]])="",TRUE()),"",INDEX(tsk_Status,GanttView[[#This Row],[_Row]]))</f>
        <v/>
      </c>
      <c r="L204" s="93" t="str">
        <f aca="false">IF(IFERROR(INDEX(tsk_Name,GanttView[[#This Row],[_Row]])="",TRUE()),"",INDEX(tsk_Show,GanttView[[#This Row],[_Row]])&amp;"")</f>
        <v/>
      </c>
      <c r="M204" s="94" t="n">
        <f aca="false">ROW()-ROW(GanttView[[#Headers],[ID]])</f>
        <v>199</v>
      </c>
      <c r="N204" s="95" t="b">
        <f aca="false">IF(IFERROR(INDEX(tsk_Name,GanttView[[#This Row],[_Row]])="",TRUE()),FALSE(),INDEX(tsk_IsSummary,GanttView[[#This Row],[_Row]]))</f>
        <v>0</v>
      </c>
      <c r="O204" s="95" t="b">
        <f aca="false">IF(IFERROR(INDEX(tsk_Name,GanttView[[#This Row],[_Row]])="",TRUE()),FALSE(),AND(INDEX(tsk_IsLeaf,GanttView[[#This Row],[_Row]])=1,N(INDEX(tsk_Duration,GanttView[[#This Row],[_Row]]))=0))</f>
        <v>0</v>
      </c>
      <c r="P204" s="96" t="n">
        <f aca="false">IF(IFERROR(INDEX(tsk_Name,GanttView[[#This Row],[_Row]])="",TRUE()),0,IF(AND(INDEX(tsk_IsLeaf,GanttView[[#This Row],[_Row]])=1,NOT(GanttView[[#This Row],[_IsMilestone]]),N(GanttView[[#This Row],[%]])&gt;0),GanttView[[#This Row],[Start]],0))</f>
        <v>0</v>
      </c>
      <c r="Q204" s="96" t="n">
        <f aca="false">IF(GanttView[[#This Row],[_DoneFrom]]=0,0,IF(GanttView[[#This Row],[%]]&gt;=1,GanttView[[#This Row],[Finish]],MAX(GanttView[[#This Row],[_DoneFrom]],GanttView[[#This Row],[Start]]+ROUND((GanttView[[#This Row],[Finish]]-GanttView[[#This Row],[Start]]+1)*GanttView[[#This Row],[%]],0)-1)))</f>
        <v>0</v>
      </c>
      <c r="R204" s="96" t="n">
        <f aca="false">IF(IFERROR(INDEX(tsk_Name,GanttView[[#This Row],[_Row]])="",TRUE()),0,IF(OR(INDEX(tsk_IsLeaf,GanttView[[#This Row],[_Row]])&lt;&gt;1,GanttView[[#This Row],[_IsMilestone]],N(GanttView[[#This Row],[%]])&gt;=1),0,IF(GanttView[[#This Row],[_DoneTo]]&gt;0,GanttView[[#This Row],[_DoneTo]]+1,GanttView[[#This Row],[Start]])))</f>
        <v>0</v>
      </c>
      <c r="S204" s="96" t="n">
        <f aca="false">IF(GanttView[[#This Row],[_RemFrom]]=0,0,GanttView[[#This Row],[Finish]])</f>
        <v>0</v>
      </c>
      <c r="T204" s="95" t="b">
        <f aca="false">IF(IFERROR(INDEX(tsk_Name,GanttView[[#This Row],[_Row]])="",TRUE()),FALSE(),N(INDEX(tsk_Variance,GanttView[[#This Row],[_Row]]))&gt;0)</f>
        <v>0</v>
      </c>
      <c r="U204" s="96" t="n">
        <f aca="false">IF(IFERROR(INDEX(tsk_Name,GanttView[[#This Row],[_Row]])="",TRUE()),0,N(INDEX(tsk_Deadline,GanttView[[#This Row],[_Row]])))</f>
        <v>0</v>
      </c>
      <c r="V204" s="95" t="b">
        <f aca="false">IF(IFERROR(INDEX(tsk_Name,GanttView[[#This Row],[_Row]])="",TRUE()),FALSE(),INDEX(tsk_Critical,GanttView[[#This Row],[_Row]])="Yes")</f>
        <v>0</v>
      </c>
    </row>
    <row r="205" customFormat="false" ht="15" hidden="false" customHeight="false" outlineLevel="0" collapsed="false">
      <c r="A205" s="89" t="str">
        <f aca="false">IF(IFERROR(INDEX(tsk_Name,GanttView[[#This Row],[_Row]])="",TRUE()),"",INDEX(tsk_ID,GanttView[[#This Row],[_Row]]))</f>
        <v/>
      </c>
      <c r="B205" s="90" t="str">
        <f aca="false">IF(IFERROR(INDEX(tsk_Name,GanttView[[#This Row],[_Row]])="",TRUE()),"",REPT("    ",INDEX(tsk_Level,GanttView[[#This Row],[_Row]])-1)&amp;INDEX(tsk_Name,GanttView[[#This Row],[_Row]]))</f>
        <v/>
      </c>
      <c r="C205" s="91" t="str">
        <f aca="false">IF(IFERROR(INDEX(tsk_Name,GanttView[[#This Row],[_Row]])="",TRUE()),"",INDEX(tsk_FcStart,GanttView[[#This Row],[_Row]]))</f>
        <v/>
      </c>
      <c r="D205" s="91" t="str">
        <f aca="false">IF(IFERROR(INDEX(tsk_Name,GanttView[[#This Row],[_Row]])="",TRUE()),"",INDEX(tsk_FcFinish,GanttView[[#This Row],[_Row]]))</f>
        <v/>
      </c>
      <c r="E205" s="92" t="str">
        <f aca="false">IF(IFERROR(INDEX(tsk_Name,GanttView[[#This Row],[_Row]])="",TRUE()),"",INDEX(tsk_Progress,GanttView[[#This Row],[_Row]]))</f>
        <v/>
      </c>
      <c r="F205" s="90" t="str">
        <f aca="false">IF(IFERROR(INDEX(tsk_Name,GanttView[[#This Row],[_Row]])="",TRUE()),"",INDEX(tsk_ResourceNames,GanttView[[#This Row],[_Row]])&amp;"")</f>
        <v/>
      </c>
      <c r="G205" s="89" t="str">
        <f aca="false">IF(IFERROR(INDEX(tsk_Name,GanttView[[#This Row],[_Row]])="",TRUE()),"",INDEX(tsk_WBS,GanttView[[#This Row],[_Row]]))</f>
        <v/>
      </c>
      <c r="H205" s="89" t="str">
        <f aca="false">IF(IFERROR(INDEX(tsk_Name,GanttView[[#This Row],[_Row]])="",TRUE()),"",IF(INDEX(tsk_IsSummary,GanttView[[#This Row],[_Row]]),NETWORKDAYS.INTL(INDEX(tsk_FcStart,GanttView[[#This Row],[_Row]]),INDEX(tsk_FcFinish,GanttView[[#This Row],[_Row]]),WorkWeek,Holidays),N(INDEX(tsk_Duration,GanttView[[#This Row],[_Row]]))))</f>
        <v/>
      </c>
      <c r="I205" s="91" t="str">
        <f aca="false">IF(IFERROR(INDEX(tsk_Name,GanttView[[#This Row],[_Row]])="",TRUE()),"",INDEX(tsk_PlanStart,GanttView[[#This Row],[_Row]]))</f>
        <v/>
      </c>
      <c r="J205" s="91" t="str">
        <f aca="false">IF(IFERROR(INDEX(tsk_Name,GanttView[[#This Row],[_Row]])="",TRUE()),"",INDEX(tsk_PlanFinish,GanttView[[#This Row],[_Row]]))</f>
        <v/>
      </c>
      <c r="K205" s="93" t="str">
        <f aca="false">IF(IFERROR(INDEX(tsk_Name,GanttView[[#This Row],[_Row]])="",TRUE()),"",INDEX(tsk_Status,GanttView[[#This Row],[_Row]]))</f>
        <v/>
      </c>
      <c r="L205" s="93" t="str">
        <f aca="false">IF(IFERROR(INDEX(tsk_Name,GanttView[[#This Row],[_Row]])="",TRUE()),"",INDEX(tsk_Show,GanttView[[#This Row],[_Row]])&amp;"")</f>
        <v/>
      </c>
      <c r="M205" s="94" t="n">
        <f aca="false">ROW()-ROW(GanttView[[#Headers],[ID]])</f>
        <v>200</v>
      </c>
      <c r="N205" s="95" t="b">
        <f aca="false">IF(IFERROR(INDEX(tsk_Name,GanttView[[#This Row],[_Row]])="",TRUE()),FALSE(),INDEX(tsk_IsSummary,GanttView[[#This Row],[_Row]]))</f>
        <v>0</v>
      </c>
      <c r="O205" s="95" t="b">
        <f aca="false">IF(IFERROR(INDEX(tsk_Name,GanttView[[#This Row],[_Row]])="",TRUE()),FALSE(),AND(INDEX(tsk_IsLeaf,GanttView[[#This Row],[_Row]])=1,N(INDEX(tsk_Duration,GanttView[[#This Row],[_Row]]))=0))</f>
        <v>0</v>
      </c>
      <c r="P205" s="96" t="n">
        <f aca="false">IF(IFERROR(INDEX(tsk_Name,GanttView[[#This Row],[_Row]])="",TRUE()),0,IF(AND(INDEX(tsk_IsLeaf,GanttView[[#This Row],[_Row]])=1,NOT(GanttView[[#This Row],[_IsMilestone]]),N(GanttView[[#This Row],[%]])&gt;0),GanttView[[#This Row],[Start]],0))</f>
        <v>0</v>
      </c>
      <c r="Q205" s="96" t="n">
        <f aca="false">IF(GanttView[[#This Row],[_DoneFrom]]=0,0,IF(GanttView[[#This Row],[%]]&gt;=1,GanttView[[#This Row],[Finish]],MAX(GanttView[[#This Row],[_DoneFrom]],GanttView[[#This Row],[Start]]+ROUND((GanttView[[#This Row],[Finish]]-GanttView[[#This Row],[Start]]+1)*GanttView[[#This Row],[%]],0)-1)))</f>
        <v>0</v>
      </c>
      <c r="R205" s="96" t="n">
        <f aca="false">IF(IFERROR(INDEX(tsk_Name,GanttView[[#This Row],[_Row]])="",TRUE()),0,IF(OR(INDEX(tsk_IsLeaf,GanttView[[#This Row],[_Row]])&lt;&gt;1,GanttView[[#This Row],[_IsMilestone]],N(GanttView[[#This Row],[%]])&gt;=1),0,IF(GanttView[[#This Row],[_DoneTo]]&gt;0,GanttView[[#This Row],[_DoneTo]]+1,GanttView[[#This Row],[Start]])))</f>
        <v>0</v>
      </c>
      <c r="S205" s="96" t="n">
        <f aca="false">IF(GanttView[[#This Row],[_RemFrom]]=0,0,GanttView[[#This Row],[Finish]])</f>
        <v>0</v>
      </c>
      <c r="T205" s="95" t="b">
        <f aca="false">IF(IFERROR(INDEX(tsk_Name,GanttView[[#This Row],[_Row]])="",TRUE()),FALSE(),N(INDEX(tsk_Variance,GanttView[[#This Row],[_Row]]))&gt;0)</f>
        <v>0</v>
      </c>
      <c r="U205" s="96" t="n">
        <f aca="false">IF(IFERROR(INDEX(tsk_Name,GanttView[[#This Row],[_Row]])="",TRUE()),0,N(INDEX(tsk_Deadline,GanttView[[#This Row],[_Row]])))</f>
        <v>0</v>
      </c>
      <c r="V205" s="95" t="b">
        <f aca="false">IF(IFERROR(INDEX(tsk_Name,GanttView[[#This Row],[_Row]])="",TRUE()),FALSE(),INDEX(tsk_Critical,GanttView[[#This Row],[_Row]])="Yes")</f>
        <v>0</v>
      </c>
    </row>
  </sheetData>
  <conditionalFormatting sqref="X6:FQ205">
    <cfRule type="expression" priority="2" aboveAverage="0" equalAverage="0" bottom="0" percent="0" rank="0" text="" dxfId="30">
      <formula>AND($U6&gt;0,$U6&gt;=X$5,$U6&lt;IF(GanttPeriod&lt;28,X$5+GanttPeriod,EDATE(X$5,IF(GanttPeriod&gt;=90,3,1))))</formula>
    </cfRule>
    <cfRule type="expression" priority="3" aboveAverage="0" equalAverage="0" bottom="0" percent="0" rank="0" text="" dxfId="45">
      <formula>AND($N6,AND($C6&gt;0,X$5&lt;=$D6,IF(GanttPeriod&lt;28,X$5+GanttPeriod,EDATE(X$5,IF(GanttPeriod&gt;=90,3,1)))-1&gt;=$C6))</formula>
    </cfRule>
    <cfRule type="expression" priority="4" aboveAverage="0" equalAverage="0" bottom="0" percent="0" rank="0" text="" dxfId="31">
      <formula>AND($O6,AND($C6&gt;0,$C6&gt;=X$5,$C6&lt;IF(GanttPeriod&lt;28,X$5+GanttPeriod,EDATE(X$5,IF(GanttPeriod&gt;=90,3,1)))))</formula>
    </cfRule>
    <cfRule type="expression" priority="5" aboveAverage="0" equalAverage="0" bottom="0" percent="0" rank="0" text="" dxfId="25">
      <formula>AND($P6&gt;0,X$5&lt;=$Q6,IF(GanttPeriod&lt;28,X$5+GanttPeriod,EDATE(X$5,IF(GanttPeriod&gt;=90,3,1)))-1&gt;=$P6)</formula>
    </cfRule>
    <cfRule type="expression" priority="6" aboveAverage="0" equalAverage="0" bottom="0" percent="0" rank="0" text="" dxfId="46">
      <formula>AND($V6,AND($R6&gt;0,X$5&lt;=$S6,IF(GanttPeriod&lt;28,X$5+GanttPeriod,EDATE(X$5,IF(GanttPeriod&gt;=90,3,1)))-1&gt;=$R6))</formula>
    </cfRule>
    <cfRule type="expression" priority="7" aboveAverage="0" equalAverage="0" bottom="0" percent="0" rank="0" text="" dxfId="26">
      <formula>AND($T6,AND($R6&gt;0,X$5&lt;=$S6,IF(GanttPeriod&lt;28,X$5+GanttPeriod,EDATE(X$5,IF(GanttPeriod&gt;=90,3,1)))-1&gt;=$R6))</formula>
    </cfRule>
    <cfRule type="expression" priority="8" aboveAverage="0" equalAverage="0" bottom="0" percent="0" rank="0" text="" dxfId="47">
      <formula>AND($R6&gt;0,X$5&lt;=$S6,IF(GanttPeriod&lt;28,X$5+GanttPeriod,EDATE(X$5,IF(GanttPeriod&gt;=90,3,1)))-1&gt;=$R6)</formula>
    </cfRule>
    <cfRule type="expression" priority="9" aboveAverage="0" equalAverage="0" bottom="0" percent="0" rank="0" text="" dxfId="48">
      <formula>AND(ISNUMBER($I6),AND($I6&gt;0,X$5&lt;=$J6,IF(GanttPeriod&lt;28,X$5+GanttPeriod,EDATE(X$5,IF(GanttPeriod&gt;=90,3,1)))-1&gt;=$I6))</formula>
    </cfRule>
    <cfRule type="expression" priority="10" aboveAverage="0" equalAverage="0" bottom="0" percent="0" rank="0" text="" dxfId="29">
      <formula>AND(StatusDate&gt;0,StatusDate&gt;=X$5,StatusDate&lt;IF(GanttPeriod&lt;28,X$5+GanttPeriod,EDATE(X$5,IF(GanttPeriod&gt;=90,3,1))))</formula>
    </cfRule>
    <cfRule type="expression" priority="11" aboveAverage="0" equalAverage="0" bottom="0" percent="0" rank="0" text="" dxfId="49">
      <formula>AND(GanttPeriod=1,NETWORKDAYS.INTL(X$5,X$5,WorkWeek,Holidays)=0)</formula>
    </cfRule>
  </conditionalFormatting>
  <conditionalFormatting sqref="X5:FQ5">
    <cfRule type="expression" priority="12" aboveAverage="0" equalAverage="0" bottom="0" percent="0" rank="0" text="" dxfId="30">
      <formula>AND(StatusDate&gt;0,StatusDate&gt;=X$5,StatusDate&lt;IF(GanttPeriod&lt;28,X$5+GanttPeriod,EDATE(X$5,IF(GanttPeriod&gt;=90,3,1))))</formula>
    </cfRule>
    <cfRule type="expression" priority="13" aboveAverage="0" equalAverage="0" bottom="0" percent="0" rank="0" text="" dxfId="50">
      <formula>GanttPeriod&gt;=28</formula>
    </cfRule>
  </conditionalFormatting>
  <conditionalFormatting sqref="A6:K205">
    <cfRule type="expression" priority="14" aboveAverage="0" equalAverage="0" bottom="0" percent="0" rank="0" text="" dxfId="36">
      <formula>$N6</formula>
    </cfRule>
  </conditionalFormatting>
  <conditionalFormatting sqref="K6:K205">
    <cfRule type="expression" priority="15" aboveAverage="0" equalAverage="0" bottom="0" percent="0" rank="0" text="" dxfId="22">
      <formula>$K6="Complete"</formula>
    </cfRule>
    <cfRule type="expression" priority="16" aboveAverage="0" equalAverage="0" bottom="0" percent="0" rank="0" text="" dxfId="38">
      <formula>$K6="In Progress"</formula>
    </cfRule>
    <cfRule type="expression" priority="17" aboveAverage="0" equalAverage="0" bottom="0" percent="0" rank="0" text="" dxfId="33">
      <formula>$K6="Behind"</formula>
    </cfRule>
    <cfRule type="expression" priority="18" aboveAverage="0" equalAverage="0" bottom="0" percent="0" rank="0" text="" dxfId="39">
      <formula>$K6="Late Start"</formula>
    </cfRule>
    <cfRule type="expression" priority="19" aboveAverage="0" equalAverage="0" bottom="0" percent="0" rank="0" text="" dxfId="40">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W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 collapsed="false" customWidth="true" hidden="false" outlineLevel="0" max="49" min="14" style="0" width="11"/>
  </cols>
  <sheetData>
    <row r="1" customFormat="false" ht="19.7" hidden="false" customHeight="false" outlineLevel="0" collapsed="false">
      <c r="A1" s="15" t="s">
        <v>592</v>
      </c>
    </row>
    <row r="2" customFormat="false" ht="15" hidden="false" customHeight="false" outlineLevel="0" collapsed="false">
      <c r="A2" s="2" t="s">
        <v>593</v>
      </c>
    </row>
    <row r="5" customFormat="false" ht="15" hidden="false" customHeight="false" outlineLevel="0" collapsed="false">
      <c r="B5" s="17" t="s">
        <v>594</v>
      </c>
      <c r="C5" s="17" t="s">
        <v>595</v>
      </c>
      <c r="D5" s="17" t="s">
        <v>596</v>
      </c>
      <c r="E5" s="17" t="s">
        <v>597</v>
      </c>
      <c r="F5" s="17" t="s">
        <v>598</v>
      </c>
      <c r="G5" s="17" t="s">
        <v>599</v>
      </c>
      <c r="H5" s="17" t="s">
        <v>600</v>
      </c>
      <c r="I5" s="16" t="s">
        <v>124</v>
      </c>
      <c r="J5" s="16" t="s">
        <v>198</v>
      </c>
      <c r="K5" s="16" t="s">
        <v>222</v>
      </c>
      <c r="L5" s="16" t="s">
        <v>353</v>
      </c>
      <c r="M5" s="17" t="s">
        <v>148</v>
      </c>
      <c r="N5" s="17" t="s">
        <v>601</v>
      </c>
      <c r="O5" s="17" t="s">
        <v>602</v>
      </c>
      <c r="P5" s="17" t="s">
        <v>603</v>
      </c>
      <c r="Q5" s="17" t="s">
        <v>604</v>
      </c>
      <c r="R5" s="17" t="s">
        <v>605</v>
      </c>
      <c r="S5" s="17" t="s">
        <v>606</v>
      </c>
      <c r="T5" s="17" t="s">
        <v>607</v>
      </c>
      <c r="U5" s="17" t="s">
        <v>608</v>
      </c>
      <c r="V5" s="17" t="s">
        <v>609</v>
      </c>
      <c r="W5" s="17" t="s">
        <v>610</v>
      </c>
      <c r="X5" s="17" t="s">
        <v>611</v>
      </c>
      <c r="Y5" s="17" t="s">
        <v>612</v>
      </c>
      <c r="Z5" s="17" t="s">
        <v>613</v>
      </c>
      <c r="AA5" s="17" t="s">
        <v>614</v>
      </c>
      <c r="AB5" s="17" t="s">
        <v>615</v>
      </c>
      <c r="AC5" s="17" t="s">
        <v>616</v>
      </c>
      <c r="AD5" s="17" t="s">
        <v>617</v>
      </c>
      <c r="AE5" s="17" t="s">
        <v>618</v>
      </c>
      <c r="AF5" s="17" t="s">
        <v>619</v>
      </c>
      <c r="AG5" s="17" t="s">
        <v>620</v>
      </c>
      <c r="AH5" s="17" t="s">
        <v>621</v>
      </c>
      <c r="AI5" s="17" t="s">
        <v>622</v>
      </c>
      <c r="AJ5" s="17" t="s">
        <v>623</v>
      </c>
      <c r="AK5" s="17" t="s">
        <v>624</v>
      </c>
      <c r="AL5" s="17" t="s">
        <v>625</v>
      </c>
      <c r="AM5" s="17" t="s">
        <v>626</v>
      </c>
      <c r="AN5" s="17" t="s">
        <v>627</v>
      </c>
      <c r="AO5" s="17" t="s">
        <v>628</v>
      </c>
      <c r="AP5" s="17" t="s">
        <v>629</v>
      </c>
      <c r="AQ5" s="17" t="s">
        <v>630</v>
      </c>
      <c r="AR5" s="17" t="s">
        <v>631</v>
      </c>
      <c r="AS5" s="17" t="s">
        <v>632</v>
      </c>
      <c r="AT5" s="17" t="s">
        <v>633</v>
      </c>
      <c r="AU5" s="17" t="s">
        <v>634</v>
      </c>
      <c r="AV5" s="17" t="s">
        <v>635</v>
      </c>
      <c r="AW5" s="17" t="s">
        <v>636</v>
      </c>
    </row>
    <row r="6" customFormat="false" ht="15" hidden="false" customHeight="false" outlineLevel="0" collapsed="false">
      <c r="B6" s="22" t="s">
        <v>6</v>
      </c>
      <c r="C6" s="22" t="s">
        <v>637</v>
      </c>
      <c r="D6" s="22" t="s">
        <v>638</v>
      </c>
      <c r="E6" s="22" t="s">
        <v>198</v>
      </c>
      <c r="F6" s="60" t="n">
        <v>0.5</v>
      </c>
      <c r="G6" s="71" t="n">
        <v>95</v>
      </c>
      <c r="H6" s="22" t="s">
        <v>639</v>
      </c>
      <c r="I6" s="64"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4</v>
      </c>
      <c r="J6" s="69"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56</v>
      </c>
      <c r="K6" s="70" t="n">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5320</v>
      </c>
      <c r="L6" s="70" t="n">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3040</v>
      </c>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row>
    <row r="7" customFormat="false" ht="15" hidden="false" customHeight="false" outlineLevel="0" collapsed="false">
      <c r="B7" s="22" t="s">
        <v>505</v>
      </c>
      <c r="C7" s="22" t="s">
        <v>640</v>
      </c>
      <c r="D7" s="22" t="s">
        <v>641</v>
      </c>
      <c r="E7" s="22" t="s">
        <v>198</v>
      </c>
      <c r="F7" s="60" t="n">
        <v>1</v>
      </c>
      <c r="G7" s="71" t="n">
        <v>70</v>
      </c>
      <c r="H7" s="22" t="s">
        <v>642</v>
      </c>
      <c r="I7" s="64"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3</v>
      </c>
      <c r="J7" s="69"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128</v>
      </c>
      <c r="K7" s="70" t="n">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8960</v>
      </c>
      <c r="L7" s="70" t="n">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6160</v>
      </c>
      <c r="M7" s="22"/>
      <c r="N7" s="22"/>
      <c r="O7" s="22"/>
      <c r="P7" s="22"/>
      <c r="Q7" s="22"/>
      <c r="R7" s="22"/>
      <c r="S7" s="22"/>
      <c r="T7" s="22"/>
      <c r="U7" s="22"/>
      <c r="V7" s="22"/>
      <c r="W7" s="22"/>
      <c r="X7" s="22"/>
      <c r="Y7" s="22" t="s">
        <v>643</v>
      </c>
      <c r="Z7" s="22"/>
      <c r="AA7" s="22"/>
      <c r="AB7" s="22"/>
      <c r="AC7" s="22"/>
      <c r="AD7" s="22"/>
      <c r="AE7" s="22"/>
      <c r="AF7" s="22"/>
      <c r="AG7" s="22"/>
      <c r="AH7" s="22"/>
      <c r="AI7" s="22"/>
      <c r="AJ7" s="22"/>
      <c r="AK7" s="22"/>
      <c r="AL7" s="22"/>
      <c r="AM7" s="22"/>
      <c r="AN7" s="22"/>
      <c r="AO7" s="22"/>
      <c r="AP7" s="22"/>
      <c r="AQ7" s="22"/>
      <c r="AR7" s="22"/>
      <c r="AS7" s="22"/>
      <c r="AT7" s="22"/>
      <c r="AU7" s="22"/>
      <c r="AV7" s="22"/>
      <c r="AW7" s="22"/>
    </row>
    <row r="8" customFormat="false" ht="15" hidden="false" customHeight="false" outlineLevel="0" collapsed="false">
      <c r="B8" s="22" t="s">
        <v>644</v>
      </c>
      <c r="C8" s="22" t="s">
        <v>370</v>
      </c>
      <c r="D8" s="22" t="s">
        <v>645</v>
      </c>
      <c r="E8" s="22" t="s">
        <v>198</v>
      </c>
      <c r="F8" s="60" t="n">
        <v>0.5</v>
      </c>
      <c r="G8" s="71" t="n">
        <v>110</v>
      </c>
      <c r="H8" s="22" t="s">
        <v>646</v>
      </c>
      <c r="I8" s="64"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J8" s="69"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40</v>
      </c>
      <c r="K8" s="70" t="n">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4400</v>
      </c>
      <c r="L8" s="70" t="n">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4400</v>
      </c>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row>
    <row r="9" customFormat="false" ht="15" hidden="false" customHeight="false" outlineLevel="0" collapsed="false">
      <c r="B9" s="22" t="s">
        <v>518</v>
      </c>
      <c r="C9" s="22" t="s">
        <v>647</v>
      </c>
      <c r="D9" s="22" t="s">
        <v>648</v>
      </c>
      <c r="E9" s="22" t="s">
        <v>198</v>
      </c>
      <c r="F9" s="60" t="n">
        <v>1</v>
      </c>
      <c r="G9" s="71" t="n">
        <v>75</v>
      </c>
      <c r="H9" s="22" t="s">
        <v>649</v>
      </c>
      <c r="I9" s="64"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4</v>
      </c>
      <c r="J9" s="69"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128</v>
      </c>
      <c r="K9" s="70" t="n">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9600</v>
      </c>
      <c r="L9" s="70" t="n">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4500</v>
      </c>
      <c r="M9" s="22"/>
      <c r="N9" s="22"/>
      <c r="O9" s="22"/>
      <c r="P9" s="22"/>
      <c r="Q9" s="22"/>
      <c r="R9" s="22"/>
      <c r="S9" s="22"/>
      <c r="T9" s="22"/>
      <c r="U9" s="22"/>
      <c r="V9" s="22"/>
      <c r="W9" s="22"/>
      <c r="X9" s="22" t="s">
        <v>650</v>
      </c>
      <c r="Y9" s="22"/>
      <c r="Z9" s="22"/>
      <c r="AA9" s="22"/>
      <c r="AB9" s="22"/>
      <c r="AC9" s="22"/>
      <c r="AD9" s="22"/>
      <c r="AE9" s="22"/>
      <c r="AF9" s="22"/>
      <c r="AG9" s="22"/>
      <c r="AH9" s="22"/>
      <c r="AI9" s="22"/>
      <c r="AJ9" s="22"/>
      <c r="AK9" s="22"/>
      <c r="AL9" s="22"/>
      <c r="AM9" s="22"/>
      <c r="AN9" s="22"/>
      <c r="AO9" s="22"/>
      <c r="AP9" s="22"/>
      <c r="AQ9" s="22"/>
      <c r="AR9" s="22"/>
      <c r="AS9" s="22"/>
      <c r="AT9" s="22"/>
      <c r="AU9" s="22"/>
      <c r="AV9" s="22"/>
      <c r="AW9" s="22"/>
    </row>
    <row r="10" customFormat="false" ht="15" hidden="false" customHeight="false" outlineLevel="0" collapsed="false">
      <c r="B10" s="22" t="s">
        <v>527</v>
      </c>
      <c r="C10" s="22" t="s">
        <v>651</v>
      </c>
      <c r="D10" s="22" t="s">
        <v>652</v>
      </c>
      <c r="E10" s="22" t="s">
        <v>198</v>
      </c>
      <c r="F10" s="60" t="n">
        <v>1</v>
      </c>
      <c r="G10" s="71" t="n">
        <v>85</v>
      </c>
      <c r="H10" s="22" t="s">
        <v>653</v>
      </c>
      <c r="I10" s="64"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5</v>
      </c>
      <c r="J10" s="69"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228</v>
      </c>
      <c r="K10" s="70" t="n">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19380</v>
      </c>
      <c r="L10" s="70" t="n">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9180</v>
      </c>
      <c r="M10" s="22"/>
      <c r="N10" s="22"/>
      <c r="O10" s="22"/>
      <c r="P10" s="22"/>
      <c r="Q10" s="22"/>
      <c r="R10" s="22"/>
      <c r="S10" s="22"/>
      <c r="T10" s="22"/>
      <c r="U10" s="22"/>
      <c r="V10" s="22"/>
      <c r="W10" s="22" t="s">
        <v>654</v>
      </c>
      <c r="X10" s="22"/>
      <c r="Y10" s="22" t="s">
        <v>655</v>
      </c>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row>
    <row r="11" customFormat="false" ht="15" hidden="false" customHeight="false" outlineLevel="0" collapsed="false">
      <c r="B11" s="22" t="s">
        <v>535</v>
      </c>
      <c r="C11" s="22" t="s">
        <v>656</v>
      </c>
      <c r="D11" s="22" t="s">
        <v>657</v>
      </c>
      <c r="E11" s="22" t="s">
        <v>198</v>
      </c>
      <c r="F11" s="60" t="n">
        <v>1</v>
      </c>
      <c r="G11" s="71" t="n">
        <v>80</v>
      </c>
      <c r="H11" s="22" t="s">
        <v>658</v>
      </c>
      <c r="I11" s="64"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3</v>
      </c>
      <c r="J11" s="69"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176</v>
      </c>
      <c r="K11" s="70" t="n">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14080</v>
      </c>
      <c r="L11" s="70" t="n">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5760</v>
      </c>
      <c r="M11" s="22"/>
      <c r="N11" s="22"/>
      <c r="O11" s="22"/>
      <c r="P11" s="22"/>
      <c r="Q11" s="22"/>
      <c r="R11" s="22"/>
      <c r="S11" s="22"/>
      <c r="T11" s="22"/>
      <c r="U11" s="22"/>
      <c r="V11" s="22"/>
      <c r="W11" s="22"/>
      <c r="X11" s="22" t="s">
        <v>659</v>
      </c>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row>
    <row r="12" customFormat="false" ht="15" hidden="false" customHeight="false" outlineLevel="0" collapsed="false">
      <c r="B12" s="22" t="s">
        <v>660</v>
      </c>
      <c r="C12" s="22" t="s">
        <v>661</v>
      </c>
      <c r="D12" s="22" t="s">
        <v>662</v>
      </c>
      <c r="E12" s="22" t="s">
        <v>198</v>
      </c>
      <c r="F12" s="60" t="n">
        <v>1</v>
      </c>
      <c r="G12" s="71" t="n">
        <v>65</v>
      </c>
      <c r="H12" s="22" t="s">
        <v>663</v>
      </c>
      <c r="I12" s="64"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J12" s="69"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112</v>
      </c>
      <c r="K12" s="70" t="n">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7280</v>
      </c>
      <c r="L12" s="70" t="n">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0</v>
      </c>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row>
    <row r="13" customFormat="false" ht="15" hidden="false" customHeight="false" outlineLevel="0" collapsed="false">
      <c r="B13" s="22"/>
      <c r="C13" s="22"/>
      <c r="D13" s="22"/>
      <c r="E13" s="22"/>
      <c r="F13" s="60"/>
      <c r="G13" s="71"/>
      <c r="H13" s="22"/>
      <c r="I13"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13"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13"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13"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row>
    <row r="14" customFormat="false" ht="15" hidden="false" customHeight="false" outlineLevel="0" collapsed="false">
      <c r="B14" s="22"/>
      <c r="C14" s="22"/>
      <c r="D14" s="22"/>
      <c r="E14" s="22"/>
      <c r="F14" s="60"/>
      <c r="G14" s="71"/>
      <c r="H14" s="22"/>
      <c r="I14"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14"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14"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14"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row>
    <row r="15" customFormat="false" ht="15" hidden="false" customHeight="false" outlineLevel="0" collapsed="false">
      <c r="B15" s="22"/>
      <c r="C15" s="22"/>
      <c r="D15" s="22"/>
      <c r="E15" s="22"/>
      <c r="F15" s="60"/>
      <c r="G15" s="71"/>
      <c r="H15" s="22"/>
      <c r="I15"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15"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15"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15"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row>
    <row r="16" customFormat="false" ht="15" hidden="false" customHeight="false" outlineLevel="0" collapsed="false">
      <c r="B16" s="22"/>
      <c r="C16" s="22"/>
      <c r="D16" s="22"/>
      <c r="E16" s="22"/>
      <c r="F16" s="60"/>
      <c r="G16" s="71"/>
      <c r="H16" s="22"/>
      <c r="I16"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16"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16"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16"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row>
    <row r="17" customFormat="false" ht="15" hidden="false" customHeight="false" outlineLevel="0" collapsed="false">
      <c r="B17" s="22"/>
      <c r="C17" s="22"/>
      <c r="D17" s="22"/>
      <c r="E17" s="22"/>
      <c r="F17" s="60"/>
      <c r="G17" s="71"/>
      <c r="H17" s="22"/>
      <c r="I17"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17"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17"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17"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row>
    <row r="18" customFormat="false" ht="15" hidden="false" customHeight="false" outlineLevel="0" collapsed="false">
      <c r="B18" s="22"/>
      <c r="C18" s="22"/>
      <c r="D18" s="22"/>
      <c r="E18" s="22"/>
      <c r="F18" s="60"/>
      <c r="G18" s="71"/>
      <c r="H18" s="22"/>
      <c r="I18"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18"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18"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18"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row>
    <row r="19" customFormat="false" ht="15" hidden="false" customHeight="false" outlineLevel="0" collapsed="false">
      <c r="B19" s="22"/>
      <c r="C19" s="22"/>
      <c r="D19" s="22"/>
      <c r="E19" s="22"/>
      <c r="F19" s="60"/>
      <c r="G19" s="71"/>
      <c r="H19" s="22"/>
      <c r="I19"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19"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19"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19"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row>
    <row r="20" customFormat="false" ht="15" hidden="false" customHeight="false" outlineLevel="0" collapsed="false">
      <c r="B20" s="22"/>
      <c r="C20" s="22"/>
      <c r="D20" s="22"/>
      <c r="E20" s="22"/>
      <c r="F20" s="60"/>
      <c r="G20" s="71"/>
      <c r="H20" s="22"/>
      <c r="I20"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20"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20"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20"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row>
    <row r="21" customFormat="false" ht="15" hidden="false" customHeight="false" outlineLevel="0" collapsed="false">
      <c r="B21" s="22"/>
      <c r="C21" s="22"/>
      <c r="D21" s="22"/>
      <c r="E21" s="22"/>
      <c r="F21" s="60"/>
      <c r="G21" s="71"/>
      <c r="H21" s="22"/>
      <c r="I21"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21"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21"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21"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row>
    <row r="22" customFormat="false" ht="15" hidden="false" customHeight="false" outlineLevel="0" collapsed="false">
      <c r="B22" s="22"/>
      <c r="C22" s="22"/>
      <c r="D22" s="22"/>
      <c r="E22" s="22"/>
      <c r="F22" s="60"/>
      <c r="G22" s="71"/>
      <c r="H22" s="22"/>
      <c r="I22"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22"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22"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22"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row>
    <row r="23" customFormat="false" ht="15" hidden="false" customHeight="false" outlineLevel="0" collapsed="false">
      <c r="B23" s="22"/>
      <c r="C23" s="22"/>
      <c r="D23" s="22"/>
      <c r="E23" s="22"/>
      <c r="F23" s="60"/>
      <c r="G23" s="71"/>
      <c r="H23" s="22"/>
      <c r="I23"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23"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23"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23"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row>
    <row r="24" customFormat="false" ht="15" hidden="false" customHeight="false" outlineLevel="0" collapsed="false">
      <c r="B24" s="22"/>
      <c r="C24" s="22"/>
      <c r="D24" s="22"/>
      <c r="E24" s="22"/>
      <c r="F24" s="60"/>
      <c r="G24" s="71"/>
      <c r="H24" s="22"/>
      <c r="I24"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24"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24"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24"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row>
    <row r="25" customFormat="false" ht="15" hidden="false" customHeight="false" outlineLevel="0" collapsed="false">
      <c r="B25" s="22"/>
      <c r="C25" s="22"/>
      <c r="D25" s="22"/>
      <c r="E25" s="22"/>
      <c r="F25" s="60"/>
      <c r="G25" s="71"/>
      <c r="H25" s="22"/>
      <c r="I25"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25"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25"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25"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row>
    <row r="26" customFormat="false" ht="15" hidden="false" customHeight="false" outlineLevel="0" collapsed="false">
      <c r="B26" s="22"/>
      <c r="C26" s="22"/>
      <c r="D26" s="22"/>
      <c r="E26" s="22"/>
      <c r="F26" s="60"/>
      <c r="G26" s="71"/>
      <c r="H26" s="22"/>
      <c r="I26"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26"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26"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26"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row>
    <row r="27" customFormat="false" ht="15" hidden="false" customHeight="false" outlineLevel="0" collapsed="false">
      <c r="B27" s="22"/>
      <c r="C27" s="22"/>
      <c r="D27" s="22"/>
      <c r="E27" s="22"/>
      <c r="F27" s="60"/>
      <c r="G27" s="71"/>
      <c r="H27" s="22"/>
      <c r="I27"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27"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27"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27"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row>
    <row r="28" customFormat="false" ht="15" hidden="false" customHeight="false" outlineLevel="0" collapsed="false">
      <c r="B28" s="22"/>
      <c r="C28" s="22"/>
      <c r="D28" s="22"/>
      <c r="E28" s="22"/>
      <c r="F28" s="60"/>
      <c r="G28" s="71"/>
      <c r="H28" s="22"/>
      <c r="I28"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28"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28"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28"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row>
    <row r="29" customFormat="false" ht="15" hidden="false" customHeight="false" outlineLevel="0" collapsed="false">
      <c r="B29" s="22"/>
      <c r="C29" s="22"/>
      <c r="D29" s="22"/>
      <c r="E29" s="22"/>
      <c r="F29" s="60"/>
      <c r="G29" s="71"/>
      <c r="H29" s="22"/>
      <c r="I29"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29"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29"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29"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row>
    <row r="30" customFormat="false" ht="15" hidden="false" customHeight="false" outlineLevel="0" collapsed="false">
      <c r="B30" s="22"/>
      <c r="C30" s="22"/>
      <c r="D30" s="22"/>
      <c r="E30" s="22"/>
      <c r="F30" s="60"/>
      <c r="G30" s="71"/>
      <c r="H30" s="22"/>
      <c r="I30"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30"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30"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30"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row>
    <row r="31" customFormat="false" ht="15" hidden="false" customHeight="false" outlineLevel="0" collapsed="false">
      <c r="B31" s="22"/>
      <c r="C31" s="22"/>
      <c r="D31" s="22"/>
      <c r="E31" s="22"/>
      <c r="F31" s="60"/>
      <c r="G31" s="71"/>
      <c r="H31" s="22"/>
      <c r="I31"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31"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31"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31"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row>
    <row r="32" customFormat="false" ht="15" hidden="false" customHeight="false" outlineLevel="0" collapsed="false">
      <c r="B32" s="22"/>
      <c r="C32" s="22"/>
      <c r="D32" s="22"/>
      <c r="E32" s="22"/>
      <c r="F32" s="60"/>
      <c r="G32" s="71"/>
      <c r="H32" s="22"/>
      <c r="I32"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32"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32"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32"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row>
    <row r="33" customFormat="false" ht="15" hidden="false" customHeight="false" outlineLevel="0" collapsed="false">
      <c r="B33" s="22"/>
      <c r="C33" s="22"/>
      <c r="D33" s="22"/>
      <c r="E33" s="22"/>
      <c r="F33" s="60"/>
      <c r="G33" s="71"/>
      <c r="H33" s="22"/>
      <c r="I33"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33"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33"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33"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row>
    <row r="34" customFormat="false" ht="15" hidden="false" customHeight="false" outlineLevel="0" collapsed="false">
      <c r="B34" s="22"/>
      <c r="C34" s="22"/>
      <c r="D34" s="22"/>
      <c r="E34" s="22"/>
      <c r="F34" s="60"/>
      <c r="G34" s="71"/>
      <c r="H34" s="22"/>
      <c r="I34"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34"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34"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34"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row>
    <row r="35" customFormat="false" ht="15" hidden="false" customHeight="false" outlineLevel="0" collapsed="false">
      <c r="B35" s="22"/>
      <c r="C35" s="22"/>
      <c r="D35" s="22"/>
      <c r="E35" s="22"/>
      <c r="F35" s="60"/>
      <c r="G35" s="71"/>
      <c r="H35" s="22"/>
      <c r="I35"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35"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35"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35"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row>
    <row r="36" customFormat="false" ht="15" hidden="false" customHeight="false" outlineLevel="0" collapsed="false">
      <c r="B36" s="22"/>
      <c r="C36" s="22"/>
      <c r="D36" s="22"/>
      <c r="E36" s="22"/>
      <c r="F36" s="60"/>
      <c r="G36" s="71"/>
      <c r="H36" s="22"/>
      <c r="I36"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36"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36"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36"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row>
    <row r="37" customFormat="false" ht="15" hidden="false" customHeight="false" outlineLevel="0" collapsed="false">
      <c r="B37" s="22"/>
      <c r="C37" s="22"/>
      <c r="D37" s="22"/>
      <c r="E37" s="22"/>
      <c r="F37" s="60"/>
      <c r="G37" s="71"/>
      <c r="H37" s="22"/>
      <c r="I37"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37"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37"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37"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row>
    <row r="38" customFormat="false" ht="15" hidden="false" customHeight="false" outlineLevel="0" collapsed="false">
      <c r="B38" s="22"/>
      <c r="C38" s="22"/>
      <c r="D38" s="22"/>
      <c r="E38" s="22"/>
      <c r="F38" s="60"/>
      <c r="G38" s="71"/>
      <c r="H38" s="22"/>
      <c r="I38"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38"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38"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38"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row>
    <row r="39" customFormat="false" ht="15" hidden="false" customHeight="false" outlineLevel="0" collapsed="false">
      <c r="B39" s="22"/>
      <c r="C39" s="22"/>
      <c r="D39" s="22"/>
      <c r="E39" s="22"/>
      <c r="F39" s="60"/>
      <c r="G39" s="71"/>
      <c r="H39" s="22"/>
      <c r="I39"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39"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39"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39"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row>
    <row r="40" customFormat="false" ht="15" hidden="false" customHeight="false" outlineLevel="0" collapsed="false">
      <c r="B40" s="22"/>
      <c r="C40" s="22"/>
      <c r="D40" s="22"/>
      <c r="E40" s="22"/>
      <c r="F40" s="60"/>
      <c r="G40" s="71"/>
      <c r="H40" s="22"/>
      <c r="I40"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40"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40"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40"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row>
    <row r="41" customFormat="false" ht="15" hidden="false" customHeight="false" outlineLevel="0" collapsed="false">
      <c r="B41" s="22"/>
      <c r="C41" s="22"/>
      <c r="D41" s="22"/>
      <c r="E41" s="22"/>
      <c r="F41" s="60"/>
      <c r="G41" s="71"/>
      <c r="H41" s="22"/>
      <c r="I41"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41"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41"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41"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row>
    <row r="42" customFormat="false" ht="15" hidden="false" customHeight="false" outlineLevel="0" collapsed="false">
      <c r="B42" s="22"/>
      <c r="C42" s="22"/>
      <c r="D42" s="22"/>
      <c r="E42" s="22"/>
      <c r="F42" s="60"/>
      <c r="G42" s="71"/>
      <c r="H42" s="22"/>
      <c r="I42"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42"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42"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42"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row>
    <row r="43" customFormat="false" ht="15" hidden="false" customHeight="false" outlineLevel="0" collapsed="false">
      <c r="B43" s="22"/>
      <c r="C43" s="22"/>
      <c r="D43" s="22"/>
      <c r="E43" s="22"/>
      <c r="F43" s="60"/>
      <c r="G43" s="71"/>
      <c r="H43" s="22"/>
      <c r="I43"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43"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43"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43"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row>
    <row r="44" customFormat="false" ht="15" hidden="false" customHeight="false" outlineLevel="0" collapsed="false">
      <c r="B44" s="22"/>
      <c r="C44" s="22"/>
      <c r="D44" s="22"/>
      <c r="E44" s="22"/>
      <c r="F44" s="60"/>
      <c r="G44" s="71"/>
      <c r="H44" s="22"/>
      <c r="I44"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44"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44"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44"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row>
    <row r="45" customFormat="false" ht="15" hidden="false" customHeight="false" outlineLevel="0" collapsed="false">
      <c r="B45" s="22"/>
      <c r="C45" s="22"/>
      <c r="D45" s="22"/>
      <c r="E45" s="22"/>
      <c r="F45" s="60"/>
      <c r="G45" s="71"/>
      <c r="H45" s="22"/>
      <c r="I45"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45"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45"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45"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row>
    <row r="46" customFormat="false" ht="15" hidden="false" customHeight="false" outlineLevel="0" collapsed="false">
      <c r="B46" s="22"/>
      <c r="C46" s="22"/>
      <c r="D46" s="22"/>
      <c r="E46" s="22"/>
      <c r="F46" s="60"/>
      <c r="G46" s="71"/>
      <c r="H46" s="22"/>
      <c r="I46"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46"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46"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46"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row>
    <row r="47" customFormat="false" ht="15" hidden="false" customHeight="false" outlineLevel="0" collapsed="false">
      <c r="B47" s="22"/>
      <c r="C47" s="22"/>
      <c r="D47" s="22"/>
      <c r="E47" s="22"/>
      <c r="F47" s="60"/>
      <c r="G47" s="71"/>
      <c r="H47" s="22"/>
      <c r="I47"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47"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47"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47"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row>
    <row r="48" customFormat="false" ht="15" hidden="false" customHeight="false" outlineLevel="0" collapsed="false">
      <c r="B48" s="22"/>
      <c r="C48" s="22"/>
      <c r="D48" s="22"/>
      <c r="E48" s="22"/>
      <c r="F48" s="60"/>
      <c r="G48" s="71"/>
      <c r="H48" s="22"/>
      <c r="I48"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48"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48"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48"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row>
    <row r="49" customFormat="false" ht="15" hidden="false" customHeight="false" outlineLevel="0" collapsed="false">
      <c r="B49" s="22"/>
      <c r="C49" s="22"/>
      <c r="D49" s="22"/>
      <c r="E49" s="22"/>
      <c r="F49" s="60"/>
      <c r="G49" s="71"/>
      <c r="H49" s="22"/>
      <c r="I49"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49"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49"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49"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row>
    <row r="50" customFormat="false" ht="15" hidden="false" customHeight="false" outlineLevel="0" collapsed="false">
      <c r="B50" s="22"/>
      <c r="C50" s="22"/>
      <c r="D50" s="22"/>
      <c r="E50" s="22"/>
      <c r="F50" s="60"/>
      <c r="G50" s="71"/>
      <c r="H50" s="22"/>
      <c r="I50"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50"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50"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50"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row>
    <row r="51" customFormat="false" ht="15" hidden="false" customHeight="false" outlineLevel="0" collapsed="false">
      <c r="B51" s="22"/>
      <c r="C51" s="22"/>
      <c r="D51" s="22"/>
      <c r="E51" s="22"/>
      <c r="F51" s="60"/>
      <c r="G51" s="71"/>
      <c r="H51" s="22"/>
      <c r="I51"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51"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51"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51"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row>
    <row r="52" customFormat="false" ht="15" hidden="false" customHeight="false" outlineLevel="0" collapsed="false">
      <c r="B52" s="22"/>
      <c r="C52" s="22"/>
      <c r="D52" s="22"/>
      <c r="E52" s="22"/>
      <c r="F52" s="60"/>
      <c r="G52" s="71"/>
      <c r="H52" s="22"/>
      <c r="I52"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52"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52"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52"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row>
    <row r="53" customFormat="false" ht="15" hidden="false" customHeight="false" outlineLevel="0" collapsed="false">
      <c r="B53" s="22"/>
      <c r="C53" s="22"/>
      <c r="D53" s="22"/>
      <c r="E53" s="22"/>
      <c r="F53" s="60"/>
      <c r="G53" s="71"/>
      <c r="H53" s="22"/>
      <c r="I53"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53"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53"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53"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row>
    <row r="54" customFormat="false" ht="15" hidden="false" customHeight="false" outlineLevel="0" collapsed="false">
      <c r="B54" s="22"/>
      <c r="C54" s="22"/>
      <c r="D54" s="22"/>
      <c r="E54" s="22"/>
      <c r="F54" s="60"/>
      <c r="G54" s="71"/>
      <c r="H54" s="22"/>
      <c r="I54"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54"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54"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54"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row>
    <row r="55" customFormat="false" ht="15" hidden="false" customHeight="false" outlineLevel="0" collapsed="false">
      <c r="B55" s="22"/>
      <c r="C55" s="22"/>
      <c r="D55" s="22"/>
      <c r="E55" s="22"/>
      <c r="F55" s="60"/>
      <c r="G55" s="71"/>
      <c r="H55" s="22"/>
      <c r="I55" s="64"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J55" s="69"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K55" s="70" t="str">
        <f aca="false">IF(ResourceTable[[#This Row],[Resource Name]]="","",SUMIFS(tsk_LeafCost,tsk_Resource,ResourceTable[[#This Row],[Resource Name]])+IF(MaxPeople&gt;=2,SUMIFS(tsk_Res2Cost,tsk_Res2,ResourceTable[[#This Row],[Resource Name]]),0)+IF(MaxPeople&gt;=3,SUMIFS(tsk_Res3Cost,tsk_Res3,ResourceTable[[#This Row],[Resource Name]]),0)+IF(MaxPeople&gt;=4,SUMIFS(tsk_Res4Cost,tsk_Res4,ResourceTable[[#This Row],[Resource Name]]),0))</f>
        <v/>
      </c>
      <c r="L55" s="70" t="str">
        <f aca="false">IF(ResourceTable[[#This Row],[Resource Name]]="","",SUMIFS(tsk_ResourceAC,tsk_Resource,ResourceTable[[#This Row],[Resource Name]])+IF(MaxPeople&gt;=2,SUMIFS(tsk_Res2AC,tsk_Res2,ResourceTable[[#This Row],[Resource Name]]),0)+IF(MaxPeople&gt;=3,SUMIFS(tsk_Res3AC,tsk_Res3,ResourceTable[[#This Row],[Resource Name]]),0)+IF(MaxPeople&gt;=4,SUMIFS(tsk_Res4AC,tsk_Res4,ResourceTable[[#This Row],[Resource Name]]),0))</f>
        <v/>
      </c>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2026-10-27T08:56:10Z</dcterms:created>
  <dc:creator>openpyxl</dc:creator>
  <dc:description/>
  <dc:language>en-US</dc:language>
  <cp:lastModifiedBy/>
  <dcterms:modified xsi:type="dcterms:W3CDTF">2026-10-27T08:56:12Z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